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16.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pivotCache/pivotCacheDefinition26.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pivotCache/pivotCacheDefinition27.xml" ContentType="application/vnd.openxmlformats-officedocument.spreadsheetml.pivotCacheDefinition+xml"/>
  <Override PartName="/xl/pivotCache/pivotCacheDefinition28.xml" ContentType="application/vnd.openxmlformats-officedocument.spreadsheetml.pivotCacheDefinition+xml"/>
  <Override PartName="/xl/pivotTables/pivotTable1.xml" ContentType="application/vnd.openxmlformats-officedocument.spreadsheetml.pivotTable+xml"/>
  <Override PartName="/xl/pivotTables/pivotTable2.xml" ContentType="application/vnd.openxmlformats-officedocument.spreadsheetml.pivotTable+xml"/>
  <Override PartName="/xl/pivotCache/pivotCacheDefinition29.xml" ContentType="application/vnd.openxmlformats-officedocument.spreadsheetml.pivotCacheDefinition+xml"/>
  <Override PartName="/xl/pivotCache/pivotCacheDefinition30.xml" ContentType="application/vnd.openxmlformats-officedocument.spreadsheetml.pivotCacheDefinition+xml"/>
  <Override PartName="/xl/timelineCaches/timelineCache1.xml" ContentType="application/vnd.ms-excel.timelineCache+xml"/>
  <Override PartName="/xl/timelineCaches/timelineCache2.xml" ContentType="application/vnd.ms-excel.timeline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3.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drawings/drawing3.xml" ContentType="application/vnd.openxmlformats-officedocument.drawing+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4.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slicers/slicer2.xml" ContentType="application/vnd.ms-excel.slicer+xml"/>
  <Override PartName="/xl/comments2.xml" ContentType="application/vnd.openxmlformats-officedocument.spreadsheetml.comments+xml"/>
  <Override PartName="/xl/drawings/drawing6.xml" ContentType="application/vnd.openxmlformats-officedocument.drawing+xml"/>
  <Override PartName="/xl/slicers/slicer3.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comments3.xml" ContentType="application/vnd.openxmlformats-officedocument.spreadsheetml.comments+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11.xml" ContentType="application/vnd.openxmlformats-officedocument.spreadsheetml.pivotTable+xml"/>
  <Override PartName="/xl/pivotTables/pivotTable12.xml" ContentType="application/vnd.openxmlformats-officedocument.spreadsheetml.pivotTable+xml"/>
  <Override PartName="/xl/drawings/drawing10.xml" ContentType="application/vnd.openxmlformats-officedocument.drawing+xml"/>
  <Override PartName="/xl/slicers/slicer4.xml" ContentType="application/vnd.ms-excel.slicer+xml"/>
  <Override PartName="/xl/drawings/drawing11.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slicers/slicer5.xml" ContentType="application/vnd.ms-excel.slicer+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drawings/drawing12.xml" ContentType="application/vnd.openxmlformats-officedocument.drawing+xml"/>
  <Override PartName="/xl/drawings/drawing13.xml" ContentType="application/vnd.openxmlformats-officedocument.drawing+xml"/>
  <Override PartName="/xl/pivotTables/pivotTable18.xml" ContentType="application/vnd.openxmlformats-officedocument.spreadsheetml.pivotTable+xml"/>
  <Override PartName="/xl/drawings/drawing14.xml" ContentType="application/vnd.openxmlformats-officedocument.drawing+xml"/>
  <Override PartName="/xl/slicers/slicer6.xml" ContentType="application/vnd.ms-excel.slicer+xml"/>
  <Override PartName="/xl/timelines/timeline1.xml" ContentType="application/vnd.ms-excel.timelin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timelines/timeline2.xml" ContentType="application/vnd.ms-excel.timelin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pivotTables/pivotTable19.xml" ContentType="application/vnd.openxmlformats-officedocument.spreadsheetml.pivotTable+xml"/>
  <Override PartName="/xl/pivotTables/pivotTable20.xml" ContentType="application/vnd.openxmlformats-officedocument.spreadsheetml.pivotTable+xml"/>
  <Override PartName="/xl/drawings/drawing16.xml" ContentType="application/vnd.openxmlformats-officedocument.drawing+xml"/>
  <Override PartName="/xl/drawings/drawing17.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3.xml" ContentType="application/vnd.openxmlformats-officedocument.spreadsheetml.table+xml"/>
  <Override PartName="/xl/drawings/drawing18.xml" ContentType="application/vnd.openxmlformats-officedocument.drawing+xml"/>
  <Override PartName="/xl/pivotTables/pivotTable21.xml" ContentType="application/vnd.openxmlformats-officedocument.spreadsheetml.pivotTable+xml"/>
  <Override PartName="/xl/pivotTables/pivotTable22.xml" ContentType="application/vnd.openxmlformats-officedocument.spreadsheetml.pivotTable+xml"/>
  <Override PartName="/xl/drawings/drawing19.xml" ContentType="application/vnd.openxmlformats-officedocument.drawing+xml"/>
  <Override PartName="/xl/pivotTables/pivotTable23.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omments4.xml" ContentType="application/vnd.openxmlformats-officedocument.spreadsheetml.comments+xml"/>
  <Override PartName="/xl/pivotTables/pivotTable24.xml" ContentType="application/vnd.openxmlformats-officedocument.spreadsheetml.pivotTable+xml"/>
  <Override PartName="/xl/comments5.xml" ContentType="application/vnd.openxmlformats-officedocument.spreadsheetml.comments+xml"/>
  <Override PartName="/xl/drawings/drawing20.xml" ContentType="application/vnd.openxmlformats-officedocument.drawing+xml"/>
  <Override PartName="/xl/tables/table10.xml" ContentType="application/vnd.openxmlformats-officedocument.spreadsheetml.table+xml"/>
  <Override PartName="/xl/comments6.xml" ContentType="application/vnd.openxmlformats-officedocument.spreadsheetml.comments+xml"/>
  <Override PartName="/xl/tables/table11.xml" ContentType="application/vnd.openxmlformats-officedocument.spreadsheetml.table+xml"/>
  <Override PartName="/xl/drawings/drawing21.xml" ContentType="application/vnd.openxmlformats-officedocument.drawing+xml"/>
  <Override PartName="/xl/tables/table12.xml" ContentType="application/vnd.openxmlformats-officedocument.spreadsheetml.table+xml"/>
  <Override PartName="/xl/comments7.xml" ContentType="application/vnd.openxmlformats-officedocument.spreadsheetml.comments+xml"/>
  <Override PartName="/xl/drawings/drawing22.xml" ContentType="application/vnd.openxmlformats-officedocument.drawing+xml"/>
  <Override PartName="/xl/tables/table13.xml" ContentType="application/vnd.openxmlformats-officedocument.spreadsheetml.table+xml"/>
  <Override PartName="/xl/comments8.xml" ContentType="application/vnd.openxmlformats-officedocument.spreadsheetml.comments+xml"/>
  <Override PartName="/xl/drawings/drawing23.xml" ContentType="application/vnd.openxmlformats-officedocument.drawing+xml"/>
  <Override PartName="/xl/tables/table14.xml" ContentType="application/vnd.openxmlformats-officedocument.spreadsheetml.table+xml"/>
  <Override PartName="/xl/comments9.xml" ContentType="application/vnd.openxmlformats-officedocument.spreadsheetml.comments+xml"/>
  <Override PartName="/xl/drawings/drawing24.xml" ContentType="application/vnd.openxmlformats-officedocument.drawing+xml"/>
  <Override PartName="/xl/tables/table15.xml" ContentType="application/vnd.openxmlformats-officedocument.spreadsheetml.table+xml"/>
  <Override PartName="/xl/comments10.xml" ContentType="application/vnd.openxmlformats-officedocument.spreadsheetml.comments+xml"/>
  <Override PartName="/xl/drawings/drawing25.xml" ContentType="application/vnd.openxmlformats-officedocument.drawing+xml"/>
  <Override PartName="/xl/tables/table16.xml" ContentType="application/vnd.openxmlformats-officedocument.spreadsheetml.table+xml"/>
  <Override PartName="/xl/comments11.xml" ContentType="application/vnd.openxmlformats-officedocument.spreadsheetml.comments+xml"/>
  <Override PartName="/xl/drawings/drawing26.xml" ContentType="application/vnd.openxmlformats-officedocument.drawing+xml"/>
  <Override PartName="/xl/tables/table17.xml" ContentType="application/vnd.openxmlformats-officedocument.spreadsheetml.table+xml"/>
  <Override PartName="/xl/comments12.xml" ContentType="application/vnd.openxmlformats-officedocument.spreadsheetml.comments+xml"/>
  <Override PartName="/xl/drawings/drawing27.xml" ContentType="application/vnd.openxmlformats-officedocument.drawing+xml"/>
  <Override PartName="/xl/tables/table18.xml" ContentType="application/vnd.openxmlformats-officedocument.spreadsheetml.table+xml"/>
  <Override PartName="/xl/comments13.xml" ContentType="application/vnd.openxmlformats-officedocument.spreadsheetml.comments+xml"/>
  <Override PartName="/xl/drawings/drawing28.xml" ContentType="application/vnd.openxmlformats-officedocument.drawing+xml"/>
  <Override PartName="/xl/tables/table19.xml" ContentType="application/vnd.openxmlformats-officedocument.spreadsheetml.table+xml"/>
  <Override PartName="/xl/comments1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YLELOUTRE\Desktop\"/>
    </mc:Choice>
  </mc:AlternateContent>
  <bookViews>
    <workbookView xWindow="0" yWindow="0" windowWidth="19200" windowHeight="5890" tabRatio="865" firstSheet="3" activeTab="3"/>
  </bookViews>
  <sheets>
    <sheet name="Calculs_CABS" sheetId="52" state="hidden" r:id="rId1"/>
    <sheet name="CABS_CVC" sheetId="53" state="hidden" r:id="rId2"/>
    <sheet name="Liste_CABS" sheetId="54" state="hidden" r:id="rId3"/>
    <sheet name="Accueil" sheetId="58" r:id="rId4"/>
    <sheet name="Surface DEET" sheetId="51" r:id="rId5"/>
    <sheet name="DJU" sheetId="17" r:id="rId6"/>
    <sheet name="Site" sheetId="10" r:id="rId7"/>
    <sheet name="Synthèse" sheetId="21" r:id="rId8"/>
    <sheet name="Calcul_Bilan_Energie" sheetId="24" state="hidden" r:id="rId9"/>
    <sheet name="Choix DEET" sheetId="22" r:id="rId10"/>
    <sheet name="Suivi DEET" sheetId="20" r:id="rId11"/>
    <sheet name="CALCUL DEET" sheetId="14" state="hidden" r:id="rId12"/>
    <sheet name="Estimation_ECS" sheetId="43" state="hidden" r:id="rId13"/>
    <sheet name="Déclaration OPERAT" sheetId="44" r:id="rId14"/>
    <sheet name="Suivi Mensuel" sheetId="48" r:id="rId15"/>
    <sheet name="CalculSuiviMensuel" sheetId="49" state="hidden" r:id="rId16"/>
    <sheet name="Rigueur Climat." sheetId="34" state="hidden" r:id="rId17"/>
    <sheet name="Suivi Compteur" sheetId="39" r:id="rId18"/>
    <sheet name="Coût Energie" sheetId="27" r:id="rId19"/>
    <sheet name="TCD_compteur" sheetId="57" state="hidden" r:id="rId20"/>
    <sheet name="Suivi Production" sheetId="26" state="hidden" r:id="rId21"/>
    <sheet name="Suivi Sous_compteur" sheetId="40" state="hidden" r:id="rId22"/>
    <sheet name="Controle_des_données" sheetId="11" state="hidden" r:id="rId23"/>
    <sheet name="Démarche CTEES" sheetId="59" r:id="rId24"/>
    <sheet name="Reporting CTEES" sheetId="60" r:id="rId25"/>
    <sheet name="TCD_ENR" sheetId="61" r:id="rId26"/>
    <sheet name="Liste" sheetId="12" r:id="rId27"/>
    <sheet name="TCD_Conso" sheetId="55" state="hidden" r:id="rId28"/>
    <sheet name="Aide CME" sheetId="36" state="hidden" r:id="rId29"/>
    <sheet name="Compteur_1" sheetId="4" r:id="rId30"/>
    <sheet name="Ouverture" sheetId="42" state="hidden" r:id="rId31"/>
    <sheet name="Compteur_2" sheetId="1" r:id="rId32"/>
    <sheet name="Compteur_3" sheetId="2" r:id="rId33"/>
    <sheet name="Compteur_4" sheetId="3" r:id="rId34"/>
    <sheet name="Compteur_5" sheetId="28" r:id="rId35"/>
    <sheet name="Compteur_6" sheetId="8" r:id="rId36"/>
    <sheet name="Compteur_7" sheetId="15" r:id="rId37"/>
    <sheet name="Compteur_8" sheetId="16" r:id="rId38"/>
    <sheet name="ConversionCuveQuantité" sheetId="50" r:id="rId39"/>
    <sheet name="Notes_Versions" sheetId="32" state="hidden" r:id="rId40"/>
  </sheets>
  <definedNames>
    <definedName name="_xlnm._FilterDatabase" localSheetId="1" hidden="1">CABS_CVC!$A$3:$A$52</definedName>
    <definedName name="_xlcn.Tableau161" hidden="1">Tableau16[]</definedName>
    <definedName name="_xlcn.WorksheetConnection_TB_Energie_Eau_1.999_Vierge_LMS.xlsxTableau_annees1" hidden="1">Tableau_annees[]</definedName>
    <definedName name="_xlcn.WorksheetConnection_TB_Energie_Eau_1.999_Vierge_LMS.xlsxTableau_combustible1" hidden="1">Tableau_combustible[]</definedName>
    <definedName name="_xlcn.WorksheetConnection_TB_Energie_Eau_1.999_Vierge_LMS.xlsxTableau_mois1" hidden="1">Tableau_mois[]</definedName>
    <definedName name="_xlcn.WorksheetConnection_TB_Energie_Eau_1.999_Vierge_LMS.xlsxTableau_source1" hidden="1">Tableau_source[]</definedName>
    <definedName name="_xlcn.WorksheetConnection_TB_Energie_Eau_1.999_Vierge_LMS.xlsxTableau_usage1" hidden="1">Tableau_usage[]</definedName>
    <definedName name="_xlcn.WorksheetConnection_TB_Energie_Eau_1.999_Vierge_LMS.xlsxTableau141" hidden="1">Tableau_Type[]</definedName>
    <definedName name="Bureau_services_Publics">Liste_CABS!$K$3:$K$6</definedName>
    <definedName name="Centre_Hospitalier">Liste_CABS!$H$3:$H$18</definedName>
    <definedName name="Chaleur">Liste!$U$3:$U$7</definedName>
    <definedName name="Chronologie_Dates">#N/A</definedName>
    <definedName name="Chronologie_Dates1">#N/A</definedName>
    <definedName name="Coeff_chauff">Controle_des_données!$B$34</definedName>
    <definedName name="Coeff_refroid">Controle_des_données!$B$35</definedName>
    <definedName name="Cogénération">Liste!$Z$3:$Z$7</definedName>
    <definedName name="Collecteurs_solaires">Liste!$AA$3:$AA$7</definedName>
    <definedName name="Combustibles" localSheetId="28">#REF!</definedName>
    <definedName name="Combustibles">Liste!$W$3:$W$22</definedName>
    <definedName name="Consommation">Liste!$R$3:$R$6</definedName>
    <definedName name="Cpt_Consommation">Liste!$T$16</definedName>
    <definedName name="Cpt_Index">Liste!$T$17</definedName>
    <definedName name="Eau">Liste!$X$3:$X$6</definedName>
    <definedName name="Electricité">Liste!$T$3:$T$7</definedName>
    <definedName name="Enseignement">Liste_CABS!$L$3:$L$16</definedName>
    <definedName name="Etablissement_Balneo">Liste_CABS!$I$3:$I$4</definedName>
    <definedName name="Etablissements_Médico_sociaux">Liste_CABS!$G$3:$G$15</definedName>
    <definedName name="_xlnm.Extract" localSheetId="1">CABS_CVC!#REF!</definedName>
    <definedName name="Froid">Liste!$AF$3:$AF$5</definedName>
    <definedName name="Géothermie">Liste!$AG$3:$AG$7</definedName>
    <definedName name="Liste_Type_compteur" localSheetId="28">#REF!</definedName>
    <definedName name="Liste_Type_compteur">Liste!$Q$3:$Q$5</definedName>
    <definedName name="Logistique">Liste_CABS!$J$3:$J$4</definedName>
    <definedName name="Photovolaïque">Liste!$Y$3:$Y$6</definedName>
    <definedName name="Process">Liste!$V$3:$V$4</definedName>
    <definedName name="Production">Liste!$S$3:$S$7</definedName>
    <definedName name="Salles_serveurs">Liste_CABS!$M$3:$M$4</definedName>
    <definedName name="Segment_Annee">#N/A</definedName>
    <definedName name="Segment_Dates__année">#N/A</definedName>
    <definedName name="Segment_Dates__mois">#N/A</definedName>
    <definedName name="Segment_Département1">#N/A</definedName>
    <definedName name="Segment_Nom">#N/A</definedName>
    <definedName name="Segment_Nom5">#N/A</definedName>
    <definedName name="Segment_Nom6">#N/A</definedName>
    <definedName name="Segment_Nom7">#N/A</definedName>
    <definedName name="Segment_Region1">#N/A</definedName>
    <definedName name="Sous_comptage">Liste!$AB$3:$AB$5</definedName>
    <definedName name="Sous_comptage_Chaleur">Liste!$AC$3:$AC$6</definedName>
    <definedName name="Sous_comptage_eau">Liste!$AE$3:$AE$7</definedName>
    <definedName name="Sous_comptage_elec">Liste!$AD$3:$AD$8</definedName>
    <definedName name="Str_TypeDonneesCpt1">Site!$H$38</definedName>
    <definedName name="Str_TypeDonneesCpt2">Site!$H$39</definedName>
    <definedName name="Str_TypeDonneesCpt3">Site!$H$40</definedName>
    <definedName name="Str_TypeDonneesCpt4">Site!$H$41</definedName>
    <definedName name="Str_TypeDonneesCpt5">Site!$H$42</definedName>
    <definedName name="Str_TypeDonneesCpt6">Site!$H$43</definedName>
    <definedName name="Str_TypeDonneesCpt7">Site!$H$44</definedName>
    <definedName name="Str_TypeDonneesCpt8">Site!$H$45</definedName>
    <definedName name="_xlnm.Print_Area" localSheetId="6">Site!$A:$J</definedName>
  </definedNames>
  <calcPr calcId="162913"/>
  <pivotCaches>
    <pivotCache cacheId="0" r:id="rId41"/>
    <pivotCache cacheId="1" r:id="rId42"/>
    <pivotCache cacheId="2" r:id="rId43"/>
    <pivotCache cacheId="3" r:id="rId44"/>
    <pivotCache cacheId="4" r:id="rId45"/>
    <pivotCache cacheId="5" r:id="rId46"/>
    <pivotCache cacheId="6" r:id="rId47"/>
    <pivotCache cacheId="7" r:id="rId48"/>
    <pivotCache cacheId="8" r:id="rId49"/>
    <pivotCache cacheId="9" r:id="rId50"/>
    <pivotCache cacheId="10" r:id="rId51"/>
    <pivotCache cacheId="11" r:id="rId52"/>
    <pivotCache cacheId="12" r:id="rId53"/>
    <pivotCache cacheId="13" r:id="rId54"/>
    <pivotCache cacheId="14" r:id="rId55"/>
    <pivotCache cacheId="15" r:id="rId56"/>
    <pivotCache cacheId="16" r:id="rId57"/>
    <pivotCache cacheId="17" r:id="rId58"/>
    <pivotCache cacheId="18" r:id="rId59"/>
  </pivotCaches>
  <extLst>
    <ext xmlns:x14="http://schemas.microsoft.com/office/spreadsheetml/2009/9/main" uri="{876F7934-8845-4945-9796-88D515C7AA90}">
      <x14:pivotCaches>
        <pivotCache cacheId="19" r:id="rId60"/>
        <pivotCache cacheId="20" r:id="rId61"/>
        <pivotCache cacheId="21" r:id="rId62"/>
        <pivotCache cacheId="22" r:id="rId63"/>
        <pivotCache cacheId="23" r:id="rId64"/>
        <pivotCache cacheId="24" r:id="rId65"/>
        <pivotCache cacheId="25" r:id="rId66"/>
      </x14:pivotCaches>
    </ext>
    <ext xmlns:x14="http://schemas.microsoft.com/office/spreadsheetml/2009/9/main" uri="{BBE1A952-AA13-448e-AADC-164F8A28A991}">
      <x14:slicerCaches>
        <x14:slicerCache r:id="rId67"/>
        <x14:slicerCache r:id="rId68"/>
        <x14:slicerCache r:id="rId69"/>
        <x14:slicerCache r:id="rId70"/>
        <x14:slicerCache r:id="rId71"/>
        <x14:slicerCache r:id="rId72"/>
        <x14:slicerCache r:id="rId73"/>
        <x14:slicerCache r:id="rId74"/>
        <x14:slicerCache r:id="rId75"/>
      </x14:slicerCaches>
    </ext>
    <ext xmlns:x14="http://schemas.microsoft.com/office/spreadsheetml/2009/9/main" uri="{79F54976-1DA5-4618-B147-4CDE4B953A38}">
      <x14:workbookPr/>
    </ext>
    <ext xmlns:x15="http://schemas.microsoft.com/office/spreadsheetml/2010/11/main" uri="{841E416B-1EF1-43b6-AB56-02D37102CBD5}">
      <x15:pivotCaches>
        <pivotCache cacheId="26" r:id="rId76"/>
        <pivotCache cacheId="27" r:id="rId77"/>
      </x15:pivotCaches>
    </ext>
    <ext xmlns:x15="http://schemas.microsoft.com/office/spreadsheetml/2010/11/main" uri="{983426D0-5260-488c-9760-48F4B6AC55F4}">
      <x15:pivotTableReferences>
        <x15:pivotTableReference r:id="rId78"/>
        <x15:pivotTableReference r:id="rId79"/>
      </x15:pivotTableReferences>
    </ext>
    <ext xmlns:x15="http://schemas.microsoft.com/office/spreadsheetml/2010/11/main" uri="{A2CB5862-8E78-49c6-8D9D-AF26E26ADB89}">
      <x15:timelineCachePivotCaches>
        <pivotCache cacheId="28" r:id="rId80"/>
        <pivotCache cacheId="29" r:id="rId81"/>
      </x15:timelineCachePivotCaches>
    </ext>
    <ext xmlns:x15="http://schemas.microsoft.com/office/spreadsheetml/2010/11/main" uri="{D0CA8CA8-9F24-4464-BF8E-62219DCF47F9}">
      <x15:timelineCacheRefs>
        <x15:timelineCacheRef r:id="rId82"/>
        <x15:timelineCacheRef r:id="rId83"/>
      </x15:timelineCacheRefs>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_concat_f148b151-7865-49f6-8190-93b92363fba8" name="Tab_concat" connection="Requête - Tab_concat"/>
          <x15:modelTable id="Tableau14" name="Tableau_type" connection="WorksheetConnection_TB_Energie_Eau_1.999_Vierge_LMS.xlsx!Tableau14"/>
          <x15:modelTable id="Tableau_usage" name="Tableau_usage" connection="WorksheetConnection_TB_Energie_Eau_1.999_Vierge_LMS.xlsx!Tableau_usage"/>
          <x15:modelTable id="Tableau_source" name="Tableau_source" connection="WorksheetConnection_TB_Energie_Eau_1.999_Vierge_LMS.xlsx!Tableau_source"/>
          <x15:modelTable id="Tableau_mois" name="Tableau_mois" connection="WorksheetConnection_TB_Energie_Eau_1.999_Vierge_LMS.xlsx!Tableau_mois"/>
          <x15:modelTable id="Tableau_combustible" name="Tableau_combustible" connection="WorksheetConnection_TB_Energie_Eau_1.999_Vierge_LMS.xlsx!Tableau_combustible"/>
          <x15:modelTable id="Tableau_annees" name="Tableau_annees" connection="WorksheetConnection_TB_Energie_Eau_1.999_Vierge_LMS.xlsx!Tableau_annees"/>
          <x15:modelTable id="Tableau16" name="Tableau16" connection="Tableau16"/>
        </x15:modelTables>
        <x15:modelRelationships>
          <x15:modelRelationship fromTable="Tab_concat" fromColumn="Compteur" toTable="Tableau16" toColumn="Compteur/Livraison"/>
          <x15:modelRelationship fromTable="Tab_concat" fromColumn="Annee" toTable="Tableau_annees" toColumn="Annee"/>
          <x15:modelRelationship fromTable="Tab_concat" fromColumn="Combustible" toTable="Tableau_combustible" toColumn="Combustible"/>
          <x15:modelRelationship fromTable="Tab_concat" fromColumn="Detail usage" toTable="Tableau_usage" toColumn="Detail usage"/>
          <x15:modelRelationship fromTable="Tab_concat" fromColumn="Mois" toTable="Tableau_mois" toColumn="Mois"/>
          <x15:modelRelationship fromTable="Tableau16" fromColumn="Type" toTable="Tableau_type" toColumn="Type"/>
          <x15:modelRelationship fromTable="Tableau16" fromColumn="Source" toTable="Tableau_source" toColumn="Source"/>
        </x15:modelRelationships>
        <x15:extLst>
          <ext xmlns:x16="http://schemas.microsoft.com/office/spreadsheetml/2014/11/main" uri="{9835A34E-60A6-4A7C-AAB8-D5F71C897F49}">
            <x16:modelTimeGroupings>
              <x16:modelTimeGrouping tableName="Tab_concat" columnName="Dates" columnId="Dates">
                <x16:calculatedTimeColumn columnName="Dates (année)" columnId="Dates (année)" contentType="years" isSelected="1"/>
                <x16:calculatedTimeColumn columnName="Dates (trimestre)" columnId="Dates (trimestre)" contentType="quarters" isSelected="1"/>
                <x16:calculatedTimeColumn columnName="Dates (index des mois)" columnId="Dates (index des mois)" contentType="monthsindex" isSelected="1"/>
                <x16:calculatedTimeColumn columnName="Dates (mois)" columnId="Dates (moi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Q6" i="60" l="1"/>
  <c r="CP6" i="60"/>
  <c r="CO6" i="60"/>
  <c r="BW6" i="60"/>
  <c r="CF6" i="60"/>
  <c r="BQ6" i="60"/>
  <c r="BY6" i="60"/>
  <c r="BT6" i="60"/>
  <c r="BX6" i="60"/>
  <c r="BZ6" i="60"/>
  <c r="CB6" i="60"/>
  <c r="BR6" i="60"/>
  <c r="BS6" i="60"/>
  <c r="CA6" i="60"/>
  <c r="CE6" i="60"/>
  <c r="CD6" i="60"/>
  <c r="CG6" i="60"/>
  <c r="BU6" i="60"/>
  <c r="CC6" i="60"/>
  <c r="BV6" i="60"/>
  <c r="CH6" i="60"/>
  <c r="C4" i="10" l="1"/>
  <c r="CM6" i="60"/>
  <c r="CK6" i="60"/>
  <c r="CJ6" i="60"/>
  <c r="CL6" i="60"/>
  <c r="CN6" i="60"/>
  <c r="CI6" i="60"/>
  <c r="C2" i="10" l="1"/>
  <c r="BL22" i="60"/>
  <c r="BP19" i="60"/>
  <c r="BP20" i="60"/>
  <c r="BO19" i="60"/>
  <c r="BM21" i="60"/>
  <c r="BN21" i="60"/>
  <c r="BL19" i="60"/>
  <c r="BK20" i="60"/>
  <c r="BN19" i="60"/>
  <c r="BO21" i="60"/>
  <c r="BM19" i="60"/>
  <c r="BK19" i="60"/>
  <c r="BL21" i="60"/>
  <c r="BN20" i="60"/>
  <c r="BP21" i="60"/>
  <c r="BK22" i="60"/>
  <c r="BO22" i="60"/>
  <c r="BN22" i="60"/>
  <c r="BO20" i="60"/>
  <c r="BP22" i="60"/>
  <c r="BL20" i="60"/>
  <c r="BK21" i="60"/>
  <c r="BM20" i="60"/>
  <c r="BM22" i="60"/>
  <c r="G23" i="12" l="1"/>
  <c r="GC6" i="60"/>
  <c r="GB6" i="60"/>
  <c r="GA6" i="60"/>
  <c r="FZ6" i="60"/>
  <c r="FY6" i="60"/>
  <c r="FX6" i="60"/>
  <c r="FW6" i="60"/>
  <c r="FV6" i="60"/>
  <c r="FU6" i="60"/>
  <c r="FT6" i="60"/>
  <c r="FS6" i="60"/>
  <c r="FR6" i="60"/>
  <c r="FQ6" i="60"/>
  <c r="FP6" i="60"/>
  <c r="FO6" i="60"/>
  <c r="FN6" i="60"/>
  <c r="FM6" i="60"/>
  <c r="FL6" i="60"/>
  <c r="FK6" i="60"/>
  <c r="FJ6" i="60"/>
  <c r="FI6" i="60"/>
  <c r="FH6" i="60"/>
  <c r="FG6" i="60"/>
  <c r="FF6" i="60"/>
  <c r="FE6" i="60"/>
  <c r="FD6" i="60"/>
  <c r="M6" i="60"/>
  <c r="L6" i="60"/>
  <c r="K6" i="60"/>
  <c r="C6" i="60"/>
  <c r="B6" i="60"/>
  <c r="AM18" i="60"/>
  <c r="AM16" i="60"/>
  <c r="AO16" i="60"/>
  <c r="BF6" i="60"/>
  <c r="DT6" i="60"/>
  <c r="BN18" i="60"/>
  <c r="AR21" i="60"/>
  <c r="AR22" i="60"/>
  <c r="AQ16" i="60"/>
  <c r="BK18" i="60"/>
  <c r="DO6" i="60"/>
  <c r="BE6" i="60"/>
  <c r="AV6" i="60"/>
  <c r="DP6" i="60"/>
  <c r="AT6" i="60"/>
  <c r="EQ6" i="60"/>
  <c r="AH6" i="60"/>
  <c r="EI6" i="60"/>
  <c r="BL16" i="60"/>
  <c r="AX6" i="60"/>
  <c r="BM18" i="60"/>
  <c r="DJ6" i="60"/>
  <c r="AF6" i="60"/>
  <c r="DK6" i="60"/>
  <c r="AN20" i="60"/>
  <c r="DL6" i="60"/>
  <c r="AC6" i="60"/>
  <c r="BG6" i="60"/>
  <c r="AP22" i="60"/>
  <c r="DQ6" i="60"/>
  <c r="AK6" i="60"/>
  <c r="AN21" i="60"/>
  <c r="AO19" i="60"/>
  <c r="EC6" i="60"/>
  <c r="AB6" i="60"/>
  <c r="EK6" i="60"/>
  <c r="EE6" i="60"/>
  <c r="DI6" i="60"/>
  <c r="AE6" i="60"/>
  <c r="AL6" i="60"/>
  <c r="AM20" i="60"/>
  <c r="BC6" i="60"/>
  <c r="DM6" i="60"/>
  <c r="AN17" i="60"/>
  <c r="AN16" i="60"/>
  <c r="CY6" i="60"/>
  <c r="AR19" i="60"/>
  <c r="EZ6" i="60"/>
  <c r="BI6" i="60"/>
  <c r="EW6" i="60"/>
  <c r="AZ6" i="60"/>
  <c r="BK16" i="60"/>
  <c r="AS6" i="60"/>
  <c r="AR16" i="60"/>
  <c r="DX6" i="60"/>
  <c r="BP17" i="60"/>
  <c r="FA6" i="60"/>
  <c r="ER6" i="60"/>
  <c r="EL6" i="60"/>
  <c r="AN22" i="60"/>
  <c r="BO16" i="60"/>
  <c r="AW6" i="60"/>
  <c r="BN17" i="60"/>
  <c r="BO17" i="60"/>
  <c r="EV6" i="60"/>
  <c r="AQ20" i="60"/>
  <c r="EJ6" i="60"/>
  <c r="ET6" i="60"/>
  <c r="AO17" i="60"/>
  <c r="DW6" i="60"/>
  <c r="BD6" i="60"/>
  <c r="EG6" i="60"/>
  <c r="AY6" i="60"/>
  <c r="AJ6" i="60"/>
  <c r="AQ17" i="60"/>
  <c r="DS6" i="60"/>
  <c r="AP20" i="60"/>
  <c r="EO6" i="60"/>
  <c r="AQ21" i="60"/>
  <c r="AM21" i="60"/>
  <c r="AP17" i="60"/>
  <c r="EM6" i="60"/>
  <c r="FC6" i="60"/>
  <c r="EP6" i="60"/>
  <c r="BH6" i="60"/>
  <c r="AP18" i="60"/>
  <c r="BP16" i="60"/>
  <c r="AO21" i="60"/>
  <c r="AA6" i="60"/>
  <c r="CZ6" i="60"/>
  <c r="DV6" i="60"/>
  <c r="AI6" i="60"/>
  <c r="AM17" i="60"/>
  <c r="CV6" i="60"/>
  <c r="AQ22" i="60"/>
  <c r="EA6" i="60"/>
  <c r="AQ19" i="60"/>
  <c r="BN16" i="60"/>
  <c r="AR20" i="60"/>
  <c r="AN19" i="60"/>
  <c r="AR18" i="60"/>
  <c r="EN6" i="60"/>
  <c r="AP16" i="60"/>
  <c r="AO20" i="60"/>
  <c r="AM19" i="60"/>
  <c r="AO18" i="60"/>
  <c r="AO22" i="60"/>
  <c r="DN6" i="60"/>
  <c r="BM17" i="60"/>
  <c r="CX6" i="60"/>
  <c r="DZ6" i="60"/>
  <c r="BL18" i="60"/>
  <c r="BK17" i="60"/>
  <c r="DH6" i="60"/>
  <c r="EX6" i="60"/>
  <c r="FB6" i="60"/>
  <c r="ES6" i="60"/>
  <c r="BL17" i="60"/>
  <c r="AP19" i="60"/>
  <c r="AN18" i="60"/>
  <c r="AG6" i="60"/>
  <c r="AP21" i="60"/>
  <c r="BM16" i="60"/>
  <c r="AD6" i="60"/>
  <c r="EU6" i="60"/>
  <c r="CW6" i="60"/>
  <c r="EH6" i="60"/>
  <c r="AU6" i="60"/>
  <c r="BB6" i="60"/>
  <c r="EF6" i="60"/>
  <c r="AQ18" i="60"/>
  <c r="BA6" i="60"/>
  <c r="DY6" i="60"/>
  <c r="AR17" i="60"/>
  <c r="BO18" i="60"/>
  <c r="BP18" i="60"/>
  <c r="BJ6" i="60"/>
  <c r="EY6" i="60"/>
  <c r="DU6" i="60"/>
  <c r="DR6" i="60"/>
  <c r="DA6" i="60"/>
  <c r="AM22" i="60"/>
  <c r="EB6" i="60"/>
  <c r="AQ6" i="60" l="1"/>
  <c r="AN6" i="60"/>
  <c r="BM6" i="60"/>
  <c r="AO6" i="60"/>
  <c r="BP6" i="60"/>
  <c r="AR6" i="60"/>
  <c r="BK6" i="60"/>
  <c r="AM6" i="60"/>
  <c r="AP6" i="60"/>
  <c r="BL6" i="60"/>
  <c r="BO6" i="60"/>
  <c r="BN6" i="60"/>
  <c r="B28" i="11"/>
  <c r="B27" i="11"/>
  <c r="B24" i="11"/>
  <c r="ED6" i="60"/>
  <c r="HQ2" i="60"/>
  <c r="HU2" i="60"/>
  <c r="HT2" i="60"/>
  <c r="HS2" i="60"/>
  <c r="HV2" i="60"/>
  <c r="HR2" i="60"/>
  <c r="E39" i="12" l="1"/>
  <c r="E40" i="12"/>
  <c r="E41" i="12"/>
  <c r="E42" i="12"/>
  <c r="E43" i="12"/>
  <c r="E44" i="12"/>
  <c r="E38" i="12"/>
  <c r="E3" i="2"/>
  <c r="E3" i="1"/>
  <c r="D30" i="50" l="1"/>
  <c r="D31" i="50"/>
  <c r="N2" i="24" l="1"/>
  <c r="B3" i="51"/>
  <c r="I3" i="16" l="1"/>
  <c r="I51" i="16"/>
  <c r="I104" i="16"/>
  <c r="I105" i="16"/>
  <c r="I106" i="16"/>
  <c r="I107" i="16"/>
  <c r="I108" i="16"/>
  <c r="I109" i="16"/>
  <c r="I110" i="16"/>
  <c r="I111" i="16"/>
  <c r="I112" i="16"/>
  <c r="I113" i="16"/>
  <c r="I114" i="16"/>
  <c r="I115" i="16"/>
  <c r="I116" i="16"/>
  <c r="I117" i="16"/>
  <c r="I118" i="16"/>
  <c r="I119" i="16"/>
  <c r="I120" i="16"/>
  <c r="I121" i="16"/>
  <c r="I122" i="16"/>
  <c r="I123" i="16"/>
  <c r="I124" i="16"/>
  <c r="I125" i="16"/>
  <c r="I126" i="16"/>
  <c r="I127" i="16"/>
  <c r="I128" i="16"/>
  <c r="I129" i="16"/>
  <c r="I130" i="16"/>
  <c r="I131" i="16"/>
  <c r="I132" i="16"/>
  <c r="I133" i="16"/>
  <c r="I134" i="16"/>
  <c r="I135" i="16"/>
  <c r="I136" i="16"/>
  <c r="I137" i="16"/>
  <c r="I138" i="16"/>
  <c r="I139" i="16"/>
  <c r="I140" i="16"/>
  <c r="I141" i="16"/>
  <c r="I142" i="16"/>
  <c r="I143" i="16"/>
  <c r="I144" i="16"/>
  <c r="I145" i="16"/>
  <c r="I146" i="16"/>
  <c r="I147" i="16"/>
  <c r="I148" i="16"/>
  <c r="I149" i="16"/>
  <c r="I150" i="16"/>
  <c r="I151" i="16"/>
  <c r="I152" i="16"/>
  <c r="I153" i="16"/>
  <c r="I154" i="16"/>
  <c r="I155" i="16"/>
  <c r="I156" i="16"/>
  <c r="I157" i="16"/>
  <c r="I158" i="16"/>
  <c r="I159" i="16"/>
  <c r="I160" i="16"/>
  <c r="I161" i="16"/>
  <c r="I162" i="16"/>
  <c r="I163" i="16"/>
  <c r="I164" i="16"/>
  <c r="I165" i="16"/>
  <c r="I166" i="16"/>
  <c r="I167" i="16"/>
  <c r="I168" i="16"/>
  <c r="I169" i="16"/>
  <c r="I170" i="16"/>
  <c r="I171" i="16"/>
  <c r="I172" i="16"/>
  <c r="I173" i="16"/>
  <c r="I174" i="16"/>
  <c r="I175" i="16"/>
  <c r="I176" i="16"/>
  <c r="I177" i="16"/>
  <c r="I178" i="16"/>
  <c r="I179" i="16"/>
  <c r="I180" i="16"/>
  <c r="I181" i="16"/>
  <c r="I182" i="16"/>
  <c r="I183" i="16"/>
  <c r="I184" i="16"/>
  <c r="I185" i="16"/>
  <c r="I186" i="16"/>
  <c r="I187" i="16"/>
  <c r="I188" i="16"/>
  <c r="I189" i="16"/>
  <c r="I190" i="16"/>
  <c r="I191" i="16"/>
  <c r="I192" i="16"/>
  <c r="I193" i="16"/>
  <c r="I194" i="16"/>
  <c r="I195" i="16"/>
  <c r="I196" i="16"/>
  <c r="I197" i="16"/>
  <c r="I198" i="16"/>
  <c r="I199" i="16"/>
  <c r="I200" i="16"/>
  <c r="I201" i="16"/>
  <c r="I202" i="16"/>
  <c r="I203" i="16"/>
  <c r="I204" i="16"/>
  <c r="I205" i="16"/>
  <c r="I206" i="16"/>
  <c r="I207" i="16"/>
  <c r="I208" i="16"/>
  <c r="I209" i="16"/>
  <c r="I210" i="16"/>
  <c r="I211" i="16"/>
  <c r="I212" i="16"/>
  <c r="I213" i="16"/>
  <c r="I214" i="16"/>
  <c r="I215" i="16"/>
  <c r="I216" i="16"/>
  <c r="I217" i="16"/>
  <c r="I218" i="16"/>
  <c r="I219" i="16"/>
  <c r="I220" i="16"/>
  <c r="I221" i="16"/>
  <c r="I222" i="16"/>
  <c r="I223" i="16"/>
  <c r="I224" i="16"/>
  <c r="I225" i="16"/>
  <c r="I226" i="16"/>
  <c r="I227" i="16"/>
  <c r="I228" i="16"/>
  <c r="I229" i="16"/>
  <c r="I230" i="16"/>
  <c r="I231" i="16"/>
  <c r="I232" i="16"/>
  <c r="I233" i="16"/>
  <c r="I234" i="16"/>
  <c r="I235" i="16"/>
  <c r="I236" i="16"/>
  <c r="I237" i="16"/>
  <c r="I238" i="16"/>
  <c r="I239" i="16"/>
  <c r="I240" i="16"/>
  <c r="I241" i="16"/>
  <c r="I242" i="16"/>
  <c r="I243" i="16"/>
  <c r="I3" i="15"/>
  <c r="I240" i="15"/>
  <c r="I241" i="15"/>
  <c r="I242" i="15"/>
  <c r="I243" i="15"/>
  <c r="I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148" i="8"/>
  <c r="I149" i="8"/>
  <c r="I150" i="8"/>
  <c r="I151" i="8"/>
  <c r="I152" i="8"/>
  <c r="I153" i="8"/>
  <c r="I154" i="8"/>
  <c r="I155" i="8"/>
  <c r="I156" i="8"/>
  <c r="I157" i="8"/>
  <c r="I158" i="8"/>
  <c r="I159" i="8"/>
  <c r="I160" i="8"/>
  <c r="I161" i="8"/>
  <c r="I162" i="8"/>
  <c r="I163" i="8"/>
  <c r="I164" i="8"/>
  <c r="I165" i="8"/>
  <c r="I166" i="8"/>
  <c r="I167" i="8"/>
  <c r="I168" i="8"/>
  <c r="I169" i="8"/>
  <c r="I170" i="8"/>
  <c r="I171" i="8"/>
  <c r="I172" i="8"/>
  <c r="I173" i="8"/>
  <c r="I174" i="8"/>
  <c r="I175" i="8"/>
  <c r="I176" i="8"/>
  <c r="I177" i="8"/>
  <c r="I178" i="8"/>
  <c r="I179" i="8"/>
  <c r="I180" i="8"/>
  <c r="I181" i="8"/>
  <c r="I182" i="8"/>
  <c r="I183" i="8"/>
  <c r="I184" i="8"/>
  <c r="I185" i="8"/>
  <c r="I186" i="8"/>
  <c r="I187" i="8"/>
  <c r="I188" i="8"/>
  <c r="I189" i="8"/>
  <c r="I190" i="8"/>
  <c r="I191" i="8"/>
  <c r="I192" i="8"/>
  <c r="I193" i="8"/>
  <c r="I194" i="8"/>
  <c r="I195" i="8"/>
  <c r="I196" i="8"/>
  <c r="I197" i="8"/>
  <c r="I198" i="8"/>
  <c r="I199" i="8"/>
  <c r="I200" i="8"/>
  <c r="I201" i="8"/>
  <c r="I202" i="8"/>
  <c r="I203" i="8"/>
  <c r="I204" i="8"/>
  <c r="I205" i="8"/>
  <c r="I206" i="8"/>
  <c r="I207" i="8"/>
  <c r="I208" i="8"/>
  <c r="I209" i="8"/>
  <c r="I210" i="8"/>
  <c r="I211" i="8"/>
  <c r="I212" i="8"/>
  <c r="I213" i="8"/>
  <c r="I214" i="8"/>
  <c r="I215" i="8"/>
  <c r="I216" i="8"/>
  <c r="I217" i="8"/>
  <c r="I218" i="8"/>
  <c r="I219" i="8"/>
  <c r="I220" i="8"/>
  <c r="I221" i="8"/>
  <c r="I222" i="8"/>
  <c r="I223" i="8"/>
  <c r="I224" i="8"/>
  <c r="I225" i="8"/>
  <c r="I226" i="8"/>
  <c r="I227" i="8"/>
  <c r="I228" i="8"/>
  <c r="I229" i="8"/>
  <c r="I230" i="8"/>
  <c r="I231" i="8"/>
  <c r="I232" i="8"/>
  <c r="I233" i="8"/>
  <c r="I234" i="8"/>
  <c r="I235" i="8"/>
  <c r="I236" i="8"/>
  <c r="I237" i="8"/>
  <c r="I238" i="8"/>
  <c r="I239" i="8"/>
  <c r="I240" i="8"/>
  <c r="I241" i="8"/>
  <c r="I242" i="8"/>
  <c r="I243" i="8"/>
  <c r="I3" i="28"/>
  <c r="I100" i="28"/>
  <c r="I101" i="28"/>
  <c r="I102" i="28"/>
  <c r="I103" i="28"/>
  <c r="I104" i="28"/>
  <c r="I105" i="28"/>
  <c r="I106" i="28"/>
  <c r="I107" i="28"/>
  <c r="I108" i="28"/>
  <c r="I109" i="28"/>
  <c r="I110" i="28"/>
  <c r="I111" i="28"/>
  <c r="I112" i="28"/>
  <c r="I113" i="28"/>
  <c r="I114" i="28"/>
  <c r="I115" i="28"/>
  <c r="I116" i="28"/>
  <c r="I117" i="28"/>
  <c r="I118" i="28"/>
  <c r="I119" i="28"/>
  <c r="I120" i="28"/>
  <c r="I121" i="28"/>
  <c r="I122" i="28"/>
  <c r="I123" i="28"/>
  <c r="I124" i="28"/>
  <c r="I125" i="28"/>
  <c r="I126" i="28"/>
  <c r="I127" i="28"/>
  <c r="I128" i="28"/>
  <c r="I129" i="28"/>
  <c r="I130" i="28"/>
  <c r="I131" i="28"/>
  <c r="I132" i="28"/>
  <c r="I133" i="28"/>
  <c r="I134" i="28"/>
  <c r="I135" i="28"/>
  <c r="I136" i="28"/>
  <c r="I137" i="28"/>
  <c r="I138" i="28"/>
  <c r="I139" i="28"/>
  <c r="I140" i="28"/>
  <c r="I141" i="28"/>
  <c r="I142" i="28"/>
  <c r="I143" i="28"/>
  <c r="I144" i="28"/>
  <c r="I145" i="28"/>
  <c r="I146" i="28"/>
  <c r="I147" i="28"/>
  <c r="I148" i="28"/>
  <c r="I149" i="28"/>
  <c r="I150" i="28"/>
  <c r="I151" i="28"/>
  <c r="I152" i="28"/>
  <c r="I153" i="28"/>
  <c r="I154" i="28"/>
  <c r="I155" i="28"/>
  <c r="I156" i="28"/>
  <c r="I157" i="28"/>
  <c r="I158" i="28"/>
  <c r="I159" i="28"/>
  <c r="I160" i="28"/>
  <c r="I161" i="28"/>
  <c r="I162" i="28"/>
  <c r="I163" i="28"/>
  <c r="I164" i="28"/>
  <c r="I165" i="28"/>
  <c r="I166" i="28"/>
  <c r="I167" i="28"/>
  <c r="I168" i="28"/>
  <c r="I169" i="28"/>
  <c r="I170" i="28"/>
  <c r="I171" i="28"/>
  <c r="I172" i="28"/>
  <c r="I173" i="28"/>
  <c r="I174" i="28"/>
  <c r="I175" i="28"/>
  <c r="I176" i="28"/>
  <c r="I177" i="28"/>
  <c r="I178" i="28"/>
  <c r="I179" i="28"/>
  <c r="I180" i="28"/>
  <c r="I181" i="28"/>
  <c r="I182" i="28"/>
  <c r="I183" i="28"/>
  <c r="I184" i="28"/>
  <c r="I185" i="28"/>
  <c r="I186" i="28"/>
  <c r="I187" i="28"/>
  <c r="I188" i="28"/>
  <c r="I189" i="28"/>
  <c r="I190" i="28"/>
  <c r="I191" i="28"/>
  <c r="I192" i="28"/>
  <c r="I193" i="28"/>
  <c r="I194" i="28"/>
  <c r="I195" i="28"/>
  <c r="I196" i="28"/>
  <c r="I197" i="28"/>
  <c r="I198" i="28"/>
  <c r="I199" i="28"/>
  <c r="I200" i="28"/>
  <c r="I201" i="28"/>
  <c r="I202" i="28"/>
  <c r="I203" i="28"/>
  <c r="I204" i="28"/>
  <c r="I205" i="28"/>
  <c r="I206" i="28"/>
  <c r="I207" i="28"/>
  <c r="I208" i="28"/>
  <c r="I209" i="28"/>
  <c r="I210" i="28"/>
  <c r="I211" i="28"/>
  <c r="I212" i="28"/>
  <c r="I213" i="28"/>
  <c r="I214" i="28"/>
  <c r="I215" i="28"/>
  <c r="I216" i="28"/>
  <c r="I217" i="28"/>
  <c r="I218" i="28"/>
  <c r="I219" i="28"/>
  <c r="I220" i="28"/>
  <c r="I221" i="28"/>
  <c r="I222" i="28"/>
  <c r="I223" i="28"/>
  <c r="I224" i="28"/>
  <c r="I225" i="28"/>
  <c r="I226" i="28"/>
  <c r="I227" i="28"/>
  <c r="I228" i="28"/>
  <c r="I229" i="28"/>
  <c r="I230" i="28"/>
  <c r="I231" i="28"/>
  <c r="I232" i="28"/>
  <c r="I233" i="28"/>
  <c r="I234" i="28"/>
  <c r="I235" i="28"/>
  <c r="I236" i="28"/>
  <c r="I237" i="28"/>
  <c r="I238" i="28"/>
  <c r="I239" i="28"/>
  <c r="I240" i="28"/>
  <c r="I241" i="28"/>
  <c r="I242" i="28"/>
  <c r="I243" i="28"/>
  <c r="I3" i="2"/>
  <c r="I44" i="2"/>
  <c r="I45" i="2"/>
  <c r="I46" i="2"/>
  <c r="I47" i="2"/>
  <c r="I48" i="2"/>
  <c r="I49" i="2"/>
  <c r="I50" i="2"/>
  <c r="I51" i="2"/>
  <c r="I53" i="2"/>
  <c r="I54" i="2"/>
  <c r="I55" i="2"/>
  <c r="I56" i="2"/>
  <c r="I57" i="2"/>
  <c r="I58" i="2"/>
  <c r="I59" i="2"/>
  <c r="I60" i="2"/>
  <c r="I61" i="2"/>
  <c r="I62" i="2"/>
  <c r="I63" i="2"/>
  <c r="I65" i="2"/>
  <c r="I66" i="2"/>
  <c r="I67" i="2"/>
  <c r="I68" i="2"/>
  <c r="I69" i="2"/>
  <c r="I70" i="2"/>
  <c r="I71" i="2"/>
  <c r="I72" i="2"/>
  <c r="I73" i="2"/>
  <c r="I74" i="2"/>
  <c r="I75" i="2"/>
  <c r="I77" i="2"/>
  <c r="I78" i="2"/>
  <c r="I79" i="2"/>
  <c r="I80" i="2"/>
  <c r="I81" i="2"/>
  <c r="I82" i="2"/>
  <c r="I83" i="2"/>
  <c r="I84" i="2"/>
  <c r="I85" i="2"/>
  <c r="I86" i="2"/>
  <c r="I87" i="2"/>
  <c r="I89" i="2"/>
  <c r="I90" i="2"/>
  <c r="I91" i="2"/>
  <c r="I92" i="2"/>
  <c r="I93" i="2"/>
  <c r="I94" i="2"/>
  <c r="I95" i="2"/>
  <c r="I96" i="2"/>
  <c r="I97" i="2"/>
  <c r="I98" i="2"/>
  <c r="I99" i="2"/>
  <c r="I101" i="2"/>
  <c r="I102" i="2"/>
  <c r="I103" i="2"/>
  <c r="I104" i="2"/>
  <c r="I105" i="2"/>
  <c r="I106" i="2"/>
  <c r="I107" i="2"/>
  <c r="I108" i="2"/>
  <c r="I109" i="2"/>
  <c r="I110" i="2"/>
  <c r="I111" i="2"/>
  <c r="I113" i="2"/>
  <c r="I114" i="2"/>
  <c r="I115" i="2"/>
  <c r="I116" i="2"/>
  <c r="I117" i="2"/>
  <c r="I118" i="2"/>
  <c r="I119" i="2"/>
  <c r="I120" i="2"/>
  <c r="I121" i="2"/>
  <c r="I122" i="2"/>
  <c r="I123" i="2"/>
  <c r="I125" i="2"/>
  <c r="I126" i="2"/>
  <c r="I127" i="2"/>
  <c r="I128" i="2"/>
  <c r="I129" i="2"/>
  <c r="I130" i="2"/>
  <c r="I131" i="2"/>
  <c r="I132" i="2"/>
  <c r="I133" i="2"/>
  <c r="I134" i="2"/>
  <c r="I135" i="2"/>
  <c r="I141" i="2"/>
  <c r="I142" i="2"/>
  <c r="I143" i="2"/>
  <c r="I144" i="2"/>
  <c r="I145" i="2"/>
  <c r="I146" i="2"/>
  <c r="I147" i="2"/>
  <c r="I151"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3" i="4"/>
  <c r="I3"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G9" i="10" l="1"/>
  <c r="G10" i="10" s="1"/>
  <c r="G11" i="10" s="1"/>
  <c r="G12" i="10" s="1"/>
  <c r="G13" i="10" s="1"/>
  <c r="G14" i="10" s="1"/>
  <c r="G15" i="10" s="1"/>
  <c r="G16" i="10" s="1"/>
  <c r="G17" i="10" s="1"/>
  <c r="G18" i="10" s="1"/>
  <c r="G19" i="10" s="1"/>
  <c r="G20" i="10" s="1"/>
  <c r="G21" i="10" s="1"/>
  <c r="G22" i="10" s="1"/>
  <c r="G23" i="10" s="1"/>
  <c r="G24" i="10" s="1"/>
  <c r="G25" i="10" s="1"/>
  <c r="G26" i="10" s="1"/>
  <c r="G27" i="10" s="1"/>
  <c r="G28" i="10" s="1"/>
  <c r="F9" i="10"/>
  <c r="F10" i="10" s="1"/>
  <c r="F11" i="10" s="1"/>
  <c r="F12" i="10" s="1"/>
  <c r="F13" i="10" s="1"/>
  <c r="F14" i="10" s="1"/>
  <c r="F15" i="10" s="1"/>
  <c r="F16" i="10" s="1"/>
  <c r="F17" i="10" s="1"/>
  <c r="F18" i="10" s="1"/>
  <c r="F19" i="10" s="1"/>
  <c r="A15" i="28"/>
  <c r="A19" i="8"/>
  <c r="A6" i="16"/>
  <c r="A5" i="16"/>
  <c r="A66" i="16"/>
  <c r="A4" i="16"/>
  <c r="D2" i="50"/>
  <c r="D3" i="50"/>
  <c r="D4" i="50"/>
  <c r="D5" i="50"/>
  <c r="D6" i="50"/>
  <c r="D7" i="50"/>
  <c r="D8" i="50"/>
  <c r="D9" i="50"/>
  <c r="D10" i="50"/>
  <c r="D11" i="50"/>
  <c r="D12" i="50"/>
  <c r="D13" i="50"/>
  <c r="D14" i="50"/>
  <c r="D15" i="50"/>
  <c r="D16" i="50"/>
  <c r="D17" i="50"/>
  <c r="D18" i="50"/>
  <c r="D19" i="50"/>
  <c r="D20" i="50"/>
  <c r="D21" i="50"/>
  <c r="D22" i="50"/>
  <c r="D23" i="50"/>
  <c r="D24" i="50"/>
  <c r="D25" i="50"/>
  <c r="D26" i="50"/>
  <c r="D27" i="50"/>
  <c r="D28" i="50"/>
  <c r="D29" i="50"/>
  <c r="D32" i="50"/>
  <c r="D33" i="50"/>
  <c r="D34" i="50"/>
  <c r="D35" i="50"/>
  <c r="D36" i="50"/>
  <c r="D37" i="50"/>
  <c r="D38" i="50"/>
  <c r="D39" i="50"/>
  <c r="D40" i="50"/>
  <c r="D41" i="50"/>
  <c r="D42" i="50"/>
  <c r="D43" i="50"/>
  <c r="D44" i="50"/>
  <c r="D45" i="50"/>
  <c r="D46" i="50"/>
  <c r="D47" i="50"/>
  <c r="D48" i="50"/>
  <c r="D49" i="50"/>
  <c r="D50" i="50"/>
  <c r="D51" i="50"/>
  <c r="D52" i="50"/>
  <c r="D53" i="50"/>
  <c r="D54" i="50"/>
  <c r="D55" i="50"/>
  <c r="D56" i="50"/>
  <c r="D57" i="50"/>
  <c r="D58" i="50"/>
  <c r="D59" i="50"/>
  <c r="D60" i="50"/>
  <c r="D61" i="50"/>
  <c r="D62" i="50"/>
  <c r="D63" i="50"/>
  <c r="D64" i="50"/>
  <c r="D65" i="50"/>
  <c r="D66" i="50"/>
  <c r="D67" i="50"/>
  <c r="D68" i="50"/>
  <c r="D69" i="50"/>
  <c r="D70" i="50"/>
  <c r="D71" i="50"/>
  <c r="D72" i="50"/>
  <c r="D73" i="50"/>
  <c r="D74" i="50"/>
  <c r="D75" i="50"/>
  <c r="D76" i="50"/>
  <c r="D77" i="50"/>
  <c r="D78" i="50"/>
  <c r="D79" i="50"/>
  <c r="D80" i="50"/>
  <c r="D81" i="50"/>
  <c r="D82" i="50"/>
  <c r="D83" i="50"/>
  <c r="D84" i="50"/>
  <c r="D85" i="50"/>
  <c r="D86" i="50"/>
  <c r="D87" i="50"/>
  <c r="D88" i="50"/>
  <c r="D89" i="50"/>
  <c r="D90" i="50"/>
  <c r="D91" i="50"/>
  <c r="D92" i="50"/>
  <c r="D93" i="50"/>
  <c r="D94" i="50"/>
  <c r="D95" i="50"/>
  <c r="D96" i="50"/>
  <c r="D97" i="50"/>
  <c r="D98" i="50"/>
  <c r="D99" i="50"/>
  <c r="D100" i="50"/>
  <c r="D101" i="50"/>
  <c r="D102" i="50"/>
  <c r="D103" i="50"/>
  <c r="D104" i="50"/>
  <c r="D105" i="50"/>
  <c r="D106" i="50"/>
  <c r="D107" i="50"/>
  <c r="D108" i="50"/>
  <c r="D109" i="50"/>
  <c r="D110" i="50"/>
  <c r="D111" i="50"/>
  <c r="D112" i="50"/>
  <c r="D113" i="50"/>
  <c r="D114" i="50"/>
  <c r="D115" i="50"/>
  <c r="D116" i="50"/>
  <c r="D117" i="50"/>
  <c r="D118" i="50"/>
  <c r="D119" i="50"/>
  <c r="D120" i="50"/>
  <c r="D121" i="50"/>
  <c r="D122" i="50"/>
  <c r="D123" i="50"/>
  <c r="D124" i="50"/>
  <c r="D125" i="50"/>
  <c r="D126" i="50"/>
  <c r="D127" i="50"/>
  <c r="D128" i="50"/>
  <c r="D129" i="50"/>
  <c r="D130" i="50"/>
  <c r="D131" i="50"/>
  <c r="D132" i="50"/>
  <c r="D133" i="50"/>
  <c r="D134" i="50"/>
  <c r="D135" i="50"/>
  <c r="D136" i="50"/>
  <c r="D137" i="50"/>
  <c r="D138" i="50"/>
  <c r="D139" i="50"/>
  <c r="D140" i="50"/>
  <c r="D141" i="50"/>
  <c r="D142" i="50"/>
  <c r="D143" i="50"/>
  <c r="D144" i="50"/>
  <c r="D145" i="50"/>
  <c r="D146" i="50"/>
  <c r="D147" i="50"/>
  <c r="D148" i="50"/>
  <c r="D149" i="50"/>
  <c r="D150" i="50"/>
  <c r="D151" i="50"/>
  <c r="D152" i="50"/>
  <c r="D153" i="50"/>
  <c r="D154" i="50"/>
  <c r="D155" i="50"/>
  <c r="D156" i="50"/>
  <c r="D157" i="50"/>
  <c r="D158" i="50"/>
  <c r="D159" i="50"/>
  <c r="D160" i="50"/>
  <c r="D161" i="50"/>
  <c r="D162" i="50"/>
  <c r="D163" i="50"/>
  <c r="D164" i="50"/>
  <c r="D165" i="50"/>
  <c r="D166" i="50"/>
  <c r="D167" i="50"/>
  <c r="D168" i="50"/>
  <c r="D169" i="50"/>
  <c r="D170" i="50"/>
  <c r="D171" i="50"/>
  <c r="D172" i="50"/>
  <c r="D173" i="50"/>
  <c r="D174" i="50"/>
  <c r="D175" i="50"/>
  <c r="D176" i="50"/>
  <c r="D177" i="50"/>
  <c r="D178" i="50"/>
  <c r="D179" i="50"/>
  <c r="D180" i="50"/>
  <c r="D181" i="50"/>
  <c r="D182" i="50"/>
  <c r="D183" i="50"/>
  <c r="D184" i="50"/>
  <c r="D185" i="50"/>
  <c r="D186" i="50"/>
  <c r="D187" i="50"/>
  <c r="D188" i="50"/>
  <c r="D189" i="50"/>
  <c r="D190" i="50"/>
  <c r="D191" i="50"/>
  <c r="D192" i="50"/>
  <c r="D193" i="50"/>
  <c r="D194" i="50"/>
  <c r="D195" i="50"/>
  <c r="D196" i="50"/>
  <c r="D197" i="50"/>
  <c r="D198" i="50"/>
  <c r="D199" i="50"/>
  <c r="D200" i="50"/>
  <c r="D201" i="50"/>
  <c r="D202" i="50"/>
  <c r="D203" i="50"/>
  <c r="D204" i="50"/>
  <c r="D205" i="50"/>
  <c r="D206" i="50"/>
  <c r="D207" i="50"/>
  <c r="D208" i="50"/>
  <c r="D209" i="50"/>
  <c r="D210" i="50"/>
  <c r="D211" i="50"/>
  <c r="D212" i="50"/>
  <c r="D213" i="50"/>
  <c r="D214" i="50"/>
  <c r="D215" i="50"/>
  <c r="D216" i="50"/>
  <c r="D217" i="50"/>
  <c r="D218" i="50"/>
  <c r="D219" i="50"/>
  <c r="D220" i="50"/>
  <c r="D221" i="50"/>
  <c r="D222" i="50"/>
  <c r="D223" i="50"/>
  <c r="D224" i="50"/>
  <c r="D225" i="50"/>
  <c r="D226" i="50"/>
  <c r="D227" i="50"/>
  <c r="D228" i="50"/>
  <c r="D229" i="50"/>
  <c r="D230" i="50"/>
  <c r="D231" i="50"/>
  <c r="D232" i="50"/>
  <c r="D233" i="50"/>
  <c r="D234" i="50"/>
  <c r="D235" i="50"/>
  <c r="D236" i="50"/>
  <c r="D237" i="50"/>
  <c r="D238" i="50"/>
  <c r="E8" i="10"/>
  <c r="D9" i="10"/>
  <c r="D10" i="10"/>
  <c r="D11" i="10"/>
  <c r="D12" i="10"/>
  <c r="D13" i="10"/>
  <c r="D14" i="10"/>
  <c r="D15" i="10"/>
  <c r="D16" i="10"/>
  <c r="D17" i="10"/>
  <c r="D18" i="10"/>
  <c r="D19" i="10"/>
  <c r="D20" i="10"/>
  <c r="D21" i="10"/>
  <c r="D22" i="10"/>
  <c r="D23" i="10"/>
  <c r="D24" i="10"/>
  <c r="D25" i="10"/>
  <c r="D26" i="10"/>
  <c r="D27" i="10"/>
  <c r="D28" i="10"/>
  <c r="D8" i="10"/>
  <c r="C9" i="10"/>
  <c r="C10" i="10"/>
  <c r="C11" i="10"/>
  <c r="C12" i="10"/>
  <c r="C13" i="10"/>
  <c r="C14" i="10"/>
  <c r="C15" i="10"/>
  <c r="C16" i="10"/>
  <c r="C17" i="10"/>
  <c r="C18" i="10"/>
  <c r="C19" i="10"/>
  <c r="O6" i="60" s="1"/>
  <c r="C20" i="10"/>
  <c r="P6" i="60" s="1"/>
  <c r="C21" i="10"/>
  <c r="Q6" i="60" s="1"/>
  <c r="C22" i="10"/>
  <c r="R6" i="60" s="1"/>
  <c r="C23" i="10"/>
  <c r="S6" i="60" s="1"/>
  <c r="C24" i="10"/>
  <c r="T6" i="60" s="1"/>
  <c r="C25" i="10"/>
  <c r="C26" i="10"/>
  <c r="C27" i="10"/>
  <c r="C28" i="10"/>
  <c r="C8" i="10"/>
  <c r="F20" i="10" l="1"/>
  <c r="U6" i="60"/>
  <c r="E9" i="10"/>
  <c r="E10" i="10"/>
  <c r="E11" i="10"/>
  <c r="E12" i="10"/>
  <c r="E13" i="10"/>
  <c r="E14" i="10"/>
  <c r="E15" i="10"/>
  <c r="E16" i="10"/>
  <c r="E17" i="10"/>
  <c r="E18" i="10"/>
  <c r="E19" i="10"/>
  <c r="E20" i="10"/>
  <c r="E21" i="10"/>
  <c r="E22" i="10"/>
  <c r="E23" i="10"/>
  <c r="E24" i="10"/>
  <c r="E25" i="10"/>
  <c r="E26" i="10"/>
  <c r="E27" i="10"/>
  <c r="E28" i="10"/>
  <c r="D4" i="44"/>
  <c r="AJ10" i="36"/>
  <c r="AB10" i="36"/>
  <c r="T10" i="36"/>
  <c r="L10" i="36"/>
  <c r="D10" i="36"/>
  <c r="Q31" i="24"/>
  <c r="K39" i="12"/>
  <c r="K40" i="12"/>
  <c r="B29" i="11" s="1"/>
  <c r="F21" i="10" l="1"/>
  <c r="V6" i="60"/>
  <c r="A4" i="4"/>
  <c r="F22" i="10" l="1"/>
  <c r="W6" i="60"/>
  <c r="C2" i="49"/>
  <c r="F5" i="48" s="1"/>
  <c r="C1" i="49"/>
  <c r="B5" i="48" s="1"/>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A118" i="16"/>
  <c r="A119" i="16"/>
  <c r="A120" i="16"/>
  <c r="A121" i="16"/>
  <c r="A122" i="16"/>
  <c r="A123" i="16"/>
  <c r="A124" i="16"/>
  <c r="A125" i="16"/>
  <c r="A126" i="16"/>
  <c r="A127" i="16"/>
  <c r="A128" i="16"/>
  <c r="A129" i="16"/>
  <c r="A130" i="16"/>
  <c r="A131" i="16"/>
  <c r="A132" i="16"/>
  <c r="A133" i="16"/>
  <c r="A134" i="16"/>
  <c r="A135" i="16"/>
  <c r="A136" i="16"/>
  <c r="A137" i="16"/>
  <c r="A138" i="16"/>
  <c r="A139" i="16"/>
  <c r="A140" i="16"/>
  <c r="A141" i="16"/>
  <c r="A142" i="16"/>
  <c r="A143" i="16"/>
  <c r="A144" i="16"/>
  <c r="A145" i="16"/>
  <c r="A146" i="16"/>
  <c r="A147" i="16"/>
  <c r="A148" i="16"/>
  <c r="A149" i="16"/>
  <c r="A150" i="16"/>
  <c r="A151" i="16"/>
  <c r="A152" i="16"/>
  <c r="A153" i="16"/>
  <c r="A154" i="16"/>
  <c r="A155" i="16"/>
  <c r="A156" i="16"/>
  <c r="A157" i="16"/>
  <c r="A158" i="16"/>
  <c r="A159" i="16"/>
  <c r="A160" i="16"/>
  <c r="A161" i="16"/>
  <c r="A162" i="16"/>
  <c r="A163" i="16"/>
  <c r="A164" i="16"/>
  <c r="A165" i="16"/>
  <c r="A166" i="16"/>
  <c r="A167" i="16"/>
  <c r="A168" i="16"/>
  <c r="A169" i="16"/>
  <c r="A170" i="16"/>
  <c r="A171" i="16"/>
  <c r="A172" i="16"/>
  <c r="A173" i="16"/>
  <c r="A174" i="16"/>
  <c r="A175" i="16"/>
  <c r="A176" i="16"/>
  <c r="A177" i="16"/>
  <c r="A178" i="16"/>
  <c r="A179" i="16"/>
  <c r="A180" i="16"/>
  <c r="A181" i="16"/>
  <c r="A182" i="16"/>
  <c r="A183" i="16"/>
  <c r="A184" i="16"/>
  <c r="A185" i="16"/>
  <c r="A186" i="16"/>
  <c r="A187" i="16"/>
  <c r="A188" i="16"/>
  <c r="A189" i="16"/>
  <c r="A190" i="16"/>
  <c r="A191" i="16"/>
  <c r="A192" i="16"/>
  <c r="A193" i="16"/>
  <c r="A194" i="16"/>
  <c r="A195" i="16"/>
  <c r="A196" i="16"/>
  <c r="A197" i="16"/>
  <c r="A198" i="16"/>
  <c r="A199" i="16"/>
  <c r="A200" i="16"/>
  <c r="A201" i="16"/>
  <c r="A202" i="16"/>
  <c r="A203" i="16"/>
  <c r="A204" i="16"/>
  <c r="A205" i="16"/>
  <c r="A206" i="16"/>
  <c r="A207" i="16"/>
  <c r="A208" i="16"/>
  <c r="A209" i="16"/>
  <c r="A210" i="16"/>
  <c r="A211" i="16"/>
  <c r="A212" i="16"/>
  <c r="A213" i="16"/>
  <c r="A214" i="16"/>
  <c r="A215" i="16"/>
  <c r="A216" i="16"/>
  <c r="A217" i="16"/>
  <c r="A218" i="16"/>
  <c r="A219" i="16"/>
  <c r="A220" i="16"/>
  <c r="A221" i="16"/>
  <c r="A222" i="16"/>
  <c r="A223" i="16"/>
  <c r="A224" i="16"/>
  <c r="A225" i="16"/>
  <c r="A226" i="16"/>
  <c r="A227" i="16"/>
  <c r="A228" i="16"/>
  <c r="A229" i="16"/>
  <c r="A230" i="16"/>
  <c r="A231" i="16"/>
  <c r="A232" i="16"/>
  <c r="A233" i="16"/>
  <c r="A234" i="16"/>
  <c r="A235" i="16"/>
  <c r="A236" i="16"/>
  <c r="A237" i="16"/>
  <c r="A238" i="16"/>
  <c r="A239" i="16"/>
  <c r="A240" i="16"/>
  <c r="A241" i="16"/>
  <c r="A242" i="16"/>
  <c r="A243" i="16"/>
  <c r="A241" i="15"/>
  <c r="A242" i="15"/>
  <c r="A243" i="15"/>
  <c r="A6" i="8"/>
  <c r="A7" i="8"/>
  <c r="A8" i="8"/>
  <c r="A9" i="8"/>
  <c r="A10" i="8"/>
  <c r="A11" i="8"/>
  <c r="A12" i="8"/>
  <c r="A13" i="8"/>
  <c r="A14" i="8"/>
  <c r="A15" i="8"/>
  <c r="A16" i="8"/>
  <c r="A17" i="8"/>
  <c r="A18"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F90" i="8" s="1"/>
  <c r="A91" i="8"/>
  <c r="F91" i="8" s="1"/>
  <c r="A92" i="8"/>
  <c r="F92" i="8" s="1"/>
  <c r="A93" i="8"/>
  <c r="F93" i="8" s="1"/>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193" i="8"/>
  <c r="A194" i="8"/>
  <c r="A195" i="8"/>
  <c r="A196" i="8"/>
  <c r="A197" i="8"/>
  <c r="A198" i="8"/>
  <c r="A199" i="8"/>
  <c r="A200" i="8"/>
  <c r="A201" i="8"/>
  <c r="A202" i="8"/>
  <c r="A203" i="8"/>
  <c r="A204" i="8"/>
  <c r="A205" i="8"/>
  <c r="A206" i="8"/>
  <c r="A207" i="8"/>
  <c r="A208" i="8"/>
  <c r="A209" i="8"/>
  <c r="A210" i="8"/>
  <c r="A211" i="8"/>
  <c r="A212" i="8"/>
  <c r="A213" i="8"/>
  <c r="A214" i="8"/>
  <c r="A215" i="8"/>
  <c r="A216" i="8"/>
  <c r="A217" i="8"/>
  <c r="A218" i="8"/>
  <c r="A219" i="8"/>
  <c r="A220" i="8"/>
  <c r="A221" i="8"/>
  <c r="A222" i="8"/>
  <c r="A223" i="8"/>
  <c r="A224" i="8"/>
  <c r="A225" i="8"/>
  <c r="A226" i="8"/>
  <c r="A227" i="8"/>
  <c r="A228" i="8"/>
  <c r="A229" i="8"/>
  <c r="A230" i="8"/>
  <c r="A231" i="8"/>
  <c r="A232" i="8"/>
  <c r="A233" i="8"/>
  <c r="A234" i="8"/>
  <c r="A235" i="8"/>
  <c r="A236" i="8"/>
  <c r="A237" i="8"/>
  <c r="A238" i="8"/>
  <c r="A239" i="8"/>
  <c r="A240" i="8"/>
  <c r="A241" i="8"/>
  <c r="A242" i="8"/>
  <c r="A243" i="8"/>
  <c r="A5" i="8"/>
  <c r="A6" i="28"/>
  <c r="A7" i="28"/>
  <c r="A8" i="28"/>
  <c r="A9" i="28"/>
  <c r="A10" i="28"/>
  <c r="A11" i="28"/>
  <c r="A12" i="28"/>
  <c r="A13" i="28"/>
  <c r="A14" i="28"/>
  <c r="A16" i="28"/>
  <c r="A17" i="28"/>
  <c r="A18" i="28"/>
  <c r="A19" i="28"/>
  <c r="A20" i="28"/>
  <c r="A21" i="28"/>
  <c r="A22" i="28"/>
  <c r="A23" i="28"/>
  <c r="A24" i="28"/>
  <c r="A25" i="28"/>
  <c r="A26" i="28"/>
  <c r="A27" i="28"/>
  <c r="A28" i="28"/>
  <c r="A29" i="28"/>
  <c r="A30" i="28"/>
  <c r="A31" i="28"/>
  <c r="A32" i="28"/>
  <c r="A33" i="28"/>
  <c r="A34" i="28"/>
  <c r="A35" i="28"/>
  <c r="A36" i="28"/>
  <c r="A37" i="28"/>
  <c r="A38" i="28"/>
  <c r="A39" i="28"/>
  <c r="A40" i="28"/>
  <c r="A41" i="28"/>
  <c r="A42" i="28"/>
  <c r="A43" i="28"/>
  <c r="A44" i="28"/>
  <c r="A45" i="28"/>
  <c r="A46" i="28"/>
  <c r="A47" i="28"/>
  <c r="A48" i="28"/>
  <c r="A49" i="28"/>
  <c r="A50" i="28"/>
  <c r="A51" i="28"/>
  <c r="A52" i="28"/>
  <c r="A53" i="28"/>
  <c r="A54" i="28"/>
  <c r="A55" i="28"/>
  <c r="A56" i="28"/>
  <c r="A57" i="28"/>
  <c r="A58" i="28"/>
  <c r="A59" i="28"/>
  <c r="A60" i="28"/>
  <c r="A61" i="28"/>
  <c r="A62" i="28"/>
  <c r="A63" i="28"/>
  <c r="A64" i="28"/>
  <c r="A65" i="28"/>
  <c r="A66" i="28"/>
  <c r="A67" i="28"/>
  <c r="A68" i="28"/>
  <c r="A69" i="28"/>
  <c r="A70" i="28"/>
  <c r="A71" i="28"/>
  <c r="A72" i="28"/>
  <c r="A73" i="28"/>
  <c r="A74" i="28"/>
  <c r="A75" i="28"/>
  <c r="A76" i="28"/>
  <c r="A77" i="28"/>
  <c r="A78" i="28"/>
  <c r="A79" i="28"/>
  <c r="A80" i="28"/>
  <c r="A81" i="28"/>
  <c r="A82" i="28"/>
  <c r="A83" i="28"/>
  <c r="A84" i="28"/>
  <c r="A85" i="28"/>
  <c r="A86" i="28"/>
  <c r="A87" i="28"/>
  <c r="A88" i="28"/>
  <c r="A89" i="28"/>
  <c r="A90" i="28"/>
  <c r="A91" i="28"/>
  <c r="A92" i="28"/>
  <c r="A93" i="28"/>
  <c r="A94" i="28"/>
  <c r="A95" i="28"/>
  <c r="A96" i="28"/>
  <c r="A97" i="28"/>
  <c r="A98" i="28"/>
  <c r="A99" i="28"/>
  <c r="A100" i="28"/>
  <c r="A101" i="28"/>
  <c r="A102" i="28"/>
  <c r="A103" i="28"/>
  <c r="A104" i="28"/>
  <c r="A105" i="28"/>
  <c r="A106" i="28"/>
  <c r="A107" i="28"/>
  <c r="A108" i="28"/>
  <c r="A109" i="28"/>
  <c r="A110" i="28"/>
  <c r="A111" i="28"/>
  <c r="A112" i="28"/>
  <c r="A113" i="28"/>
  <c r="A114" i="28"/>
  <c r="A115" i="28"/>
  <c r="A116" i="28"/>
  <c r="A117" i="28"/>
  <c r="A118" i="28"/>
  <c r="A119" i="28"/>
  <c r="A120" i="28"/>
  <c r="A121" i="28"/>
  <c r="A122" i="28"/>
  <c r="A123" i="28"/>
  <c r="A124" i="28"/>
  <c r="A125" i="28"/>
  <c r="A126" i="28"/>
  <c r="A127" i="28"/>
  <c r="A128" i="28"/>
  <c r="A129" i="28"/>
  <c r="A130" i="28"/>
  <c r="A131" i="28"/>
  <c r="A132" i="28"/>
  <c r="A133" i="28"/>
  <c r="A134" i="28"/>
  <c r="A135" i="28"/>
  <c r="A136" i="28"/>
  <c r="A137" i="28"/>
  <c r="A138" i="28"/>
  <c r="A139" i="28"/>
  <c r="A140" i="28"/>
  <c r="A141" i="28"/>
  <c r="A142" i="28"/>
  <c r="A143" i="28"/>
  <c r="A144" i="28"/>
  <c r="A145" i="28"/>
  <c r="A146" i="28"/>
  <c r="A147" i="28"/>
  <c r="A148" i="28"/>
  <c r="A149" i="28"/>
  <c r="A150" i="28"/>
  <c r="A151" i="28"/>
  <c r="A152" i="28"/>
  <c r="A153" i="28"/>
  <c r="A154" i="28"/>
  <c r="A155" i="28"/>
  <c r="A156" i="28"/>
  <c r="A157" i="28"/>
  <c r="A158" i="28"/>
  <c r="A159" i="28"/>
  <c r="A160" i="28"/>
  <c r="A161" i="28"/>
  <c r="A162" i="28"/>
  <c r="A163" i="28"/>
  <c r="A164" i="28"/>
  <c r="A165" i="28"/>
  <c r="A166" i="28"/>
  <c r="A167" i="28"/>
  <c r="A168" i="28"/>
  <c r="A169" i="28"/>
  <c r="A170" i="28"/>
  <c r="A171" i="28"/>
  <c r="A172" i="28"/>
  <c r="A173" i="28"/>
  <c r="A174" i="28"/>
  <c r="A175" i="28"/>
  <c r="A176" i="28"/>
  <c r="A177" i="28"/>
  <c r="A178" i="28"/>
  <c r="A179" i="28"/>
  <c r="A180" i="28"/>
  <c r="A181" i="28"/>
  <c r="A182" i="28"/>
  <c r="A183" i="28"/>
  <c r="A184" i="28"/>
  <c r="A185" i="28"/>
  <c r="A186" i="28"/>
  <c r="A187" i="28"/>
  <c r="A188" i="28"/>
  <c r="A189" i="28"/>
  <c r="A190" i="28"/>
  <c r="A191" i="28"/>
  <c r="A192" i="28"/>
  <c r="A193" i="28"/>
  <c r="A194" i="28"/>
  <c r="A195" i="28"/>
  <c r="A196" i="28"/>
  <c r="A197" i="28"/>
  <c r="A198" i="28"/>
  <c r="A199" i="28"/>
  <c r="A200" i="28"/>
  <c r="A201" i="28"/>
  <c r="A202" i="28"/>
  <c r="A203" i="28"/>
  <c r="A204" i="28"/>
  <c r="A205" i="28"/>
  <c r="A206" i="28"/>
  <c r="A207" i="28"/>
  <c r="A208" i="28"/>
  <c r="A209" i="28"/>
  <c r="A210" i="28"/>
  <c r="A211" i="28"/>
  <c r="A212" i="28"/>
  <c r="A213" i="28"/>
  <c r="A214" i="28"/>
  <c r="A215" i="28"/>
  <c r="A216" i="28"/>
  <c r="A217" i="28"/>
  <c r="A218" i="28"/>
  <c r="A219" i="28"/>
  <c r="A220" i="28"/>
  <c r="A221" i="28"/>
  <c r="A222" i="28"/>
  <c r="A223" i="28"/>
  <c r="A224" i="28"/>
  <c r="A225" i="28"/>
  <c r="A226" i="28"/>
  <c r="A227" i="28"/>
  <c r="A228" i="28"/>
  <c r="A229" i="28"/>
  <c r="A230" i="28"/>
  <c r="A231" i="28"/>
  <c r="A232" i="28"/>
  <c r="A233" i="28"/>
  <c r="A234" i="28"/>
  <c r="A235" i="28"/>
  <c r="A236" i="28"/>
  <c r="A237" i="28"/>
  <c r="A238" i="28"/>
  <c r="A239" i="28"/>
  <c r="A240" i="28"/>
  <c r="A241" i="28"/>
  <c r="A242" i="28"/>
  <c r="A243" i="28"/>
  <c r="A5" i="28"/>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5" i="3"/>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5" i="2"/>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5" i="1"/>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5" i="4"/>
  <c r="F27" i="14"/>
  <c r="O40" i="14"/>
  <c r="L71" i="14"/>
  <c r="J12" i="14"/>
  <c r="I69" i="14"/>
  <c r="M68" i="14"/>
  <c r="H68" i="14"/>
  <c r="F12" i="14"/>
  <c r="K29" i="14"/>
  <c r="H63" i="14"/>
  <c r="H55" i="14"/>
  <c r="K27" i="14"/>
  <c r="I28" i="14"/>
  <c r="O55" i="14"/>
  <c r="M26" i="14"/>
  <c r="N69" i="14"/>
  <c r="L13" i="14"/>
  <c r="J28" i="14"/>
  <c r="N56" i="14"/>
  <c r="E26" i="14"/>
  <c r="G20" i="14"/>
  <c r="J56" i="14"/>
  <c r="M12" i="14"/>
  <c r="N25" i="14"/>
  <c r="M28" i="14"/>
  <c r="K68" i="14"/>
  <c r="I29" i="14"/>
  <c r="F55" i="14"/>
  <c r="J25" i="14"/>
  <c r="H25" i="14"/>
  <c r="I56" i="14"/>
  <c r="E70" i="14"/>
  <c r="J27" i="14"/>
  <c r="I20" i="14"/>
  <c r="I25" i="14"/>
  <c r="O12" i="14"/>
  <c r="K69" i="14"/>
  <c r="J68" i="14"/>
  <c r="P68" i="14"/>
  <c r="G72" i="14"/>
  <c r="O70" i="14"/>
  <c r="D63" i="14"/>
  <c r="N13" i="14"/>
  <c r="N27" i="14"/>
  <c r="E25" i="14"/>
  <c r="E28" i="14"/>
  <c r="I40" i="14"/>
  <c r="E13" i="14"/>
  <c r="H26" i="14"/>
  <c r="F69" i="14"/>
  <c r="E68" i="14"/>
  <c r="N20" i="14"/>
  <c r="J55" i="14"/>
  <c r="L27" i="14"/>
  <c r="K56" i="14"/>
  <c r="F40" i="14"/>
  <c r="P63" i="14"/>
  <c r="F25" i="14"/>
  <c r="K71" i="14"/>
  <c r="L70" i="14"/>
  <c r="L55" i="14"/>
  <c r="H29" i="14"/>
  <c r="L26" i="14"/>
  <c r="M20" i="14"/>
  <c r="D70" i="14"/>
  <c r="O25" i="14"/>
  <c r="F63" i="14"/>
  <c r="E63" i="14"/>
  <c r="E55" i="14"/>
  <c r="M69" i="14"/>
  <c r="G70" i="14"/>
  <c r="H69" i="14"/>
  <c r="M40" i="14"/>
  <c r="I12" i="14"/>
  <c r="H12" i="14"/>
  <c r="O27" i="14"/>
  <c r="M55" i="14"/>
  <c r="N26" i="14"/>
  <c r="E40" i="14"/>
  <c r="H70" i="14"/>
  <c r="N29" i="14"/>
  <c r="H27" i="14"/>
  <c r="P55" i="14"/>
  <c r="K55" i="14"/>
  <c r="L29" i="14"/>
  <c r="M70" i="14"/>
  <c r="J70" i="14"/>
  <c r="J13" i="14"/>
  <c r="P69" i="14"/>
  <c r="E72" i="14"/>
  <c r="I63" i="14"/>
  <c r="O28" i="14"/>
  <c r="H28" i="14"/>
  <c r="O68" i="14"/>
  <c r="D69" i="14"/>
  <c r="M71" i="14"/>
  <c r="G56" i="14"/>
  <c r="O29" i="14"/>
  <c r="I27" i="14"/>
  <c r="H72" i="14"/>
  <c r="E29" i="14"/>
  <c r="F70" i="14"/>
  <c r="I13" i="14"/>
  <c r="L12" i="14"/>
  <c r="H13" i="14"/>
  <c r="N71" i="14"/>
  <c r="J69" i="14"/>
  <c r="G55" i="14"/>
  <c r="D71" i="14"/>
  <c r="L68" i="14"/>
  <c r="D72" i="14"/>
  <c r="J26" i="14"/>
  <c r="L69" i="14"/>
  <c r="K72" i="14"/>
  <c r="G68" i="14"/>
  <c r="N12" i="14"/>
  <c r="F56" i="14"/>
  <c r="K13" i="14"/>
  <c r="M29" i="14"/>
  <c r="H71" i="14"/>
  <c r="P56" i="14"/>
  <c r="F13" i="14"/>
  <c r="N40" i="14"/>
  <c r="O69" i="14"/>
  <c r="J40" i="14"/>
  <c r="I72" i="14"/>
  <c r="E12" i="14"/>
  <c r="I70" i="14"/>
  <c r="K63" i="14"/>
  <c r="N68" i="14"/>
  <c r="F20" i="14"/>
  <c r="L72" i="14"/>
  <c r="G12" i="14"/>
  <c r="H20" i="14"/>
  <c r="K26" i="14"/>
  <c r="G71" i="14"/>
  <c r="J72" i="14"/>
  <c r="G40" i="14"/>
  <c r="E56" i="14"/>
  <c r="E27" i="14"/>
  <c r="O63" i="14"/>
  <c r="J63" i="14"/>
  <c r="F26" i="14"/>
  <c r="N72" i="14"/>
  <c r="M56" i="14"/>
  <c r="J71" i="14"/>
  <c r="D56" i="14"/>
  <c r="K20" i="14"/>
  <c r="E71" i="14"/>
  <c r="I71" i="14"/>
  <c r="L25" i="14"/>
  <c r="O72" i="14"/>
  <c r="G27" i="14"/>
  <c r="N63" i="14"/>
  <c r="L63" i="14"/>
  <c r="O56" i="14"/>
  <c r="O20" i="14"/>
  <c r="P70" i="14"/>
  <c r="D68" i="14"/>
  <c r="F29" i="14"/>
  <c r="N28" i="14"/>
  <c r="K28" i="14"/>
  <c r="L20" i="14"/>
  <c r="P72" i="14"/>
  <c r="G29" i="14"/>
  <c r="O13" i="14"/>
  <c r="F71" i="14"/>
  <c r="K12" i="14"/>
  <c r="O71" i="14"/>
  <c r="I55" i="14"/>
  <c r="F28" i="14"/>
  <c r="M25" i="14"/>
  <c r="J20" i="14"/>
  <c r="F68" i="14"/>
  <c r="M72" i="14"/>
  <c r="M63" i="14"/>
  <c r="I26" i="14"/>
  <c r="J29" i="14"/>
  <c r="N55" i="14"/>
  <c r="G25" i="14"/>
  <c r="M27" i="14"/>
  <c r="E69" i="14"/>
  <c r="O26" i="14"/>
  <c r="M13" i="14"/>
  <c r="N70" i="14"/>
  <c r="L40" i="14"/>
  <c r="D55" i="14"/>
  <c r="F72" i="14"/>
  <c r="G28" i="14"/>
  <c r="G13" i="14"/>
  <c r="H40" i="14"/>
  <c r="K40" i="14"/>
  <c r="K70" i="14"/>
  <c r="M10" i="24"/>
  <c r="E20" i="14"/>
  <c r="G63" i="14"/>
  <c r="G26" i="14"/>
  <c r="G69" i="14"/>
  <c r="L56" i="14"/>
  <c r="I68" i="14"/>
  <c r="H56" i="14"/>
  <c r="P71" i="14"/>
  <c r="K25" i="14"/>
  <c r="L28" i="14"/>
  <c r="W9" i="36" l="1"/>
  <c r="X9" i="36"/>
  <c r="AA9" i="36"/>
  <c r="Y9" i="36"/>
  <c r="Z9" i="36"/>
  <c r="F23" i="10"/>
  <c r="X6" i="60"/>
  <c r="H90" i="8"/>
  <c r="G90" i="8"/>
  <c r="I90" i="8" s="1"/>
  <c r="H93" i="8"/>
  <c r="G93" i="8"/>
  <c r="I93" i="8" s="1"/>
  <c r="G91" i="8"/>
  <c r="I91" i="8" s="1"/>
  <c r="H91" i="8"/>
  <c r="H92" i="8"/>
  <c r="G92" i="8"/>
  <c r="I92" i="8" s="1"/>
  <c r="A186" i="4"/>
  <c r="A187" i="4"/>
  <c r="A176" i="4"/>
  <c r="A177" i="4"/>
  <c r="A178" i="4"/>
  <c r="A179" i="4"/>
  <c r="A180" i="4"/>
  <c r="A181" i="4"/>
  <c r="A182" i="4"/>
  <c r="A183" i="4"/>
  <c r="A184" i="4"/>
  <c r="A185" i="4"/>
  <c r="A175" i="4"/>
  <c r="D5" i="22"/>
  <c r="D4" i="20"/>
  <c r="F24" i="10" l="1"/>
  <c r="Y6" i="60"/>
  <c r="A193" i="4"/>
  <c r="A192" i="4"/>
  <c r="A191" i="4"/>
  <c r="A190" i="4"/>
  <c r="A189" i="4"/>
  <c r="A188" i="4"/>
  <c r="A195" i="4"/>
  <c r="A194" i="4"/>
  <c r="A196" i="4"/>
  <c r="F10" i="14"/>
  <c r="G10" i="14"/>
  <c r="H10" i="14"/>
  <c r="I10" i="14"/>
  <c r="J10" i="14"/>
  <c r="K10" i="14"/>
  <c r="L10" i="14"/>
  <c r="M10" i="14"/>
  <c r="N10" i="14"/>
  <c r="O10" i="14"/>
  <c r="E10" i="14"/>
  <c r="M32" i="14"/>
  <c r="M18" i="14"/>
  <c r="N32" i="14"/>
  <c r="N18" i="14"/>
  <c r="O32" i="14"/>
  <c r="O18" i="14"/>
  <c r="L32" i="14"/>
  <c r="L18" i="14"/>
  <c r="N91" i="14"/>
  <c r="O91" i="14"/>
  <c r="P91" i="14"/>
  <c r="F25" i="10" l="1"/>
  <c r="F26" i="10" s="1"/>
  <c r="F27" i="10" s="1"/>
  <c r="F28" i="10" s="1"/>
  <c r="Z6" i="60"/>
  <c r="A1" i="21"/>
  <c r="G10" i="12"/>
  <c r="G11" i="12"/>
  <c r="G12" i="12"/>
  <c r="G13" i="12"/>
  <c r="G14" i="12"/>
  <c r="G15" i="12"/>
  <c r="G16" i="12"/>
  <c r="G17" i="12"/>
  <c r="G18" i="12"/>
  <c r="G19" i="12"/>
  <c r="G20" i="12"/>
  <c r="G21" i="12"/>
  <c r="G22" i="12"/>
  <c r="G5" i="12"/>
  <c r="I7" i="11"/>
  <c r="I8" i="11"/>
  <c r="I9" i="11"/>
  <c r="I10" i="11"/>
  <c r="I11" i="11"/>
  <c r="I12" i="11"/>
  <c r="I13" i="11"/>
  <c r="I14" i="11"/>
  <c r="A4" i="8"/>
  <c r="E18" i="14"/>
  <c r="P18" i="24"/>
  <c r="P14" i="24"/>
  <c r="P17" i="24"/>
  <c r="P16" i="24"/>
  <c r="P15" i="24"/>
  <c r="P19" i="24" l="1"/>
  <c r="N6" i="24" a="1"/>
  <c r="N6" i="24" s="1"/>
  <c r="N7" i="24" a="1"/>
  <c r="N7" i="24" s="1"/>
  <c r="L13" i="50"/>
  <c r="G170" i="50"/>
  <c r="I171" i="15" s="1"/>
  <c r="G169" i="50"/>
  <c r="I170" i="15" s="1"/>
  <c r="G168" i="50"/>
  <c r="I169" i="15" s="1"/>
  <c r="G167" i="50"/>
  <c r="I168" i="15" s="1"/>
  <c r="G166" i="50"/>
  <c r="I167" i="15" s="1"/>
  <c r="G165" i="50"/>
  <c r="I166" i="15" s="1"/>
  <c r="G164" i="50"/>
  <c r="I165" i="15" s="1"/>
  <c r="G163" i="50"/>
  <c r="I164" i="15" s="1"/>
  <c r="G162" i="50"/>
  <c r="I163" i="15" s="1"/>
  <c r="G161" i="50"/>
  <c r="I162" i="15" s="1"/>
  <c r="G160" i="50"/>
  <c r="I161" i="15" s="1"/>
  <c r="G159" i="50"/>
  <c r="I160" i="15" s="1"/>
  <c r="G158" i="50"/>
  <c r="I159" i="15" s="1"/>
  <c r="G157" i="50"/>
  <c r="I158" i="15" s="1"/>
  <c r="G156" i="50"/>
  <c r="I157" i="15" s="1"/>
  <c r="G155" i="50"/>
  <c r="I156" i="15" s="1"/>
  <c r="G154" i="50"/>
  <c r="I155" i="15" s="1"/>
  <c r="G153" i="50"/>
  <c r="I154" i="15" s="1"/>
  <c r="G152" i="50"/>
  <c r="I153" i="15" s="1"/>
  <c r="G151" i="50"/>
  <c r="I152" i="15" s="1"/>
  <c r="G150" i="50"/>
  <c r="I151" i="15" s="1"/>
  <c r="G149" i="50"/>
  <c r="I150" i="15" s="1"/>
  <c r="G148" i="50"/>
  <c r="I149" i="15" s="1"/>
  <c r="G147" i="50"/>
  <c r="I148" i="15" s="1"/>
  <c r="G146" i="50"/>
  <c r="I147" i="15" s="1"/>
  <c r="G145" i="50"/>
  <c r="I146" i="15" s="1"/>
  <c r="G144" i="50"/>
  <c r="I145" i="15" s="1"/>
  <c r="G143" i="50"/>
  <c r="I144" i="15" s="1"/>
  <c r="G142" i="50"/>
  <c r="I143" i="15" s="1"/>
  <c r="G141" i="50"/>
  <c r="I142" i="15" s="1"/>
  <c r="G140" i="50"/>
  <c r="I141" i="15" s="1"/>
  <c r="G139" i="50"/>
  <c r="I140" i="15" s="1"/>
  <c r="G138" i="50"/>
  <c r="I139" i="15" s="1"/>
  <c r="G137" i="50"/>
  <c r="I138" i="15" s="1"/>
  <c r="G136" i="50"/>
  <c r="I137" i="15" s="1"/>
  <c r="G135" i="50"/>
  <c r="I136" i="15" s="1"/>
  <c r="G134" i="50"/>
  <c r="I135" i="15" s="1"/>
  <c r="G133" i="50"/>
  <c r="I134" i="15" s="1"/>
  <c r="G132" i="50"/>
  <c r="I133" i="15" s="1"/>
  <c r="G131" i="50"/>
  <c r="I132" i="15" s="1"/>
  <c r="G130" i="50"/>
  <c r="I131" i="15" s="1"/>
  <c r="G129" i="50"/>
  <c r="I130" i="15" s="1"/>
  <c r="G128" i="50"/>
  <c r="I129" i="15" s="1"/>
  <c r="G127" i="50"/>
  <c r="I128" i="15" s="1"/>
  <c r="G126" i="50"/>
  <c r="I127" i="15" s="1"/>
  <c r="G125" i="50"/>
  <c r="I126" i="15" s="1"/>
  <c r="G124" i="50"/>
  <c r="I125" i="15" s="1"/>
  <c r="G123" i="50"/>
  <c r="I124" i="15" s="1"/>
  <c r="G122" i="50"/>
  <c r="I123" i="15" s="1"/>
  <c r="G121" i="50"/>
  <c r="I122" i="15" s="1"/>
  <c r="G120" i="50"/>
  <c r="I121" i="15" s="1"/>
  <c r="G119" i="50"/>
  <c r="I120" i="15" s="1"/>
  <c r="G118" i="50"/>
  <c r="I119" i="15" s="1"/>
  <c r="G117" i="50"/>
  <c r="I118" i="15" s="1"/>
  <c r="G116" i="50"/>
  <c r="I117" i="15" s="1"/>
  <c r="G115" i="50"/>
  <c r="I116" i="15" s="1"/>
  <c r="G114" i="50"/>
  <c r="I115" i="15" s="1"/>
  <c r="G113" i="50"/>
  <c r="I114" i="15" s="1"/>
  <c r="G112" i="50"/>
  <c r="I113" i="15" s="1"/>
  <c r="G111" i="50"/>
  <c r="I112" i="15" s="1"/>
  <c r="G110" i="50"/>
  <c r="I111" i="15" s="1"/>
  <c r="G109" i="50"/>
  <c r="I110" i="15" s="1"/>
  <c r="G108" i="50"/>
  <c r="I109" i="15" s="1"/>
  <c r="G107" i="50"/>
  <c r="I108" i="15" s="1"/>
  <c r="G106" i="50"/>
  <c r="I107" i="15" s="1"/>
  <c r="G105" i="50"/>
  <c r="G104" i="50"/>
  <c r="G103" i="50"/>
  <c r="G102" i="50"/>
  <c r="G101" i="50"/>
  <c r="G100" i="50"/>
  <c r="G99" i="50"/>
  <c r="G98" i="50"/>
  <c r="G97" i="50"/>
  <c r="G96" i="50"/>
  <c r="G95" i="50"/>
  <c r="G94" i="50"/>
  <c r="G93" i="50"/>
  <c r="G92" i="50"/>
  <c r="G91" i="50"/>
  <c r="G90" i="50"/>
  <c r="G89" i="50"/>
  <c r="G88" i="50"/>
  <c r="G87" i="50"/>
  <c r="G86" i="50"/>
  <c r="G85" i="50"/>
  <c r="G84" i="50"/>
  <c r="G83" i="50"/>
  <c r="G82" i="50"/>
  <c r="G81" i="50"/>
  <c r="G80" i="50"/>
  <c r="G79" i="50"/>
  <c r="G78" i="50"/>
  <c r="G77" i="50"/>
  <c r="G76" i="50"/>
  <c r="G75" i="50"/>
  <c r="G74" i="50"/>
  <c r="G73" i="50"/>
  <c r="G72" i="50"/>
  <c r="G71" i="50"/>
  <c r="G70" i="50"/>
  <c r="G69" i="50"/>
  <c r="G68" i="50"/>
  <c r="G67" i="50"/>
  <c r="G66" i="50"/>
  <c r="G65" i="50"/>
  <c r="G64" i="50"/>
  <c r="G63" i="50"/>
  <c r="G62" i="50"/>
  <c r="G61" i="50"/>
  <c r="G60" i="50"/>
  <c r="G59" i="50"/>
  <c r="G58" i="50"/>
  <c r="G57" i="50"/>
  <c r="G56" i="50"/>
  <c r="G55" i="50"/>
  <c r="G54" i="50"/>
  <c r="G53" i="50"/>
  <c r="G52" i="50"/>
  <c r="G51" i="50"/>
  <c r="G50" i="50"/>
  <c r="G49" i="50"/>
  <c r="G48" i="50"/>
  <c r="G47" i="50"/>
  <c r="G46" i="50"/>
  <c r="G45" i="50"/>
  <c r="G44" i="50"/>
  <c r="G43" i="50"/>
  <c r="G42" i="50"/>
  <c r="G41" i="50"/>
  <c r="G40" i="50"/>
  <c r="G39" i="50"/>
  <c r="G38" i="50"/>
  <c r="G37" i="50"/>
  <c r="G36" i="50"/>
  <c r="G35" i="50"/>
  <c r="G34" i="50"/>
  <c r="G33" i="50"/>
  <c r="G32" i="50"/>
  <c r="G31" i="50"/>
  <c r="G30" i="50"/>
  <c r="G29" i="50"/>
  <c r="G28" i="50"/>
  <c r="G27" i="50"/>
  <c r="G26" i="50"/>
  <c r="G25" i="50"/>
  <c r="G24" i="50"/>
  <c r="G23" i="50"/>
  <c r="G22" i="50"/>
  <c r="G21" i="50"/>
  <c r="G20" i="50"/>
  <c r="G19" i="50"/>
  <c r="G18" i="50"/>
  <c r="G17" i="50"/>
  <c r="G16" i="50"/>
  <c r="G15" i="50"/>
  <c r="G14" i="50"/>
  <c r="G13" i="50"/>
  <c r="G12" i="50"/>
  <c r="G11" i="50"/>
  <c r="G10" i="50"/>
  <c r="G9" i="50"/>
  <c r="G8" i="50"/>
  <c r="G7" i="50"/>
  <c r="G6" i="50"/>
  <c r="G5" i="50"/>
  <c r="G4" i="50"/>
  <c r="G3" i="50"/>
  <c r="G238" i="50"/>
  <c r="I239" i="15" s="1"/>
  <c r="F238" i="50"/>
  <c r="G237" i="50"/>
  <c r="I238" i="15" s="1"/>
  <c r="F237" i="50"/>
  <c r="G236" i="50"/>
  <c r="I237" i="15" s="1"/>
  <c r="F236" i="50"/>
  <c r="G235" i="50"/>
  <c r="I236" i="15" s="1"/>
  <c r="F235" i="50"/>
  <c r="G234" i="50"/>
  <c r="I235" i="15" s="1"/>
  <c r="F234" i="50"/>
  <c r="G233" i="50"/>
  <c r="I234" i="15" s="1"/>
  <c r="F233" i="50"/>
  <c r="G232" i="50"/>
  <c r="I233" i="15" s="1"/>
  <c r="F232" i="50"/>
  <c r="G231" i="50"/>
  <c r="I232" i="15" s="1"/>
  <c r="F231" i="50"/>
  <c r="G230" i="50"/>
  <c r="I231" i="15" s="1"/>
  <c r="F230" i="50"/>
  <c r="G229" i="50"/>
  <c r="I230" i="15" s="1"/>
  <c r="F229" i="50"/>
  <c r="G228" i="50"/>
  <c r="I229" i="15" s="1"/>
  <c r="F228" i="50"/>
  <c r="G227" i="50"/>
  <c r="I228" i="15" s="1"/>
  <c r="F227" i="50"/>
  <c r="G226" i="50"/>
  <c r="I227" i="15" s="1"/>
  <c r="F226" i="50"/>
  <c r="G225" i="50"/>
  <c r="I226" i="15" s="1"/>
  <c r="F225" i="50"/>
  <c r="G224" i="50"/>
  <c r="I225" i="15" s="1"/>
  <c r="F224" i="50"/>
  <c r="G223" i="50"/>
  <c r="I224" i="15" s="1"/>
  <c r="F223" i="50"/>
  <c r="G222" i="50"/>
  <c r="I223" i="15" s="1"/>
  <c r="F222" i="50"/>
  <c r="G221" i="50"/>
  <c r="I222" i="15" s="1"/>
  <c r="F221" i="50"/>
  <c r="G220" i="50"/>
  <c r="I221" i="15" s="1"/>
  <c r="F220" i="50"/>
  <c r="G219" i="50"/>
  <c r="I220" i="15" s="1"/>
  <c r="F219" i="50"/>
  <c r="G218" i="50"/>
  <c r="I219" i="15" s="1"/>
  <c r="F218" i="50"/>
  <c r="G217" i="50"/>
  <c r="I218" i="15" s="1"/>
  <c r="F217" i="50"/>
  <c r="G216" i="50"/>
  <c r="I217" i="15" s="1"/>
  <c r="F216" i="50"/>
  <c r="G215" i="50"/>
  <c r="I216" i="15" s="1"/>
  <c r="F215" i="50"/>
  <c r="G214" i="50"/>
  <c r="I215" i="15" s="1"/>
  <c r="F214" i="50"/>
  <c r="G213" i="50"/>
  <c r="I214" i="15" s="1"/>
  <c r="F213" i="50"/>
  <c r="G212" i="50"/>
  <c r="I213" i="15" s="1"/>
  <c r="F212" i="50"/>
  <c r="G211" i="50"/>
  <c r="I212" i="15" s="1"/>
  <c r="F211" i="50"/>
  <c r="G210" i="50"/>
  <c r="I211" i="15" s="1"/>
  <c r="F210" i="50"/>
  <c r="G209" i="50"/>
  <c r="I210" i="15" s="1"/>
  <c r="F209" i="50"/>
  <c r="G208" i="50"/>
  <c r="I209" i="15" s="1"/>
  <c r="F208" i="50"/>
  <c r="G207" i="50"/>
  <c r="I208" i="15" s="1"/>
  <c r="F207" i="50"/>
  <c r="G206" i="50"/>
  <c r="I207" i="15" s="1"/>
  <c r="F206" i="50"/>
  <c r="G205" i="50"/>
  <c r="I206" i="15" s="1"/>
  <c r="F205" i="50"/>
  <c r="G204" i="50"/>
  <c r="I205" i="15" s="1"/>
  <c r="F204" i="50"/>
  <c r="G203" i="50"/>
  <c r="I204" i="15" s="1"/>
  <c r="F203" i="50"/>
  <c r="G202" i="50"/>
  <c r="I203" i="15" s="1"/>
  <c r="F202" i="50"/>
  <c r="G201" i="50"/>
  <c r="I202" i="15" s="1"/>
  <c r="F201" i="50"/>
  <c r="G200" i="50"/>
  <c r="I201" i="15" s="1"/>
  <c r="F200" i="50"/>
  <c r="G199" i="50"/>
  <c r="I200" i="15" s="1"/>
  <c r="F199" i="50"/>
  <c r="G198" i="50"/>
  <c r="I199" i="15" s="1"/>
  <c r="F198" i="50"/>
  <c r="G197" i="50"/>
  <c r="I198" i="15" s="1"/>
  <c r="F197" i="50"/>
  <c r="G196" i="50"/>
  <c r="I197" i="15" s="1"/>
  <c r="F196" i="50"/>
  <c r="G195" i="50"/>
  <c r="I196" i="15" s="1"/>
  <c r="F195" i="50"/>
  <c r="G194" i="50"/>
  <c r="I195" i="15" s="1"/>
  <c r="F194" i="50"/>
  <c r="G193" i="50"/>
  <c r="I194" i="15" s="1"/>
  <c r="F193" i="50"/>
  <c r="G192" i="50"/>
  <c r="I193" i="15" s="1"/>
  <c r="F192" i="50"/>
  <c r="G191" i="50"/>
  <c r="I192" i="15" s="1"/>
  <c r="F191" i="50"/>
  <c r="G190" i="50"/>
  <c r="I191" i="15" s="1"/>
  <c r="F190" i="50"/>
  <c r="G189" i="50"/>
  <c r="I190" i="15" s="1"/>
  <c r="F189" i="50"/>
  <c r="G188" i="50"/>
  <c r="I189" i="15" s="1"/>
  <c r="F188" i="50"/>
  <c r="G187" i="50"/>
  <c r="I188" i="15" s="1"/>
  <c r="F187" i="50"/>
  <c r="G186" i="50"/>
  <c r="I187" i="15" s="1"/>
  <c r="F186" i="50"/>
  <c r="G185" i="50"/>
  <c r="I186" i="15" s="1"/>
  <c r="F185" i="50"/>
  <c r="G184" i="50"/>
  <c r="I185" i="15" s="1"/>
  <c r="F184" i="50"/>
  <c r="G183" i="50"/>
  <c r="I184" i="15" s="1"/>
  <c r="F183" i="50"/>
  <c r="G182" i="50"/>
  <c r="I183" i="15" s="1"/>
  <c r="F182" i="50"/>
  <c r="G181" i="50"/>
  <c r="I182" i="15" s="1"/>
  <c r="F181" i="50"/>
  <c r="G180" i="50"/>
  <c r="I181" i="15" s="1"/>
  <c r="F180" i="50"/>
  <c r="G179" i="50"/>
  <c r="I180" i="15" s="1"/>
  <c r="F179" i="50"/>
  <c r="G178" i="50"/>
  <c r="I179" i="15" s="1"/>
  <c r="F178" i="50"/>
  <c r="G177" i="50"/>
  <c r="I178" i="15" s="1"/>
  <c r="F177" i="50"/>
  <c r="G176" i="50"/>
  <c r="I177" i="15" s="1"/>
  <c r="F176" i="50"/>
  <c r="G175" i="50"/>
  <c r="I176" i="15" s="1"/>
  <c r="F175" i="50"/>
  <c r="G174" i="50"/>
  <c r="I175" i="15" s="1"/>
  <c r="F174" i="50"/>
  <c r="G173" i="50"/>
  <c r="I174" i="15" s="1"/>
  <c r="F173" i="50"/>
  <c r="G172" i="50"/>
  <c r="I173" i="15" s="1"/>
  <c r="F172" i="50"/>
  <c r="G171" i="50"/>
  <c r="I172" i="15" s="1"/>
  <c r="F171" i="50"/>
  <c r="F170" i="50"/>
  <c r="F169" i="50"/>
  <c r="F168" i="50"/>
  <c r="F167" i="50"/>
  <c r="F166" i="50"/>
  <c r="F165" i="50"/>
  <c r="F164" i="50"/>
  <c r="F163" i="50"/>
  <c r="F162" i="50"/>
  <c r="F161" i="50"/>
  <c r="F160" i="50"/>
  <c r="F159" i="50"/>
  <c r="F158" i="50"/>
  <c r="F157" i="50"/>
  <c r="F156" i="50"/>
  <c r="F155" i="50"/>
  <c r="F154" i="50"/>
  <c r="F153" i="50"/>
  <c r="F152" i="50"/>
  <c r="F151" i="50"/>
  <c r="F150" i="50"/>
  <c r="F149" i="50"/>
  <c r="F148" i="50"/>
  <c r="F147" i="50"/>
  <c r="F146" i="50"/>
  <c r="F145" i="50"/>
  <c r="F144" i="50"/>
  <c r="F143" i="50"/>
  <c r="F142" i="50"/>
  <c r="F141" i="50"/>
  <c r="F140" i="50"/>
  <c r="F139" i="50"/>
  <c r="F138" i="50"/>
  <c r="F137" i="50"/>
  <c r="F136" i="50"/>
  <c r="F135" i="50"/>
  <c r="F134" i="50"/>
  <c r="F133" i="50"/>
  <c r="F132" i="50"/>
  <c r="F131" i="50"/>
  <c r="F130" i="50"/>
  <c r="F129" i="50"/>
  <c r="F128" i="50"/>
  <c r="F127" i="50"/>
  <c r="F126" i="50"/>
  <c r="F125" i="50"/>
  <c r="F124" i="50"/>
  <c r="F123" i="50"/>
  <c r="F122" i="50"/>
  <c r="F121" i="50"/>
  <c r="F120" i="50"/>
  <c r="F119" i="50"/>
  <c r="F118" i="50"/>
  <c r="F117" i="50"/>
  <c r="F116" i="50"/>
  <c r="F115" i="50"/>
  <c r="F114" i="50"/>
  <c r="F113" i="50"/>
  <c r="F112" i="50"/>
  <c r="F111" i="50"/>
  <c r="F110" i="50"/>
  <c r="F109" i="50"/>
  <c r="F108" i="50"/>
  <c r="F107" i="50"/>
  <c r="F106" i="50"/>
  <c r="F105" i="50"/>
  <c r="F104" i="50"/>
  <c r="F103" i="50"/>
  <c r="F102" i="50"/>
  <c r="F101" i="50"/>
  <c r="F100" i="50"/>
  <c r="F99" i="50"/>
  <c r="F98" i="50"/>
  <c r="F97" i="50"/>
  <c r="F96" i="50"/>
  <c r="F95" i="50"/>
  <c r="F94" i="50"/>
  <c r="F93" i="50"/>
  <c r="F92" i="50"/>
  <c r="F91" i="50"/>
  <c r="F90" i="50"/>
  <c r="F89" i="50"/>
  <c r="F88" i="50"/>
  <c r="F87" i="50"/>
  <c r="F86" i="50"/>
  <c r="F85" i="50"/>
  <c r="F84" i="50"/>
  <c r="F83" i="50"/>
  <c r="F82" i="50"/>
  <c r="F81" i="50"/>
  <c r="F80" i="50"/>
  <c r="F79" i="50"/>
  <c r="F78" i="50"/>
  <c r="F77" i="50"/>
  <c r="F76" i="50"/>
  <c r="F75" i="50"/>
  <c r="F74" i="50"/>
  <c r="F73" i="50"/>
  <c r="F72" i="50"/>
  <c r="F71" i="50"/>
  <c r="F70" i="50"/>
  <c r="F69" i="50"/>
  <c r="F68" i="50"/>
  <c r="F67" i="50"/>
  <c r="F66" i="50"/>
  <c r="F65" i="50"/>
  <c r="F64" i="50"/>
  <c r="F63" i="50"/>
  <c r="F62" i="50"/>
  <c r="F61" i="50"/>
  <c r="F60" i="50"/>
  <c r="F59" i="50"/>
  <c r="F58" i="50"/>
  <c r="F57" i="50"/>
  <c r="F56" i="50"/>
  <c r="F55" i="50"/>
  <c r="F54" i="50"/>
  <c r="F53" i="50"/>
  <c r="F52" i="50"/>
  <c r="F51" i="50"/>
  <c r="F50" i="50"/>
  <c r="F49" i="50"/>
  <c r="F48" i="50"/>
  <c r="F47" i="50"/>
  <c r="F46" i="50"/>
  <c r="F45" i="50"/>
  <c r="F44" i="50"/>
  <c r="F43" i="50"/>
  <c r="F42" i="50"/>
  <c r="F41" i="50"/>
  <c r="F40" i="50"/>
  <c r="F39" i="50"/>
  <c r="F38" i="50"/>
  <c r="F37" i="50"/>
  <c r="F36" i="50"/>
  <c r="F35" i="50"/>
  <c r="F34" i="50"/>
  <c r="F33" i="50"/>
  <c r="F32" i="50"/>
  <c r="F31" i="50"/>
  <c r="F30" i="50"/>
  <c r="F29" i="50"/>
  <c r="F28" i="50"/>
  <c r="F27" i="50"/>
  <c r="F26" i="50"/>
  <c r="F25" i="50"/>
  <c r="F24" i="50"/>
  <c r="F23" i="50"/>
  <c r="F22" i="50"/>
  <c r="F21" i="50"/>
  <c r="F20" i="50"/>
  <c r="F19" i="50"/>
  <c r="F18" i="50"/>
  <c r="F17" i="50"/>
  <c r="F16" i="50"/>
  <c r="F15" i="50"/>
  <c r="F14" i="50"/>
  <c r="F13" i="50"/>
  <c r="F12" i="50"/>
  <c r="F11" i="50"/>
  <c r="F10" i="50"/>
  <c r="A12" i="15" s="1"/>
  <c r="F9" i="50"/>
  <c r="F8" i="50"/>
  <c r="F7" i="50"/>
  <c r="F6" i="50"/>
  <c r="F5" i="50"/>
  <c r="F4" i="50"/>
  <c r="F3" i="50"/>
  <c r="L1" i="16"/>
  <c r="L1" i="15"/>
  <c r="L1" i="8"/>
  <c r="L1" i="28"/>
  <c r="L1" i="3"/>
  <c r="L1" i="2"/>
  <c r="L1" i="1"/>
  <c r="L1" i="4"/>
  <c r="A16" i="15" l="1"/>
  <c r="A88" i="15"/>
  <c r="A225" i="1"/>
  <c r="A112" i="15"/>
  <c r="A128" i="15"/>
  <c r="A160" i="15"/>
  <c r="A168" i="15"/>
  <c r="I103" i="15"/>
  <c r="A33" i="15"/>
  <c r="A202" i="1"/>
  <c r="A65" i="15"/>
  <c r="A73" i="15"/>
  <c r="A226" i="1"/>
  <c r="A234" i="1"/>
  <c r="A97" i="15"/>
  <c r="A105" i="15"/>
  <c r="A113" i="15"/>
  <c r="A121" i="15"/>
  <c r="A129" i="15"/>
  <c r="A137" i="15"/>
  <c r="A145" i="15"/>
  <c r="A153" i="15"/>
  <c r="A161" i="15"/>
  <c r="A169" i="15"/>
  <c r="A175" i="15"/>
  <c r="A179" i="15"/>
  <c r="A183" i="15"/>
  <c r="A187" i="15"/>
  <c r="A191" i="15"/>
  <c r="A195" i="15"/>
  <c r="A199" i="15"/>
  <c r="A203" i="15"/>
  <c r="A207" i="15"/>
  <c r="A211" i="15"/>
  <c r="A215" i="15"/>
  <c r="A219" i="15"/>
  <c r="A223" i="15"/>
  <c r="A227" i="15"/>
  <c r="A231" i="15"/>
  <c r="A235" i="15"/>
  <c r="A239" i="15"/>
  <c r="I104" i="15"/>
  <c r="A10" i="15"/>
  <c r="A18" i="15"/>
  <c r="A26" i="15"/>
  <c r="A171" i="1"/>
  <c r="A42" i="15"/>
  <c r="A195" i="1"/>
  <c r="A203" i="1"/>
  <c r="A227" i="1"/>
  <c r="A235" i="1"/>
  <c r="A98" i="15"/>
  <c r="A243" i="1"/>
  <c r="A114" i="15"/>
  <c r="A122" i="15"/>
  <c r="A130" i="15"/>
  <c r="A138" i="15"/>
  <c r="A146" i="15"/>
  <c r="A154" i="15"/>
  <c r="A162" i="15"/>
  <c r="A170" i="15"/>
  <c r="I105" i="15"/>
  <c r="A152" i="15"/>
  <c r="A17" i="15"/>
  <c r="A25" i="15"/>
  <c r="A178" i="1"/>
  <c r="A194" i="1"/>
  <c r="A218" i="1"/>
  <c r="A81" i="15"/>
  <c r="A11" i="15"/>
  <c r="A35" i="15"/>
  <c r="A59" i="15"/>
  <c r="A196" i="1"/>
  <c r="A75" i="15"/>
  <c r="A212" i="1"/>
  <c r="A123" i="15"/>
  <c r="A139" i="15"/>
  <c r="A163" i="15"/>
  <c r="A180" i="15"/>
  <c r="A192" i="15"/>
  <c r="A200" i="15"/>
  <c r="A208" i="15"/>
  <c r="A216" i="15"/>
  <c r="A224" i="15"/>
  <c r="A232" i="15"/>
  <c r="A240" i="15"/>
  <c r="I98" i="15"/>
  <c r="A5" i="15"/>
  <c r="A13" i="15"/>
  <c r="A21" i="15"/>
  <c r="A29" i="15"/>
  <c r="A37" i="15"/>
  <c r="A198" i="1"/>
  <c r="A61" i="15"/>
  <c r="A230" i="1"/>
  <c r="A93" i="15"/>
  <c r="A101" i="15"/>
  <c r="A109" i="15"/>
  <c r="A117" i="15"/>
  <c r="A125" i="15"/>
  <c r="A133" i="15"/>
  <c r="A141" i="15"/>
  <c r="A149" i="15"/>
  <c r="A157" i="15"/>
  <c r="A165" i="15"/>
  <c r="A173" i="15"/>
  <c r="A177" i="15"/>
  <c r="A181" i="15"/>
  <c r="A185" i="15"/>
  <c r="A189" i="15"/>
  <c r="A193" i="15"/>
  <c r="A197" i="15"/>
  <c r="A201" i="15"/>
  <c r="A205" i="15"/>
  <c r="A209" i="15"/>
  <c r="A213" i="15"/>
  <c r="A217" i="15"/>
  <c r="A221" i="15"/>
  <c r="A225" i="15"/>
  <c r="A229" i="15"/>
  <c r="A233" i="15"/>
  <c r="A237" i="15"/>
  <c r="I100" i="15"/>
  <c r="A32" i="15"/>
  <c r="A64" i="15"/>
  <c r="A201" i="1"/>
  <c r="A96" i="15"/>
  <c r="A233" i="1"/>
  <c r="A120" i="15"/>
  <c r="A144" i="15"/>
  <c r="A19" i="15"/>
  <c r="A28" i="15"/>
  <c r="A36" i="15"/>
  <c r="A181" i="1"/>
  <c r="A197" i="1"/>
  <c r="A205" i="1"/>
  <c r="A213" i="1"/>
  <c r="A221" i="1"/>
  <c r="A92" i="15"/>
  <c r="A229" i="1"/>
  <c r="A100" i="15"/>
  <c r="A237" i="1"/>
  <c r="A108" i="15"/>
  <c r="A116" i="15"/>
  <c r="A132" i="15"/>
  <c r="A140" i="15"/>
  <c r="A148" i="15"/>
  <c r="A156" i="15"/>
  <c r="A164" i="15"/>
  <c r="A172" i="15"/>
  <c r="I99" i="15"/>
  <c r="A14" i="15"/>
  <c r="A30" i="15"/>
  <c r="A54" i="15"/>
  <c r="A191" i="1"/>
  <c r="A78" i="15"/>
  <c r="A110" i="15"/>
  <c r="A126" i="15"/>
  <c r="A142" i="15"/>
  <c r="A158" i="15"/>
  <c r="I101" i="15"/>
  <c r="A8" i="15"/>
  <c r="A24" i="15"/>
  <c r="A56" i="15"/>
  <c r="A80" i="15"/>
  <c r="A241" i="1"/>
  <c r="A136" i="15"/>
  <c r="A9" i="15"/>
  <c r="A186" i="1"/>
  <c r="A27" i="15"/>
  <c r="A188" i="1"/>
  <c r="A51" i="15"/>
  <c r="A204" i="1"/>
  <c r="A220" i="1"/>
  <c r="A99" i="15"/>
  <c r="A115" i="15"/>
  <c r="A131" i="15"/>
  <c r="A147" i="15"/>
  <c r="A155" i="15"/>
  <c r="A171" i="15"/>
  <c r="A176" i="15"/>
  <c r="A184" i="15"/>
  <c r="A188" i="15"/>
  <c r="A196" i="15"/>
  <c r="A204" i="15"/>
  <c r="A212" i="15"/>
  <c r="A220" i="15"/>
  <c r="A228" i="15"/>
  <c r="A236" i="15"/>
  <c r="I106" i="15"/>
  <c r="A20" i="15"/>
  <c r="A124" i="15"/>
  <c r="A6" i="15"/>
  <c r="A22" i="15"/>
  <c r="A38" i="15"/>
  <c r="A46" i="15"/>
  <c r="A199" i="1"/>
  <c r="A70" i="15"/>
  <c r="A207" i="1"/>
  <c r="A223" i="1"/>
  <c r="A239" i="1"/>
  <c r="A102" i="15"/>
  <c r="A118" i="15"/>
  <c r="A134" i="15"/>
  <c r="A150" i="15"/>
  <c r="A166" i="15"/>
  <c r="A7" i="15"/>
  <c r="A15" i="15"/>
  <c r="A23" i="15"/>
  <c r="A31" i="15"/>
  <c r="A168" i="1"/>
  <c r="A176" i="1"/>
  <c r="A184" i="1"/>
  <c r="A55" i="15"/>
  <c r="A192" i="1"/>
  <c r="A63" i="15"/>
  <c r="A200" i="1"/>
  <c r="A208" i="1"/>
  <c r="A79" i="15"/>
  <c r="A224" i="1"/>
  <c r="A232" i="1"/>
  <c r="A103" i="15"/>
  <c r="A111" i="15"/>
  <c r="A119" i="15"/>
  <c r="A127" i="15"/>
  <c r="A135" i="15"/>
  <c r="A143" i="15"/>
  <c r="A151" i="15"/>
  <c r="A159" i="15"/>
  <c r="A167" i="15"/>
  <c r="A174" i="15"/>
  <c r="A178" i="15"/>
  <c r="A182" i="15"/>
  <c r="A186" i="15"/>
  <c r="A190" i="15"/>
  <c r="A194" i="15"/>
  <c r="A198" i="15"/>
  <c r="A202" i="15"/>
  <c r="A206" i="15"/>
  <c r="A210" i="15"/>
  <c r="A214" i="15"/>
  <c r="A218" i="15"/>
  <c r="A222" i="15"/>
  <c r="A226" i="15"/>
  <c r="A230" i="15"/>
  <c r="A234" i="15"/>
  <c r="A238" i="15"/>
  <c r="I102" i="15"/>
  <c r="A48" i="15"/>
  <c r="A185" i="1"/>
  <c r="A62" i="15"/>
  <c r="E179" i="50"/>
  <c r="E199" i="50"/>
  <c r="E223" i="50"/>
  <c r="E116" i="50"/>
  <c r="A47" i="15"/>
  <c r="E5" i="50"/>
  <c r="E13" i="50"/>
  <c r="E21" i="50"/>
  <c r="E109" i="50"/>
  <c r="E117" i="50"/>
  <c r="E125" i="50"/>
  <c r="E133" i="50"/>
  <c r="E141" i="50"/>
  <c r="E149" i="50"/>
  <c r="E157" i="50"/>
  <c r="E165" i="50"/>
  <c r="A175" i="1"/>
  <c r="E195" i="50"/>
  <c r="E227" i="50"/>
  <c r="A71" i="15"/>
  <c r="A169" i="1"/>
  <c r="A177" i="1"/>
  <c r="A40" i="15"/>
  <c r="A193" i="1"/>
  <c r="A209" i="1"/>
  <c r="A72" i="15"/>
  <c r="A217" i="1"/>
  <c r="A104" i="15"/>
  <c r="E172" i="50"/>
  <c r="E176" i="50"/>
  <c r="E180" i="50"/>
  <c r="E184" i="50"/>
  <c r="E188" i="50"/>
  <c r="E192" i="50"/>
  <c r="E196" i="50"/>
  <c r="E200" i="50"/>
  <c r="E204" i="50"/>
  <c r="E208" i="50"/>
  <c r="E212" i="50"/>
  <c r="E216" i="50"/>
  <c r="E220" i="50"/>
  <c r="E224" i="50"/>
  <c r="E228" i="50"/>
  <c r="E232" i="50"/>
  <c r="E236" i="50"/>
  <c r="E6" i="50"/>
  <c r="E14" i="50"/>
  <c r="E22" i="50"/>
  <c r="E110" i="50"/>
  <c r="E118" i="50"/>
  <c r="E126" i="50"/>
  <c r="E134" i="50"/>
  <c r="E142" i="50"/>
  <c r="E150" i="50"/>
  <c r="E158" i="50"/>
  <c r="E166" i="50"/>
  <c r="A215" i="1"/>
  <c r="E203" i="50"/>
  <c r="E4" i="50"/>
  <c r="E140" i="50"/>
  <c r="A41" i="15"/>
  <c r="A89" i="15"/>
  <c r="E7" i="50"/>
  <c r="E15" i="50"/>
  <c r="E135" i="50"/>
  <c r="E143" i="50"/>
  <c r="E151" i="50"/>
  <c r="E159" i="50"/>
  <c r="E167" i="50"/>
  <c r="A231" i="1"/>
  <c r="A94" i="15"/>
  <c r="E171" i="50"/>
  <c r="E211" i="50"/>
  <c r="E231" i="50"/>
  <c r="E20" i="50"/>
  <c r="E124" i="50"/>
  <c r="E156" i="50"/>
  <c r="A216" i="1"/>
  <c r="A170" i="1"/>
  <c r="A49" i="15"/>
  <c r="A57" i="15"/>
  <c r="A210" i="1"/>
  <c r="A242" i="1"/>
  <c r="A34" i="15"/>
  <c r="A179" i="1"/>
  <c r="A187" i="1"/>
  <c r="A50" i="15"/>
  <c r="A58" i="15"/>
  <c r="A66" i="15"/>
  <c r="A211" i="1"/>
  <c r="A74" i="15"/>
  <c r="A219" i="1"/>
  <c r="A82" i="15"/>
  <c r="A90" i="15"/>
  <c r="A106" i="15"/>
  <c r="E173" i="50"/>
  <c r="E177" i="50"/>
  <c r="E181" i="50"/>
  <c r="E185" i="50"/>
  <c r="E189" i="50"/>
  <c r="E193" i="50"/>
  <c r="E197" i="50"/>
  <c r="E201" i="50"/>
  <c r="E205" i="50"/>
  <c r="E209" i="50"/>
  <c r="E213" i="50"/>
  <c r="E217" i="50"/>
  <c r="E221" i="50"/>
  <c r="E225" i="50"/>
  <c r="E229" i="50"/>
  <c r="E233" i="50"/>
  <c r="E237" i="50"/>
  <c r="E16" i="50"/>
  <c r="E112" i="50"/>
  <c r="E128" i="50"/>
  <c r="E136" i="50"/>
  <c r="E160" i="50"/>
  <c r="A183" i="1"/>
  <c r="E215" i="50"/>
  <c r="E235" i="50"/>
  <c r="E28" i="50"/>
  <c r="E108" i="50"/>
  <c r="E148" i="50"/>
  <c r="A87" i="15"/>
  <c r="A180" i="1"/>
  <c r="A43" i="15"/>
  <c r="A228" i="1"/>
  <c r="A91" i="15"/>
  <c r="A107" i="15"/>
  <c r="E9" i="50"/>
  <c r="E17" i="50"/>
  <c r="E25" i="50"/>
  <c r="E113" i="50"/>
  <c r="E121" i="50"/>
  <c r="E129" i="50"/>
  <c r="E137" i="50"/>
  <c r="E145" i="50"/>
  <c r="E153" i="50"/>
  <c r="E161" i="50"/>
  <c r="E169" i="50"/>
  <c r="E175" i="50"/>
  <c r="E187" i="50"/>
  <c r="E219" i="50"/>
  <c r="E12" i="50"/>
  <c r="E132" i="50"/>
  <c r="E164" i="50"/>
  <c r="A39" i="15"/>
  <c r="A95" i="15"/>
  <c r="A240" i="1"/>
  <c r="A172" i="1"/>
  <c r="A67" i="15"/>
  <c r="A83" i="15"/>
  <c r="A236" i="1"/>
  <c r="A173" i="1"/>
  <c r="A44" i="15"/>
  <c r="A189" i="1"/>
  <c r="A52" i="15"/>
  <c r="A60" i="15"/>
  <c r="A68" i="15"/>
  <c r="A76" i="15"/>
  <c r="A84" i="15"/>
  <c r="E174" i="50"/>
  <c r="E178" i="50"/>
  <c r="E182" i="50"/>
  <c r="E186" i="50"/>
  <c r="E190" i="50"/>
  <c r="E194" i="50"/>
  <c r="E198" i="50"/>
  <c r="E202" i="50"/>
  <c r="E206" i="50"/>
  <c r="E210" i="50"/>
  <c r="E214" i="50"/>
  <c r="E218" i="50"/>
  <c r="E222" i="50"/>
  <c r="E226" i="50"/>
  <c r="E230" i="50"/>
  <c r="E234" i="50"/>
  <c r="E238" i="50"/>
  <c r="E10" i="50"/>
  <c r="E18" i="50"/>
  <c r="E26" i="50"/>
  <c r="E106" i="50"/>
  <c r="E114" i="50"/>
  <c r="E122" i="50"/>
  <c r="E130" i="50"/>
  <c r="E138" i="50"/>
  <c r="E146" i="50"/>
  <c r="E154" i="50"/>
  <c r="E162" i="50"/>
  <c r="E170" i="50"/>
  <c r="A86" i="15"/>
  <c r="E207" i="50"/>
  <c r="A174" i="1"/>
  <c r="A182" i="1"/>
  <c r="A45" i="15"/>
  <c r="A190" i="1"/>
  <c r="A53" i="15"/>
  <c r="A206" i="1"/>
  <c r="A69" i="15"/>
  <c r="A214" i="1"/>
  <c r="A77" i="15"/>
  <c r="A222" i="1"/>
  <c r="A85" i="15"/>
  <c r="A238" i="1"/>
  <c r="E3" i="50"/>
  <c r="E11" i="50"/>
  <c r="E19" i="50"/>
  <c r="E27" i="50"/>
  <c r="E107" i="50"/>
  <c r="E115" i="50"/>
  <c r="E123" i="50"/>
  <c r="E131" i="50"/>
  <c r="E139" i="50"/>
  <c r="E147" i="50"/>
  <c r="E155" i="50"/>
  <c r="E163" i="50"/>
  <c r="E36" i="50"/>
  <c r="E44" i="50"/>
  <c r="E52" i="50"/>
  <c r="E60" i="50"/>
  <c r="E68" i="50"/>
  <c r="E76" i="50"/>
  <c r="E84" i="50"/>
  <c r="E92" i="50"/>
  <c r="E100" i="50"/>
  <c r="E29" i="50"/>
  <c r="E37" i="50"/>
  <c r="E45" i="50"/>
  <c r="E53" i="50"/>
  <c r="E61" i="50"/>
  <c r="E69" i="50"/>
  <c r="E77" i="50"/>
  <c r="E85" i="50"/>
  <c r="E93" i="50"/>
  <c r="E101" i="50"/>
  <c r="E30" i="50"/>
  <c r="E38" i="50"/>
  <c r="E46" i="50"/>
  <c r="E54" i="50"/>
  <c r="E62" i="50"/>
  <c r="E70" i="50"/>
  <c r="E78" i="50"/>
  <c r="E86" i="50"/>
  <c r="E94" i="50"/>
  <c r="E102" i="50"/>
  <c r="E39" i="50"/>
  <c r="E55" i="50"/>
  <c r="E63" i="50"/>
  <c r="E48" i="50"/>
  <c r="E80" i="50"/>
  <c r="E33" i="50"/>
  <c r="E41" i="50"/>
  <c r="E49" i="50"/>
  <c r="E57" i="50"/>
  <c r="E65" i="50"/>
  <c r="E73" i="50"/>
  <c r="E81" i="50"/>
  <c r="E89" i="50"/>
  <c r="E97" i="50"/>
  <c r="E105" i="50"/>
  <c r="E34" i="50"/>
  <c r="E42" i="50"/>
  <c r="E50" i="50"/>
  <c r="E58" i="50"/>
  <c r="E66" i="50"/>
  <c r="E74" i="50"/>
  <c r="E82" i="50"/>
  <c r="E90" i="50"/>
  <c r="E98" i="50"/>
  <c r="E35" i="50"/>
  <c r="E43" i="50"/>
  <c r="E51" i="50"/>
  <c r="E59" i="50"/>
  <c r="E67" i="50"/>
  <c r="E75" i="50"/>
  <c r="E83" i="50"/>
  <c r="E91" i="50"/>
  <c r="E99" i="50"/>
  <c r="E183" i="50"/>
  <c r="E191" i="50"/>
  <c r="E95" i="50"/>
  <c r="E56" i="50"/>
  <c r="E152" i="50"/>
  <c r="E47" i="50"/>
  <c r="E71" i="50"/>
  <c r="E111" i="50"/>
  <c r="E24" i="50"/>
  <c r="E72" i="50"/>
  <c r="E88" i="50"/>
  <c r="E168" i="50"/>
  <c r="E87" i="50"/>
  <c r="E104" i="50"/>
  <c r="E23" i="50"/>
  <c r="E103" i="50"/>
  <c r="E32" i="50"/>
  <c r="E120" i="50"/>
  <c r="E31" i="50"/>
  <c r="E79" i="50"/>
  <c r="E119" i="50"/>
  <c r="E8" i="50"/>
  <c r="E40" i="50"/>
  <c r="E64" i="50"/>
  <c r="E96" i="50"/>
  <c r="E127" i="50"/>
  <c r="E144" i="50"/>
  <c r="C51" i="10"/>
  <c r="B32" i="11" s="1"/>
  <c r="H32" i="14"/>
  <c r="N5" i="24" l="1" a="1"/>
  <c r="N5" i="24" s="1"/>
  <c r="H18" i="14"/>
  <c r="I32" i="14"/>
  <c r="I18" i="14"/>
  <c r="E32" i="14"/>
  <c r="J32" i="14"/>
  <c r="J18" i="14"/>
  <c r="F32" i="14"/>
  <c r="F18" i="14"/>
  <c r="K32" i="14"/>
  <c r="K18" i="14"/>
  <c r="G32" i="14"/>
  <c r="G18" i="14"/>
  <c r="E183" i="52"/>
  <c r="AI6" i="52"/>
  <c r="AI22" i="52" s="1"/>
  <c r="AH6" i="52"/>
  <c r="AH252" i="52" s="1"/>
  <c r="AG6" i="52"/>
  <c r="AG292" i="52" s="1"/>
  <c r="AF6" i="52"/>
  <c r="AF380" i="52" s="1"/>
  <c r="AE6" i="52"/>
  <c r="AE300" i="52" s="1"/>
  <c r="AD6" i="52"/>
  <c r="AD101" i="52" s="1"/>
  <c r="AC6" i="52"/>
  <c r="AC267" i="52" s="1"/>
  <c r="AB6" i="52"/>
  <c r="AB44" i="52" s="1"/>
  <c r="AA6" i="52"/>
  <c r="AA380" i="52" s="1"/>
  <c r="Z6" i="52"/>
  <c r="Z52" i="52" s="1"/>
  <c r="Y6" i="52"/>
  <c r="Y194" i="52" s="1"/>
  <c r="X6" i="52"/>
  <c r="X269" i="52" s="1"/>
  <c r="W6" i="52"/>
  <c r="W118" i="52" s="1"/>
  <c r="V6" i="52"/>
  <c r="V253" i="52" s="1"/>
  <c r="U6" i="52"/>
  <c r="U177" i="52" s="1"/>
  <c r="T6" i="52"/>
  <c r="T110" i="52" s="1"/>
  <c r="S6" i="52"/>
  <c r="S243" i="52" s="1"/>
  <c r="S246" i="52" s="1"/>
  <c r="R6" i="52"/>
  <c r="R51" i="52" s="1"/>
  <c r="Q6" i="52"/>
  <c r="Q339" i="52" s="1"/>
  <c r="P6" i="52"/>
  <c r="P300" i="52" s="1"/>
  <c r="O6" i="52"/>
  <c r="O379" i="52" s="1"/>
  <c r="N6" i="52"/>
  <c r="N315" i="52" s="1"/>
  <c r="M6" i="52"/>
  <c r="M251" i="52" s="1"/>
  <c r="L6" i="52"/>
  <c r="L284" i="52" s="1"/>
  <c r="K6" i="52"/>
  <c r="K119" i="52" s="1"/>
  <c r="J6" i="52"/>
  <c r="J356" i="52" s="1"/>
  <c r="I6" i="52"/>
  <c r="I83" i="52" s="1"/>
  <c r="H6" i="52"/>
  <c r="H261" i="52" s="1"/>
  <c r="G6" i="52"/>
  <c r="G355" i="52" s="1"/>
  <c r="F6" i="52"/>
  <c r="F252" i="52" s="1"/>
  <c r="V38" i="51" a="1"/>
  <c r="V38" i="51" s="1"/>
  <c r="U38" i="51" a="1"/>
  <c r="U38" i="51" s="1"/>
  <c r="S38" i="51" a="1"/>
  <c r="S38" i="51" s="1"/>
  <c r="R38" i="51" a="1"/>
  <c r="R38" i="51" s="1"/>
  <c r="P38" i="51" a="1"/>
  <c r="P38" i="51" s="1"/>
  <c r="O38" i="51" a="1"/>
  <c r="O38" i="51" s="1"/>
  <c r="N38" i="51" a="1"/>
  <c r="N38" i="51" s="1"/>
  <c r="M38" i="51" a="1"/>
  <c r="M38" i="51" s="1"/>
  <c r="L38" i="51" a="1"/>
  <c r="L38" i="51" s="1"/>
  <c r="K38" i="51" a="1"/>
  <c r="K38" i="51" s="1"/>
  <c r="V37" i="51" a="1"/>
  <c r="V37" i="51" s="1"/>
  <c r="U37" i="51" a="1"/>
  <c r="U37" i="51" s="1"/>
  <c r="S37" i="51" a="1"/>
  <c r="S37" i="51" s="1"/>
  <c r="R37" i="51" a="1"/>
  <c r="R37" i="51" s="1"/>
  <c r="P37" i="51" a="1"/>
  <c r="P37" i="51" s="1"/>
  <c r="O37" i="51" a="1"/>
  <c r="O37" i="51" s="1"/>
  <c r="N37" i="51" a="1"/>
  <c r="N37" i="51" s="1"/>
  <c r="M37" i="51" a="1"/>
  <c r="M37" i="51" s="1"/>
  <c r="L37" i="51" a="1"/>
  <c r="L37" i="51" s="1"/>
  <c r="K37" i="51" a="1"/>
  <c r="K37" i="51" s="1"/>
  <c r="V36" i="51" a="1"/>
  <c r="V36" i="51" s="1"/>
  <c r="U36" i="51" a="1"/>
  <c r="U36" i="51" s="1"/>
  <c r="S36" i="51" a="1"/>
  <c r="S36" i="51" s="1"/>
  <c r="R36" i="51" a="1"/>
  <c r="R36" i="51" s="1"/>
  <c r="P36" i="51" a="1"/>
  <c r="P36" i="51" s="1"/>
  <c r="O36" i="51" a="1"/>
  <c r="O36" i="51" s="1"/>
  <c r="N36" i="51" a="1"/>
  <c r="N36" i="51" s="1"/>
  <c r="M36" i="51" a="1"/>
  <c r="M36" i="51" s="1"/>
  <c r="L36" i="51" a="1"/>
  <c r="L36" i="51" s="1"/>
  <c r="K36" i="51" a="1"/>
  <c r="K36" i="51" s="1"/>
  <c r="V35" i="51" a="1"/>
  <c r="V35" i="51" s="1"/>
  <c r="U35" i="51" a="1"/>
  <c r="U35" i="51" s="1"/>
  <c r="S35" i="51" a="1"/>
  <c r="S35" i="51" s="1"/>
  <c r="R35" i="51" a="1"/>
  <c r="R35" i="51" s="1"/>
  <c r="P35" i="51" a="1"/>
  <c r="P35" i="51" s="1"/>
  <c r="O35" i="51" a="1"/>
  <c r="O35" i="51" s="1"/>
  <c r="N35" i="51" a="1"/>
  <c r="N35" i="51" s="1"/>
  <c r="M35" i="51" a="1"/>
  <c r="M35" i="51" s="1"/>
  <c r="L35" i="51" a="1"/>
  <c r="L35" i="51" s="1"/>
  <c r="K35" i="51" a="1"/>
  <c r="K35" i="51" s="1"/>
  <c r="V34" i="51" a="1"/>
  <c r="V34" i="51" s="1"/>
  <c r="U34" i="51" a="1"/>
  <c r="U34" i="51" s="1"/>
  <c r="S34" i="51" a="1"/>
  <c r="S34" i="51" s="1"/>
  <c r="R34" i="51" a="1"/>
  <c r="R34" i="51" s="1"/>
  <c r="P34" i="51" a="1"/>
  <c r="P34" i="51" s="1"/>
  <c r="O34" i="51" a="1"/>
  <c r="O34" i="51" s="1"/>
  <c r="N34" i="51" a="1"/>
  <c r="N34" i="51" s="1"/>
  <c r="M34" i="51" a="1"/>
  <c r="M34" i="51" s="1"/>
  <c r="L34" i="51" a="1"/>
  <c r="L34" i="51" s="1"/>
  <c r="K34" i="51" a="1"/>
  <c r="K34" i="51" s="1"/>
  <c r="V33" i="51" a="1"/>
  <c r="V33" i="51" s="1"/>
  <c r="U33" i="51" a="1"/>
  <c r="U33" i="51" s="1"/>
  <c r="S33" i="51" a="1"/>
  <c r="S33" i="51" s="1"/>
  <c r="R33" i="51" a="1"/>
  <c r="R33" i="51" s="1"/>
  <c r="P33" i="51" a="1"/>
  <c r="P33" i="51" s="1"/>
  <c r="O33" i="51" a="1"/>
  <c r="O33" i="51" s="1"/>
  <c r="N33" i="51" a="1"/>
  <c r="N33" i="51" s="1"/>
  <c r="M33" i="51" a="1"/>
  <c r="M33" i="51" s="1"/>
  <c r="L33" i="51" a="1"/>
  <c r="L33" i="51" s="1"/>
  <c r="K33" i="51" a="1"/>
  <c r="K33" i="51" s="1"/>
  <c r="V32" i="51" a="1"/>
  <c r="V32" i="51" s="1"/>
  <c r="U32" i="51" a="1"/>
  <c r="U32" i="51" s="1"/>
  <c r="S32" i="51" a="1"/>
  <c r="S32" i="51" s="1"/>
  <c r="R32" i="51" a="1"/>
  <c r="R32" i="51" s="1"/>
  <c r="P32" i="51" a="1"/>
  <c r="P32" i="51" s="1"/>
  <c r="O32" i="51" a="1"/>
  <c r="O32" i="51" s="1"/>
  <c r="N32" i="51" a="1"/>
  <c r="N32" i="51" s="1"/>
  <c r="M32" i="51" a="1"/>
  <c r="M32" i="51" s="1"/>
  <c r="L32" i="51" a="1"/>
  <c r="L32" i="51" s="1"/>
  <c r="K32" i="51" a="1"/>
  <c r="K32" i="51" s="1"/>
  <c r="V31" i="51" a="1"/>
  <c r="V31" i="51" s="1"/>
  <c r="U31" i="51" a="1"/>
  <c r="U31" i="51" s="1"/>
  <c r="S31" i="51" a="1"/>
  <c r="S31" i="51" s="1"/>
  <c r="R31" i="51" a="1"/>
  <c r="R31" i="51" s="1"/>
  <c r="P31" i="51" a="1"/>
  <c r="P31" i="51" s="1"/>
  <c r="O31" i="51" a="1"/>
  <c r="O31" i="51" s="1"/>
  <c r="N31" i="51" a="1"/>
  <c r="N31" i="51" s="1"/>
  <c r="M31" i="51" a="1"/>
  <c r="M31" i="51" s="1"/>
  <c r="L31" i="51" a="1"/>
  <c r="L31" i="51" s="1"/>
  <c r="K31" i="51" a="1"/>
  <c r="K31" i="51" s="1"/>
  <c r="V30" i="51" a="1"/>
  <c r="V30" i="51" s="1"/>
  <c r="U30" i="51" a="1"/>
  <c r="U30" i="51" s="1"/>
  <c r="S30" i="51" a="1"/>
  <c r="S30" i="51" s="1"/>
  <c r="R30" i="51" a="1"/>
  <c r="R30" i="51" s="1"/>
  <c r="P30" i="51" a="1"/>
  <c r="P30" i="51" s="1"/>
  <c r="O30" i="51" a="1"/>
  <c r="O30" i="51" s="1"/>
  <c r="N30" i="51" a="1"/>
  <c r="N30" i="51" s="1"/>
  <c r="M30" i="51" a="1"/>
  <c r="M30" i="51" s="1"/>
  <c r="L30" i="51" a="1"/>
  <c r="L30" i="51" s="1"/>
  <c r="K30" i="51" a="1"/>
  <c r="K30" i="51" s="1"/>
  <c r="V29" i="51" a="1"/>
  <c r="V29" i="51" s="1"/>
  <c r="U29" i="51" a="1"/>
  <c r="U29" i="51" s="1"/>
  <c r="S29" i="51" a="1"/>
  <c r="S29" i="51" s="1"/>
  <c r="R29" i="51" a="1"/>
  <c r="R29" i="51" s="1"/>
  <c r="P29" i="51" a="1"/>
  <c r="P29" i="51" s="1"/>
  <c r="O29" i="51" a="1"/>
  <c r="O29" i="51" s="1"/>
  <c r="N29" i="51" a="1"/>
  <c r="N29" i="51" s="1"/>
  <c r="M29" i="51" a="1"/>
  <c r="M29" i="51" s="1"/>
  <c r="L29" i="51" a="1"/>
  <c r="L29" i="51" s="1"/>
  <c r="K29" i="51" a="1"/>
  <c r="K29" i="51" s="1"/>
  <c r="V28" i="51" a="1"/>
  <c r="V28" i="51" s="1"/>
  <c r="U28" i="51" a="1"/>
  <c r="U28" i="51" s="1"/>
  <c r="S28" i="51" a="1"/>
  <c r="S28" i="51" s="1"/>
  <c r="R28" i="51" a="1"/>
  <c r="R28" i="51" s="1"/>
  <c r="P28" i="51" a="1"/>
  <c r="P28" i="51" s="1"/>
  <c r="O28" i="51" a="1"/>
  <c r="O28" i="51" s="1"/>
  <c r="N28" i="51" a="1"/>
  <c r="N28" i="51" s="1"/>
  <c r="M28" i="51" a="1"/>
  <c r="M28" i="51" s="1"/>
  <c r="L28" i="51" a="1"/>
  <c r="L28" i="51" s="1"/>
  <c r="K28" i="51" a="1"/>
  <c r="K28" i="51" s="1"/>
  <c r="V27" i="51" a="1"/>
  <c r="V27" i="51" s="1"/>
  <c r="U27" i="51" a="1"/>
  <c r="U27" i="51" s="1"/>
  <c r="S27" i="51" a="1"/>
  <c r="S27" i="51" s="1"/>
  <c r="R27" i="51" a="1"/>
  <c r="R27" i="51" s="1"/>
  <c r="P27" i="51" a="1"/>
  <c r="P27" i="51" s="1"/>
  <c r="O27" i="51" a="1"/>
  <c r="O27" i="51" s="1"/>
  <c r="N27" i="51" a="1"/>
  <c r="N27" i="51" s="1"/>
  <c r="M27" i="51" a="1"/>
  <c r="M27" i="51" s="1"/>
  <c r="L27" i="51" a="1"/>
  <c r="L27" i="51" s="1"/>
  <c r="K27" i="51" a="1"/>
  <c r="K27" i="51" s="1"/>
  <c r="V26" i="51" a="1"/>
  <c r="V26" i="51" s="1"/>
  <c r="U26" i="51" a="1"/>
  <c r="U26" i="51" s="1"/>
  <c r="S26" i="51" a="1"/>
  <c r="S26" i="51" s="1"/>
  <c r="R26" i="51" a="1"/>
  <c r="R26" i="51" s="1"/>
  <c r="P26" i="51" a="1"/>
  <c r="P26" i="51" s="1"/>
  <c r="O26" i="51" a="1"/>
  <c r="O26" i="51" s="1"/>
  <c r="N26" i="51" a="1"/>
  <c r="N26" i="51" s="1"/>
  <c r="M26" i="51" a="1"/>
  <c r="M26" i="51" s="1"/>
  <c r="L26" i="51" a="1"/>
  <c r="L26" i="51" s="1"/>
  <c r="K26" i="51" a="1"/>
  <c r="K26" i="51" s="1"/>
  <c r="V25" i="51" a="1"/>
  <c r="V25" i="51" s="1"/>
  <c r="U25" i="51" a="1"/>
  <c r="U25" i="51" s="1"/>
  <c r="S25" i="51" a="1"/>
  <c r="S25" i="51" s="1"/>
  <c r="R25" i="51" a="1"/>
  <c r="R25" i="51" s="1"/>
  <c r="P25" i="51" a="1"/>
  <c r="P25" i="51" s="1"/>
  <c r="O25" i="51" a="1"/>
  <c r="O25" i="51" s="1"/>
  <c r="N25" i="51" a="1"/>
  <c r="N25" i="51" s="1"/>
  <c r="M25" i="51" a="1"/>
  <c r="M25" i="51" s="1"/>
  <c r="L25" i="51" a="1"/>
  <c r="L25" i="51" s="1"/>
  <c r="K25" i="51" a="1"/>
  <c r="K25" i="51" s="1"/>
  <c r="V24" i="51" a="1"/>
  <c r="V24" i="51" s="1"/>
  <c r="U24" i="51" a="1"/>
  <c r="U24" i="51" s="1"/>
  <c r="S24" i="51" a="1"/>
  <c r="S24" i="51" s="1"/>
  <c r="R24" i="51" a="1"/>
  <c r="R24" i="51" s="1"/>
  <c r="P24" i="51" a="1"/>
  <c r="P24" i="51" s="1"/>
  <c r="O24" i="51" a="1"/>
  <c r="O24" i="51" s="1"/>
  <c r="N24" i="51" a="1"/>
  <c r="N24" i="51" s="1"/>
  <c r="L24" i="51" a="1"/>
  <c r="L24" i="51" s="1"/>
  <c r="V23" i="51" a="1"/>
  <c r="V23" i="51" s="1"/>
  <c r="U23" i="51" a="1"/>
  <c r="U23" i="51" s="1"/>
  <c r="S23" i="51" a="1"/>
  <c r="S23" i="51" s="1"/>
  <c r="R23" i="51" a="1"/>
  <c r="R23" i="51" s="1"/>
  <c r="P23" i="51" a="1"/>
  <c r="P23" i="51" s="1"/>
  <c r="O23" i="51" a="1"/>
  <c r="O23" i="51" s="1"/>
  <c r="N23" i="51" a="1"/>
  <c r="N23" i="51" s="1"/>
  <c r="M23" i="51" a="1"/>
  <c r="M23" i="51" s="1"/>
  <c r="L23" i="51" a="1"/>
  <c r="L23" i="51" s="1"/>
  <c r="K23" i="51" a="1"/>
  <c r="K23" i="51" s="1"/>
  <c r="V22" i="51" a="1"/>
  <c r="V22" i="51" s="1"/>
  <c r="U22" i="51" a="1"/>
  <c r="U22" i="51" s="1"/>
  <c r="S22" i="51" a="1"/>
  <c r="S22" i="51" s="1"/>
  <c r="R22" i="51" a="1"/>
  <c r="R22" i="51" s="1"/>
  <c r="P22" i="51" a="1"/>
  <c r="P22" i="51" s="1"/>
  <c r="O22" i="51" a="1"/>
  <c r="O22" i="51" s="1"/>
  <c r="N22" i="51" a="1"/>
  <c r="N22" i="51" s="1"/>
  <c r="L22" i="51" a="1"/>
  <c r="L22" i="51" s="1"/>
  <c r="V21" i="51" a="1"/>
  <c r="V21" i="51" s="1"/>
  <c r="U21" i="51" a="1"/>
  <c r="U21" i="51" s="1"/>
  <c r="S21" i="51" a="1"/>
  <c r="S21" i="51" s="1"/>
  <c r="R21" i="51" a="1"/>
  <c r="R21" i="51" s="1"/>
  <c r="P21" i="51" a="1"/>
  <c r="P21" i="51" s="1"/>
  <c r="O21" i="51" a="1"/>
  <c r="O21" i="51" s="1"/>
  <c r="N21" i="51" a="1"/>
  <c r="N21" i="51" s="1"/>
  <c r="L21" i="51" a="1"/>
  <c r="L21" i="51" s="1"/>
  <c r="V20" i="51" a="1"/>
  <c r="V20" i="51" s="1"/>
  <c r="U20" i="51" a="1"/>
  <c r="U20" i="51" s="1"/>
  <c r="S20" i="51" a="1"/>
  <c r="S20" i="51" s="1"/>
  <c r="R20" i="51" a="1"/>
  <c r="R20" i="51" s="1"/>
  <c r="P20" i="51" a="1"/>
  <c r="P20" i="51" s="1"/>
  <c r="O20" i="51" a="1"/>
  <c r="O20" i="51" s="1"/>
  <c r="N20" i="51" a="1"/>
  <c r="N20" i="51" s="1"/>
  <c r="L20" i="51" a="1"/>
  <c r="L20" i="51" s="1"/>
  <c r="V19" i="51" a="1"/>
  <c r="V19" i="51" s="1"/>
  <c r="U19" i="51" a="1"/>
  <c r="U19" i="51" s="1"/>
  <c r="S19" i="51" a="1"/>
  <c r="S19" i="51" s="1"/>
  <c r="R19" i="51" a="1"/>
  <c r="R19" i="51" s="1"/>
  <c r="P19" i="51" a="1"/>
  <c r="P19" i="51" s="1"/>
  <c r="O19" i="51" a="1"/>
  <c r="O19" i="51" s="1"/>
  <c r="N19" i="51" a="1"/>
  <c r="N19" i="51" s="1"/>
  <c r="L19" i="51" a="1"/>
  <c r="L19" i="51" s="1"/>
  <c r="V18" i="51" a="1"/>
  <c r="V18" i="51" s="1"/>
  <c r="U18" i="51" a="1"/>
  <c r="U18" i="51" s="1"/>
  <c r="S18" i="51" a="1"/>
  <c r="S18" i="51" s="1"/>
  <c r="R18" i="51" a="1"/>
  <c r="R18" i="51" s="1"/>
  <c r="P18" i="51" a="1"/>
  <c r="P18" i="51" s="1"/>
  <c r="O18" i="51" a="1"/>
  <c r="O18" i="51" s="1"/>
  <c r="N18" i="51" a="1"/>
  <c r="N18" i="51" s="1"/>
  <c r="L18" i="51" a="1"/>
  <c r="L18" i="51" s="1"/>
  <c r="V17" i="51" a="1"/>
  <c r="V17" i="51" s="1"/>
  <c r="U17" i="51" a="1"/>
  <c r="U17" i="51" s="1"/>
  <c r="S17" i="51" a="1"/>
  <c r="S17" i="51" s="1"/>
  <c r="R17" i="51" a="1"/>
  <c r="R17" i="51" s="1"/>
  <c r="P17" i="51" a="1"/>
  <c r="P17" i="51" s="1"/>
  <c r="O17" i="51" a="1"/>
  <c r="O17" i="51" s="1"/>
  <c r="N17" i="51" a="1"/>
  <c r="N17" i="51" s="1"/>
  <c r="L17" i="51" a="1"/>
  <c r="L17" i="51" s="1"/>
  <c r="V16" i="51" a="1"/>
  <c r="V16" i="51" s="1"/>
  <c r="U16" i="51" a="1"/>
  <c r="U16" i="51" s="1"/>
  <c r="S16" i="51" a="1"/>
  <c r="S16" i="51" s="1"/>
  <c r="R16" i="51" a="1"/>
  <c r="R16" i="51" s="1"/>
  <c r="P16" i="51" a="1"/>
  <c r="P16" i="51" s="1"/>
  <c r="O16" i="51" a="1"/>
  <c r="O16" i="51" s="1"/>
  <c r="N16" i="51" a="1"/>
  <c r="N16" i="51" s="1"/>
  <c r="L16" i="51" a="1"/>
  <c r="L16" i="51" s="1"/>
  <c r="V15" i="51" a="1"/>
  <c r="V15" i="51" s="1"/>
  <c r="U15" i="51" a="1"/>
  <c r="U15" i="51" s="1"/>
  <c r="S15" i="51" a="1"/>
  <c r="S15" i="51" s="1"/>
  <c r="R15" i="51" a="1"/>
  <c r="R15" i="51" s="1"/>
  <c r="P15" i="51" a="1"/>
  <c r="P15" i="51" s="1"/>
  <c r="O15" i="51" a="1"/>
  <c r="O15" i="51" s="1"/>
  <c r="N15" i="51" a="1"/>
  <c r="N15" i="51" s="1"/>
  <c r="L15" i="51" a="1"/>
  <c r="L15" i="51" s="1"/>
  <c r="V14" i="51" a="1"/>
  <c r="V14" i="51" s="1"/>
  <c r="U14" i="51" a="1"/>
  <c r="U14" i="51" s="1"/>
  <c r="S14" i="51" a="1"/>
  <c r="S14" i="51" s="1"/>
  <c r="R14" i="51" a="1"/>
  <c r="R14" i="51" s="1"/>
  <c r="P14" i="51" a="1"/>
  <c r="P14" i="51" s="1"/>
  <c r="O14" i="51" a="1"/>
  <c r="O14" i="51" s="1"/>
  <c r="N14" i="51" a="1"/>
  <c r="N14" i="51" s="1"/>
  <c r="L14" i="51" a="1"/>
  <c r="L14" i="51" s="1"/>
  <c r="V13" i="51" a="1"/>
  <c r="V13" i="51" s="1"/>
  <c r="U13" i="51" a="1"/>
  <c r="U13" i="51" s="1"/>
  <c r="S13" i="51" a="1"/>
  <c r="S13" i="51" s="1"/>
  <c r="R13" i="51" a="1"/>
  <c r="R13" i="51" s="1"/>
  <c r="P13" i="51" a="1"/>
  <c r="P13" i="51" s="1"/>
  <c r="O13" i="51" a="1"/>
  <c r="O13" i="51" s="1"/>
  <c r="N13" i="51" a="1"/>
  <c r="N13" i="51" s="1"/>
  <c r="L13" i="51" a="1"/>
  <c r="L13" i="51" s="1"/>
  <c r="V12" i="51" a="1"/>
  <c r="V12" i="51" s="1"/>
  <c r="U12" i="51" a="1"/>
  <c r="U12" i="51" s="1"/>
  <c r="S12" i="51" a="1"/>
  <c r="S12" i="51" s="1"/>
  <c r="R12" i="51" a="1"/>
  <c r="R12" i="51" s="1"/>
  <c r="P12" i="51" a="1"/>
  <c r="P12" i="51" s="1"/>
  <c r="O12" i="51" a="1"/>
  <c r="O12" i="51" s="1"/>
  <c r="N12" i="51" a="1"/>
  <c r="N12" i="51" s="1"/>
  <c r="L12" i="51" a="1"/>
  <c r="L12" i="51" s="1"/>
  <c r="V11" i="51" a="1"/>
  <c r="V11" i="51" s="1"/>
  <c r="U11" i="51" a="1"/>
  <c r="U11" i="51" s="1"/>
  <c r="S11" i="51" a="1"/>
  <c r="S11" i="51" s="1"/>
  <c r="R11" i="51" a="1"/>
  <c r="R11" i="51" s="1"/>
  <c r="P11" i="51" a="1"/>
  <c r="P11" i="51" s="1"/>
  <c r="O11" i="51" a="1"/>
  <c r="O11" i="51" s="1"/>
  <c r="N11" i="51" a="1"/>
  <c r="N11" i="51" s="1"/>
  <c r="L11" i="51" a="1"/>
  <c r="L11" i="51" s="1"/>
  <c r="V10" i="51" a="1"/>
  <c r="V10" i="51" s="1"/>
  <c r="U10" i="51" a="1"/>
  <c r="U10" i="51" s="1"/>
  <c r="S10" i="51" a="1"/>
  <c r="S10" i="51" s="1"/>
  <c r="R10" i="51" a="1"/>
  <c r="R10" i="51" s="1"/>
  <c r="P10" i="51" a="1"/>
  <c r="P10" i="51" s="1"/>
  <c r="O10" i="51" a="1"/>
  <c r="O10" i="51" s="1"/>
  <c r="N10" i="51" a="1"/>
  <c r="N10" i="51" s="1"/>
  <c r="L10" i="51" a="1"/>
  <c r="L10" i="51" s="1"/>
  <c r="V9" i="51" a="1"/>
  <c r="V9" i="51" s="1"/>
  <c r="U9" i="51" a="1"/>
  <c r="U9" i="51" s="1"/>
  <c r="S9" i="51" a="1"/>
  <c r="S9" i="51" s="1"/>
  <c r="R9" i="51" a="1"/>
  <c r="R9" i="51" s="1"/>
  <c r="P9" i="51" a="1"/>
  <c r="P9" i="51" s="1"/>
  <c r="O9" i="51" a="1"/>
  <c r="O9" i="51" s="1"/>
  <c r="N9" i="51" a="1"/>
  <c r="N9" i="51" s="1"/>
  <c r="L9" i="51" a="1"/>
  <c r="L9" i="51" s="1"/>
  <c r="F6" i="51"/>
  <c r="S41" i="43"/>
  <c r="P41" i="43"/>
  <c r="K35" i="43"/>
  <c r="G50" i="49"/>
  <c r="U28" i="43"/>
  <c r="W22" i="14"/>
  <c r="L35" i="43"/>
  <c r="G55" i="49"/>
  <c r="U41" i="43"/>
  <c r="G16" i="49"/>
  <c r="T42" i="43"/>
  <c r="G38" i="49"/>
  <c r="C41" i="43"/>
  <c r="V14" i="14"/>
  <c r="F21" i="43"/>
  <c r="V23" i="14"/>
  <c r="G14" i="49"/>
  <c r="G52" i="49"/>
  <c r="G54" i="49"/>
  <c r="N35" i="43"/>
  <c r="J21" i="43"/>
  <c r="Q29" i="43"/>
  <c r="C43" i="43"/>
  <c r="E41" i="43"/>
  <c r="V26" i="14"/>
  <c r="T43" i="43"/>
  <c r="V15" i="14"/>
  <c r="M11" i="24"/>
  <c r="P21" i="43"/>
  <c r="G26" i="49"/>
  <c r="M43" i="43"/>
  <c r="C34" i="43"/>
  <c r="W20" i="14"/>
  <c r="H22" i="43"/>
  <c r="W11" i="14"/>
  <c r="V12" i="14"/>
  <c r="W22" i="43"/>
  <c r="Q28" i="43"/>
  <c r="W14" i="14"/>
  <c r="Q41" i="43"/>
  <c r="G49" i="49"/>
  <c r="N21" i="43"/>
  <c r="I28" i="43"/>
  <c r="T22" i="43"/>
  <c r="K42" i="43"/>
  <c r="H28" i="43"/>
  <c r="W18" i="14"/>
  <c r="K21" i="43"/>
  <c r="M22" i="43"/>
  <c r="V22" i="14"/>
  <c r="G45" i="49"/>
  <c r="F35" i="43"/>
  <c r="G22" i="43"/>
  <c r="O24" i="24"/>
  <c r="S42" i="43"/>
  <c r="N17" i="24"/>
  <c r="F43" i="43"/>
  <c r="Q34" i="43"/>
  <c r="F22" i="43"/>
  <c r="W34" i="43"/>
  <c r="N42" i="43"/>
  <c r="O16" i="24"/>
  <c r="N41" i="43"/>
  <c r="O14" i="24"/>
  <c r="L29" i="43"/>
  <c r="V9" i="14"/>
  <c r="S22" i="43"/>
  <c r="L34" i="43"/>
  <c r="N28" i="43"/>
  <c r="G11" i="49"/>
  <c r="O34" i="43"/>
  <c r="J41" i="43"/>
  <c r="C42" i="43"/>
  <c r="T29" i="43"/>
  <c r="V27" i="14"/>
  <c r="N15" i="24"/>
  <c r="M29" i="43"/>
  <c r="K28" i="43"/>
  <c r="R28" i="43"/>
  <c r="G47" i="49"/>
  <c r="K41" i="43"/>
  <c r="E29" i="43"/>
  <c r="V20" i="14"/>
  <c r="K22" i="43"/>
  <c r="G29" i="43"/>
  <c r="G57" i="49"/>
  <c r="D41" i="43"/>
  <c r="V21" i="14"/>
  <c r="O17" i="24"/>
  <c r="G8" i="49"/>
  <c r="O15" i="24"/>
  <c r="G43" i="43"/>
  <c r="G61" i="49"/>
  <c r="D42" i="43"/>
  <c r="H29" i="43"/>
  <c r="D34" i="43"/>
  <c r="W12" i="14"/>
  <c r="I21" i="43"/>
  <c r="G41" i="49"/>
  <c r="U34" i="43"/>
  <c r="G48" i="49"/>
  <c r="G41" i="43"/>
  <c r="O28" i="43"/>
  <c r="E22" i="43"/>
  <c r="N29" i="43"/>
  <c r="W19" i="14"/>
  <c r="H42" i="43"/>
  <c r="D28" i="43"/>
  <c r="C21" i="43"/>
  <c r="M34" i="43"/>
  <c r="R43" i="43"/>
  <c r="D29" i="43"/>
  <c r="G34" i="43"/>
  <c r="W16" i="14"/>
  <c r="U21" i="43"/>
  <c r="H43" i="43"/>
  <c r="O21" i="43"/>
  <c r="P42" i="43"/>
  <c r="N24" i="24"/>
  <c r="G17" i="49"/>
  <c r="G19" i="49"/>
  <c r="V11" i="14"/>
  <c r="S21" i="43"/>
  <c r="R21" i="43"/>
  <c r="V16" i="14"/>
  <c r="U43" i="43"/>
  <c r="G25" i="49"/>
  <c r="F28" i="43"/>
  <c r="V29" i="43"/>
  <c r="F34" i="43"/>
  <c r="W29" i="43"/>
  <c r="V25" i="14"/>
  <c r="I35" i="43"/>
  <c r="U22" i="43"/>
  <c r="P34" i="43"/>
  <c r="G13" i="49"/>
  <c r="W27" i="14"/>
  <c r="N25" i="24"/>
  <c r="G56" i="49"/>
  <c r="W10" i="14"/>
  <c r="F29" i="43"/>
  <c r="F41" i="43"/>
  <c r="V43" i="43"/>
  <c r="V28" i="43"/>
  <c r="V35" i="43"/>
  <c r="N16" i="24"/>
  <c r="W26" i="14"/>
  <c r="Q21" i="43"/>
  <c r="G21" i="49"/>
  <c r="W28" i="43"/>
  <c r="S43" i="43"/>
  <c r="D21" i="43"/>
  <c r="R35" i="43"/>
  <c r="K43" i="43"/>
  <c r="S35" i="43"/>
  <c r="N14" i="24"/>
  <c r="W23" i="14"/>
  <c r="G28" i="43"/>
  <c r="I41" i="43"/>
  <c r="K29" i="43"/>
  <c r="V10" i="14"/>
  <c r="Q22" i="43"/>
  <c r="H34" i="43"/>
  <c r="J43" i="43"/>
  <c r="T21" i="43"/>
  <c r="H21" i="43"/>
  <c r="E43" i="43"/>
  <c r="P22" i="43"/>
  <c r="T34" i="43"/>
  <c r="G20" i="49"/>
  <c r="W17" i="14"/>
  <c r="W43" i="43"/>
  <c r="J35" i="43"/>
  <c r="J23" i="39" a="1"/>
  <c r="G10" i="49"/>
  <c r="O43" i="43"/>
  <c r="C35" i="43"/>
  <c r="W42" i="43"/>
  <c r="G51" i="49"/>
  <c r="G39" i="49"/>
  <c r="M28" i="43"/>
  <c r="L28" i="43"/>
  <c r="I43" i="43"/>
  <c r="F42" i="43"/>
  <c r="L43" i="43"/>
  <c r="G18" i="49"/>
  <c r="G59" i="49"/>
  <c r="V8" i="14"/>
  <c r="O29" i="43"/>
  <c r="V19" i="14"/>
  <c r="G60" i="49"/>
  <c r="W25" i="14"/>
  <c r="O25" i="24"/>
  <c r="W13" i="14"/>
  <c r="V22" i="43"/>
  <c r="W8" i="14"/>
  <c r="O41" i="43"/>
  <c r="W9" i="14"/>
  <c r="E34" i="43"/>
  <c r="C28" i="43"/>
  <c r="T35" i="43"/>
  <c r="Q42" i="43"/>
  <c r="G42" i="49"/>
  <c r="K34" i="43"/>
  <c r="G43" i="49"/>
  <c r="L21" i="43"/>
  <c r="G27" i="49"/>
  <c r="G15" i="49"/>
  <c r="W15" i="14"/>
  <c r="W41" i="43"/>
  <c r="E21" i="43"/>
  <c r="G9" i="49"/>
  <c r="V41" i="43"/>
  <c r="G6" i="49"/>
  <c r="E28" i="43"/>
  <c r="W24" i="14"/>
  <c r="I22" i="43"/>
  <c r="C29" i="43"/>
  <c r="D35" i="43"/>
  <c r="U42" i="43"/>
  <c r="W35" i="43"/>
  <c r="L41" i="43"/>
  <c r="G46" i="49"/>
  <c r="O18" i="24"/>
  <c r="M21" i="43"/>
  <c r="G22" i="49"/>
  <c r="V18" i="14"/>
  <c r="Q43" i="43"/>
  <c r="P28" i="43"/>
  <c r="V24" i="14"/>
  <c r="L42" i="43"/>
  <c r="G21" i="43"/>
  <c r="J34" i="43"/>
  <c r="R42" i="43"/>
  <c r="W21" i="14"/>
  <c r="V17" i="14"/>
  <c r="J28" i="43"/>
  <c r="G53" i="49"/>
  <c r="U29" i="43"/>
  <c r="G7" i="49"/>
  <c r="G12" i="49"/>
  <c r="P43" i="43"/>
  <c r="J29" i="43"/>
  <c r="E42" i="43"/>
  <c r="O22" i="43"/>
  <c r="V21" i="43"/>
  <c r="R41" i="43"/>
  <c r="M35" i="43"/>
  <c r="R22" i="43"/>
  <c r="L22" i="43"/>
  <c r="G5" i="49"/>
  <c r="N18" i="24"/>
  <c r="M41" i="43"/>
  <c r="V34" i="43"/>
  <c r="U35" i="43"/>
  <c r="G35" i="43"/>
  <c r="S29" i="43"/>
  <c r="D43" i="43"/>
  <c r="I42" i="43"/>
  <c r="T41" i="43"/>
  <c r="G42" i="43"/>
  <c r="J22" i="43"/>
  <c r="G24" i="49"/>
  <c r="C22" i="43"/>
  <c r="I29" i="43"/>
  <c r="M42" i="43"/>
  <c r="G40" i="49"/>
  <c r="V42" i="43"/>
  <c r="G23" i="49"/>
  <c r="N43" i="43"/>
  <c r="N22" i="43"/>
  <c r="R34" i="43"/>
  <c r="W21" i="43"/>
  <c r="H35" i="43"/>
  <c r="T28" i="43"/>
  <c r="V13" i="14"/>
  <c r="O35" i="43"/>
  <c r="D22" i="43"/>
  <c r="R29" i="43"/>
  <c r="P29" i="43"/>
  <c r="O42" i="43"/>
  <c r="I34" i="43"/>
  <c r="H41" i="43"/>
  <c r="N34" i="43"/>
  <c r="S34" i="43"/>
  <c r="G4" i="49"/>
  <c r="S28" i="43"/>
  <c r="G44" i="49"/>
  <c r="G58" i="49"/>
  <c r="P35" i="43"/>
  <c r="J42" i="43"/>
  <c r="Q35" i="43"/>
  <c r="E35" i="43"/>
  <c r="D57" i="14" l="1"/>
  <c r="T36" i="43"/>
  <c r="V36" i="43"/>
  <c r="V23" i="43"/>
  <c r="W23" i="43"/>
  <c r="W7" i="14"/>
  <c r="H3" i="14" s="1"/>
  <c r="V7" i="14"/>
  <c r="N20" i="24" s="1"/>
  <c r="J23" i="39"/>
  <c r="J24" i="39" s="1"/>
  <c r="T23" i="43"/>
  <c r="S23" i="43"/>
  <c r="U36" i="43"/>
  <c r="W36" i="43"/>
  <c r="S36" i="43"/>
  <c r="U23" i="43"/>
  <c r="N4" i="24" a="1"/>
  <c r="N4" i="24" s="1"/>
  <c r="N3" i="24" a="1"/>
  <c r="N3" i="24" s="1"/>
  <c r="P27" i="24" s="1"/>
  <c r="H236" i="52"/>
  <c r="Y90" i="52"/>
  <c r="AA76" i="52"/>
  <c r="L275" i="52"/>
  <c r="Z90" i="52"/>
  <c r="V100" i="52"/>
  <c r="M141" i="52"/>
  <c r="U253" i="52"/>
  <c r="Y269" i="52"/>
  <c r="AG28" i="52"/>
  <c r="AH154" i="52"/>
  <c r="G393" i="52"/>
  <c r="U331" i="52"/>
  <c r="G29" i="52"/>
  <c r="U29" i="52"/>
  <c r="M162" i="52"/>
  <c r="U161" i="52"/>
  <c r="M35" i="52"/>
  <c r="AI59" i="52"/>
  <c r="AI212" i="52"/>
  <c r="AI76" i="52"/>
  <c r="M253" i="52"/>
  <c r="G15" i="52"/>
  <c r="G339" i="52"/>
  <c r="L21" i="52"/>
  <c r="H339" i="52"/>
  <c r="G118" i="52"/>
  <c r="L134" i="52"/>
  <c r="M28" i="52"/>
  <c r="H154" i="52"/>
  <c r="G340" i="52"/>
  <c r="AH393" i="52"/>
  <c r="F43" i="52"/>
  <c r="AI100" i="52"/>
  <c r="M275" i="52"/>
  <c r="U111" i="52"/>
  <c r="S277" i="52"/>
  <c r="L14" i="52"/>
  <c r="H44" i="52"/>
  <c r="AG111" i="52"/>
  <c r="AA193" i="52"/>
  <c r="M284" i="52"/>
  <c r="P89" i="52"/>
  <c r="P253" i="52"/>
  <c r="P37" i="52"/>
  <c r="F170" i="52"/>
  <c r="AA7" i="52" a="1"/>
  <c r="AA7" i="52" s="1"/>
  <c r="J30" i="51" s="1"/>
  <c r="I30" i="51" s="1"/>
  <c r="X30" i="51" s="1"/>
  <c r="G177" i="52"/>
  <c r="AI7" i="52" a="1"/>
  <c r="AI7" i="52" s="1"/>
  <c r="J38" i="51" s="1"/>
  <c r="I38" i="51" s="1"/>
  <c r="X38" i="51" s="1"/>
  <c r="AI43" i="52"/>
  <c r="AI110" i="52"/>
  <c r="AI177" i="52"/>
  <c r="Q277" i="52"/>
  <c r="AI13" i="52"/>
  <c r="G44" i="52"/>
  <c r="M14" i="52"/>
  <c r="U59" i="52"/>
  <c r="AA112" i="52"/>
  <c r="Z212" i="52"/>
  <c r="S284" i="52"/>
  <c r="T316" i="52"/>
  <c r="AI118" i="52"/>
  <c r="H76" i="52"/>
  <c r="G235" i="52"/>
  <c r="G238" i="52" s="1"/>
  <c r="H323" i="52"/>
  <c r="M21" i="52"/>
  <c r="V76" i="52"/>
  <c r="AI235" i="52"/>
  <c r="AI238" i="52" s="1"/>
  <c r="M331" i="52"/>
  <c r="AC52" i="52"/>
  <c r="AC372" i="52"/>
  <c r="AC28" i="52"/>
  <c r="AC37" i="52"/>
  <c r="AC58" i="52"/>
  <c r="AC89" i="52"/>
  <c r="O111" i="52"/>
  <c r="O134" i="52"/>
  <c r="AC154" i="52"/>
  <c r="O171" i="52"/>
  <c r="AC212" i="52"/>
  <c r="AD28" i="52"/>
  <c r="AD58" i="52"/>
  <c r="AC134" i="52"/>
  <c r="AE28" i="52"/>
  <c r="O59" i="52"/>
  <c r="O135" i="52"/>
  <c r="AC253" i="52"/>
  <c r="O284" i="52"/>
  <c r="O394" i="52"/>
  <c r="P59" i="52"/>
  <c r="AC14" i="52"/>
  <c r="O82" i="52"/>
  <c r="O261" i="52"/>
  <c r="AC284" i="52"/>
  <c r="T141" i="52"/>
  <c r="O178" i="52"/>
  <c r="Q15" i="52"/>
  <c r="AI44" i="52"/>
  <c r="AC82" i="52"/>
  <c r="P126" i="52"/>
  <c r="F163" i="52"/>
  <c r="AC243" i="52"/>
  <c r="AC246" i="52" s="1"/>
  <c r="U292" i="52"/>
  <c r="V35" i="52"/>
  <c r="G66" i="52"/>
  <c r="G102" i="52"/>
  <c r="R147" i="52"/>
  <c r="AH243" i="52"/>
  <c r="AH246" i="52" s="1"/>
  <c r="U300" i="52"/>
  <c r="U51" i="52"/>
  <c r="AC83" i="52"/>
  <c r="AI126" i="52"/>
  <c r="U163" i="52"/>
  <c r="AC193" i="52"/>
  <c r="AI243" i="52"/>
  <c r="AI246" i="52" s="1"/>
  <c r="Q356" i="52"/>
  <c r="O36" i="52"/>
  <c r="AC66" i="52"/>
  <c r="AI102" i="52"/>
  <c r="AC307" i="52"/>
  <c r="AC7" i="52" a="1"/>
  <c r="AC7" i="52" s="1"/>
  <c r="J32" i="51" s="1"/>
  <c r="I32" i="51" s="1"/>
  <c r="X32" i="51" s="1"/>
  <c r="U21" i="52"/>
  <c r="M37" i="52"/>
  <c r="O52" i="52"/>
  <c r="AD66" i="52"/>
  <c r="G89" i="52"/>
  <c r="U110" i="52"/>
  <c r="U127" i="52"/>
  <c r="F154" i="52"/>
  <c r="AD169" i="52"/>
  <c r="O194" i="52"/>
  <c r="Q251" i="52"/>
  <c r="O275" i="52"/>
  <c r="AD307" i="52"/>
  <c r="AC371" i="52"/>
  <c r="AD37" i="52"/>
  <c r="AC76" i="52"/>
  <c r="AC155" i="52"/>
  <c r="AC177" i="52"/>
  <c r="O14" i="52"/>
  <c r="AC90" i="52"/>
  <c r="AC135" i="52"/>
  <c r="AD177" i="52"/>
  <c r="O235" i="52"/>
  <c r="O238" i="52" s="1"/>
  <c r="AC259" i="52"/>
  <c r="P82" i="52"/>
  <c r="O162" i="52"/>
  <c r="P261" i="52"/>
  <c r="AC291" i="52"/>
  <c r="O15" i="52"/>
  <c r="Q44" i="52"/>
  <c r="U65" i="52"/>
  <c r="T82" i="52"/>
  <c r="AE101" i="52"/>
  <c r="O125" i="52"/>
  <c r="U141" i="52"/>
  <c r="U162" i="52"/>
  <c r="Q243" i="52"/>
  <c r="Q246" i="52" s="1"/>
  <c r="U261" i="52"/>
  <c r="AI291" i="52"/>
  <c r="AI347" i="52"/>
  <c r="O35" i="52"/>
  <c r="AI65" i="52"/>
  <c r="AF101" i="52"/>
  <c r="Q147" i="52"/>
  <c r="AC185" i="52"/>
  <c r="AC188" i="52" s="1"/>
  <c r="O267" i="52"/>
  <c r="AC355" i="52"/>
  <c r="O51" i="52"/>
  <c r="G83" i="52"/>
  <c r="AC126" i="52"/>
  <c r="G163" i="52"/>
  <c r="P356" i="52"/>
  <c r="AE35" i="52"/>
  <c r="O66" i="52"/>
  <c r="H102" i="52"/>
  <c r="U147" i="52"/>
  <c r="O307" i="52"/>
  <c r="T21" i="52"/>
  <c r="H52" i="52"/>
  <c r="AI83" i="52"/>
  <c r="F127" i="52"/>
  <c r="AE153" i="52"/>
  <c r="AC163" i="52"/>
  <c r="AI193" i="52"/>
  <c r="T244" i="52"/>
  <c r="Q364" i="52"/>
  <c r="AE7" i="52" a="1"/>
  <c r="AE7" i="52" s="1"/>
  <c r="J34" i="51" s="1"/>
  <c r="I34" i="51" s="1"/>
  <c r="X34" i="51" s="1"/>
  <c r="L28" i="52"/>
  <c r="O37" i="52"/>
  <c r="U52" i="52"/>
  <c r="AI66" i="52"/>
  <c r="H89" i="52"/>
  <c r="AC110" i="52"/>
  <c r="G133" i="52"/>
  <c r="G154" i="52"/>
  <c r="AE169" i="52"/>
  <c r="Y212" i="52"/>
  <c r="L253" i="52"/>
  <c r="AC276" i="52"/>
  <c r="AC315" i="52"/>
  <c r="AG371" i="52"/>
  <c r="Y118" i="52"/>
  <c r="AA14" i="52"/>
  <c r="K276" i="52"/>
  <c r="AD14" i="52"/>
  <c r="Z21" i="52"/>
  <c r="AF28" i="52"/>
  <c r="AC35" i="52"/>
  <c r="AE37" i="52"/>
  <c r="O44" i="52"/>
  <c r="P52" i="52"/>
  <c r="AC59" i="52"/>
  <c r="AE66" i="52"/>
  <c r="S82" i="52"/>
  <c r="Q89" i="52"/>
  <c r="U100" i="52"/>
  <c r="L102" i="52"/>
  <c r="P111" i="52"/>
  <c r="G119" i="52"/>
  <c r="O127" i="52"/>
  <c r="AD134" i="52"/>
  <c r="T147" i="52"/>
  <c r="AE154" i="52"/>
  <c r="H163" i="52"/>
  <c r="AI170" i="52"/>
  <c r="AC178" i="52"/>
  <c r="M194" i="52"/>
  <c r="M235" i="52"/>
  <c r="M238" i="52" s="1"/>
  <c r="M244" i="52"/>
  <c r="K259" i="52"/>
  <c r="G267" i="52"/>
  <c r="U276" i="52"/>
  <c r="AE291" i="52"/>
  <c r="S316" i="52"/>
  <c r="P339" i="52"/>
  <c r="U364" i="52"/>
  <c r="X134" i="52"/>
  <c r="K52" i="52"/>
  <c r="K100" i="52"/>
  <c r="K194" i="52"/>
  <c r="Y261" i="52"/>
  <c r="AA394" i="52"/>
  <c r="Y21" i="52"/>
  <c r="M13" i="52"/>
  <c r="AD21" i="52"/>
  <c r="AD59" i="52"/>
  <c r="Z89" i="52"/>
  <c r="M102" i="52"/>
  <c r="L119" i="52"/>
  <c r="M259" i="52"/>
  <c r="Z339" i="52"/>
  <c r="O13" i="52"/>
  <c r="M15" i="52"/>
  <c r="AI21" i="52"/>
  <c r="AI28" i="52"/>
  <c r="G36" i="52"/>
  <c r="G43" i="52"/>
  <c r="AC44" i="52"/>
  <c r="Y52" i="52"/>
  <c r="AE59" i="52"/>
  <c r="G76" i="52"/>
  <c r="U82" i="52"/>
  <c r="AA89" i="52"/>
  <c r="Y100" i="52"/>
  <c r="O102" i="52"/>
  <c r="AC111" i="52"/>
  <c r="L125" i="52"/>
  <c r="AC127" i="52"/>
  <c r="P135" i="52"/>
  <c r="Y147" i="52"/>
  <c r="O155" i="52"/>
  <c r="Z163" i="52"/>
  <c r="Z171" i="52"/>
  <c r="G185" i="52"/>
  <c r="G188" i="52" s="1"/>
  <c r="Q194" i="52"/>
  <c r="AC235" i="52"/>
  <c r="AC238" i="52" s="1"/>
  <c r="P251" i="52"/>
  <c r="Y259" i="52"/>
  <c r="AA267" i="52"/>
  <c r="P277" i="52"/>
  <c r="T292" i="52"/>
  <c r="AA316" i="52"/>
  <c r="AA339" i="52"/>
  <c r="AE371" i="52"/>
  <c r="J35" i="52"/>
  <c r="AA118" i="52"/>
  <c r="Y170" i="52"/>
  <c r="Z35" i="52"/>
  <c r="L100" i="52"/>
  <c r="AA13" i="52"/>
  <c r="K22" i="52"/>
  <c r="K43" i="52"/>
  <c r="AA100" i="52"/>
  <c r="Y102" i="52"/>
  <c r="AD111" i="52"/>
  <c r="AH127" i="52"/>
  <c r="AA147" i="52"/>
  <c r="AA171" i="52"/>
  <c r="Z185" i="52"/>
  <c r="Z188" i="52" s="1"/>
  <c r="AH194" i="52"/>
  <c r="Z259" i="52"/>
  <c r="K268" i="52"/>
  <c r="AC13" i="52"/>
  <c r="P15" i="52"/>
  <c r="U22" i="52"/>
  <c r="O29" i="52"/>
  <c r="P36" i="52"/>
  <c r="L43" i="52"/>
  <c r="G51" i="52"/>
  <c r="AI52" i="52"/>
  <c r="M65" i="52"/>
  <c r="U76" i="52"/>
  <c r="AI82" i="52"/>
  <c r="AI89" i="52"/>
  <c r="AC100" i="52"/>
  <c r="Z102" i="52"/>
  <c r="AE111" i="52"/>
  <c r="U125" i="52"/>
  <c r="AI127" i="52"/>
  <c r="AD135" i="52"/>
  <c r="K153" i="52"/>
  <c r="T161" i="52"/>
  <c r="AI163" i="52"/>
  <c r="AC171" i="52"/>
  <c r="AA185" i="52"/>
  <c r="AA188" i="52" s="1"/>
  <c r="AD203" i="52"/>
  <c r="G236" i="52"/>
  <c r="U251" i="52"/>
  <c r="AA259" i="52"/>
  <c r="L268" i="52"/>
  <c r="R277" i="52"/>
  <c r="Y299" i="52"/>
  <c r="O323" i="52"/>
  <c r="AE340" i="52"/>
  <c r="AI371" i="52"/>
  <c r="Y51" i="52"/>
  <c r="K44" i="52"/>
  <c r="M127" i="52"/>
  <c r="F14" i="52"/>
  <c r="AC15" i="52"/>
  <c r="Z22" i="52"/>
  <c r="AC29" i="52"/>
  <c r="AC36" i="52"/>
  <c r="O43" i="52"/>
  <c r="Q51" i="52"/>
  <c r="O58" i="52"/>
  <c r="Z65" i="52"/>
  <c r="W76" i="52"/>
  <c r="O83" i="52"/>
  <c r="G90" i="52"/>
  <c r="K101" i="52"/>
  <c r="O110" i="52"/>
  <c r="O112" i="52"/>
  <c r="AC125" i="52"/>
  <c r="K133" i="52"/>
  <c r="G141" i="52"/>
  <c r="M153" i="52"/>
  <c r="AA161" i="52"/>
  <c r="M169" i="52"/>
  <c r="K177" i="52"/>
  <c r="G193" i="52"/>
  <c r="O211" i="52"/>
  <c r="M236" i="52"/>
  <c r="G252" i="52"/>
  <c r="AD259" i="52"/>
  <c r="V269" i="52"/>
  <c r="U277" i="52"/>
  <c r="V300" i="52"/>
  <c r="O324" i="52"/>
  <c r="Q348" i="52"/>
  <c r="G380" i="52"/>
  <c r="Y110" i="52"/>
  <c r="Y331" i="52"/>
  <c r="Y134" i="52"/>
  <c r="M315" i="52"/>
  <c r="Z170" i="52"/>
  <c r="G14" i="52"/>
  <c r="AE15" i="52"/>
  <c r="AC22" i="52"/>
  <c r="G35" i="52"/>
  <c r="AI36" i="52"/>
  <c r="AA43" i="52"/>
  <c r="T58" i="52"/>
  <c r="AA65" i="52"/>
  <c r="X76" i="52"/>
  <c r="U83" i="52"/>
  <c r="H90" i="52"/>
  <c r="M101" i="52"/>
  <c r="S110" i="52"/>
  <c r="Q112" i="52"/>
  <c r="AI125" i="52"/>
  <c r="M133" i="52"/>
  <c r="H141" i="52"/>
  <c r="U153" i="52"/>
  <c r="AI161" i="52"/>
  <c r="AA169" i="52"/>
  <c r="M177" i="52"/>
  <c r="K193" i="52"/>
  <c r="Y211" i="52"/>
  <c r="U236" i="52"/>
  <c r="AG252" i="52"/>
  <c r="AA260" i="52"/>
  <c r="W269" i="52"/>
  <c r="O283" i="52"/>
  <c r="AC300" i="52"/>
  <c r="AC324" i="52"/>
  <c r="V348" i="52"/>
  <c r="Q380" i="52"/>
  <c r="M44" i="52"/>
  <c r="K102" i="52"/>
  <c r="Y178" i="52"/>
  <c r="L194" i="52"/>
  <c r="L244" i="52"/>
  <c r="Z261" i="52"/>
  <c r="Y22" i="52"/>
  <c r="Z36" i="52"/>
  <c r="M43" i="52"/>
  <c r="M58" i="52"/>
  <c r="F90" i="52"/>
  <c r="AA125" i="52"/>
  <c r="F141" i="52"/>
  <c r="L153" i="52"/>
  <c r="L169" i="52"/>
  <c r="M211" i="52"/>
  <c r="M268" i="52"/>
  <c r="M324" i="52"/>
  <c r="H14" i="52"/>
  <c r="K21" i="52"/>
  <c r="I35" i="52"/>
  <c r="K37" i="52"/>
  <c r="AC43" i="52"/>
  <c r="T51" i="52"/>
  <c r="U58" i="52"/>
  <c r="AE65" i="52"/>
  <c r="Z76" i="52"/>
  <c r="Z83" i="52"/>
  <c r="K90" i="52"/>
  <c r="O101" i="52"/>
  <c r="U112" i="52"/>
  <c r="K126" i="52"/>
  <c r="O133" i="52"/>
  <c r="K141" i="52"/>
  <c r="AA153" i="52"/>
  <c r="L162" i="52"/>
  <c r="AC169" i="52"/>
  <c r="O193" i="52"/>
  <c r="V212" i="52"/>
  <c r="G261" i="52"/>
  <c r="AE283" i="52"/>
  <c r="L307" i="52"/>
  <c r="AD324" i="52"/>
  <c r="AC380" i="52"/>
  <c r="AB316" i="52"/>
  <c r="R308" i="52"/>
  <c r="R21" i="52"/>
  <c r="R14" i="52"/>
  <c r="AB110" i="52"/>
  <c r="AB170" i="52"/>
  <c r="AB161" i="52"/>
  <c r="F380" i="52"/>
  <c r="F259" i="52"/>
  <c r="F153" i="52"/>
  <c r="F111" i="52"/>
  <c r="F65" i="52"/>
  <c r="F58" i="52"/>
  <c r="T89" i="52"/>
  <c r="T35" i="52"/>
  <c r="T7" i="52" a="1"/>
  <c r="T7" i="52" s="1"/>
  <c r="J23" i="51" s="1"/>
  <c r="I23" i="51" s="1"/>
  <c r="X23" i="51" s="1"/>
  <c r="T101" i="52"/>
  <c r="T36" i="52"/>
  <c r="T13" i="52"/>
  <c r="T235" i="52"/>
  <c r="T238" i="52" s="1"/>
  <c r="AH162" i="52"/>
  <c r="AH379" i="52"/>
  <c r="AH299" i="52"/>
  <c r="AH275" i="52"/>
  <c r="AH111" i="52"/>
  <c r="F13" i="52"/>
  <c r="F37" i="52"/>
  <c r="N52" i="52"/>
  <c r="V58" i="52"/>
  <c r="AF59" i="52"/>
  <c r="AB100" i="52"/>
  <c r="H119" i="52"/>
  <c r="AB127" i="52"/>
  <c r="AB147" i="52"/>
  <c r="F171" i="52"/>
  <c r="AF185" i="52"/>
  <c r="AF188" i="52" s="1"/>
  <c r="F251" i="52"/>
  <c r="N253" i="52"/>
  <c r="AB267" i="52"/>
  <c r="N283" i="52"/>
  <c r="AB307" i="52"/>
  <c r="S356" i="52"/>
  <c r="V380" i="52"/>
  <c r="G112" i="52"/>
  <c r="G52" i="52"/>
  <c r="G291" i="52"/>
  <c r="G259" i="52"/>
  <c r="G153" i="52"/>
  <c r="G111" i="52"/>
  <c r="G65" i="52"/>
  <c r="G58" i="52"/>
  <c r="G269" i="52"/>
  <c r="G212" i="52"/>
  <c r="G59" i="52"/>
  <c r="U269" i="52"/>
  <c r="U212" i="52"/>
  <c r="U89" i="52"/>
  <c r="U35" i="52"/>
  <c r="U28" i="52"/>
  <c r="U14" i="52"/>
  <c r="U323" i="52"/>
  <c r="U260" i="52"/>
  <c r="U118" i="52"/>
  <c r="U90" i="52"/>
  <c r="U36" i="52"/>
  <c r="U15" i="52"/>
  <c r="U13" i="52"/>
  <c r="U363" i="52"/>
  <c r="U308" i="52"/>
  <c r="U252" i="52"/>
  <c r="U235" i="52"/>
  <c r="U238" i="52" s="1"/>
  <c r="U193" i="52"/>
  <c r="U44" i="52"/>
  <c r="U43" i="52"/>
  <c r="AI275" i="52"/>
  <c r="AI141" i="52"/>
  <c r="AI277" i="52"/>
  <c r="AI111" i="52"/>
  <c r="AI51" i="52"/>
  <c r="AI284" i="52"/>
  <c r="AI155" i="52"/>
  <c r="AI356" i="52"/>
  <c r="AI340" i="52"/>
  <c r="AI268" i="52"/>
  <c r="AI253" i="52"/>
  <c r="G13" i="52"/>
  <c r="N14" i="52"/>
  <c r="AA21" i="52"/>
  <c r="G28" i="52"/>
  <c r="V29" i="52"/>
  <c r="AB35" i="52"/>
  <c r="H37" i="52"/>
  <c r="AA58" i="52"/>
  <c r="AG59" i="52"/>
  <c r="U66" i="52"/>
  <c r="Y76" i="52"/>
  <c r="AH82" i="52"/>
  <c r="AA90" i="52"/>
  <c r="U102" i="52"/>
  <c r="M111" i="52"/>
  <c r="R112" i="52"/>
  <c r="F126" i="52"/>
  <c r="AA134" i="52"/>
  <c r="N141" i="52"/>
  <c r="AI147" i="52"/>
  <c r="G162" i="52"/>
  <c r="H169" i="52"/>
  <c r="F178" i="52"/>
  <c r="AH185" i="52"/>
  <c r="AH188" i="52" s="1"/>
  <c r="AA212" i="52"/>
  <c r="AI236" i="52"/>
  <c r="F260" i="52"/>
  <c r="AI267" i="52"/>
  <c r="N275" i="52"/>
  <c r="F292" i="52"/>
  <c r="N324" i="52"/>
  <c r="AI339" i="52"/>
  <c r="U356" i="52"/>
  <c r="AB260" i="52"/>
  <c r="AB393" i="52"/>
  <c r="AB347" i="52"/>
  <c r="AB291" i="52"/>
  <c r="AB235" i="52"/>
  <c r="AB238" i="52" s="1"/>
  <c r="AB135" i="52"/>
  <c r="AB37" i="52"/>
  <c r="AB29" i="52"/>
  <c r="AB102" i="52"/>
  <c r="AB244" i="52"/>
  <c r="AB299" i="52"/>
  <c r="N13" i="52"/>
  <c r="AB14" i="52"/>
  <c r="AH15" i="52"/>
  <c r="AH29" i="52"/>
  <c r="AH35" i="52"/>
  <c r="N37" i="52"/>
  <c r="N65" i="52"/>
  <c r="AB76" i="52"/>
  <c r="H83" i="52"/>
  <c r="AG90" i="52"/>
  <c r="T119" i="52"/>
  <c r="S126" i="52"/>
  <c r="V141" i="52"/>
  <c r="N155" i="52"/>
  <c r="AB171" i="52"/>
  <c r="Z178" i="52"/>
  <c r="T203" i="52"/>
  <c r="N243" i="52"/>
  <c r="N246" i="52" s="1"/>
  <c r="AH283" i="52"/>
  <c r="AF340" i="52"/>
  <c r="N299" i="52"/>
  <c r="N364" i="52"/>
  <c r="N267" i="52"/>
  <c r="N171" i="52"/>
  <c r="N83" i="52"/>
  <c r="N82" i="52"/>
  <c r="N66" i="52"/>
  <c r="N347" i="52"/>
  <c r="N100" i="52"/>
  <c r="N393" i="52"/>
  <c r="N379" i="52"/>
  <c r="N260" i="52"/>
  <c r="N169" i="52"/>
  <c r="N154" i="52"/>
  <c r="N22" i="52"/>
  <c r="N21" i="52"/>
  <c r="N185" i="52"/>
  <c r="N188" i="52" s="1"/>
  <c r="N259" i="52"/>
  <c r="N394" i="52"/>
  <c r="AB59" i="52"/>
  <c r="AB65" i="52"/>
  <c r="AB300" i="52"/>
  <c r="N35" i="52"/>
  <c r="AB36" i="52"/>
  <c r="N127" i="52"/>
  <c r="AF355" i="52"/>
  <c r="AF252" i="52"/>
  <c r="AF194" i="52"/>
  <c r="AF119" i="52"/>
  <c r="AF277" i="52"/>
  <c r="AF162" i="52"/>
  <c r="AF372" i="52"/>
  <c r="AF275" i="52"/>
  <c r="AB269" i="52"/>
  <c r="AG364" i="52"/>
  <c r="AG162" i="52"/>
  <c r="AG275" i="52"/>
  <c r="AG211" i="52"/>
  <c r="AG22" i="52"/>
  <c r="AB82" i="52"/>
  <c r="N236" i="52"/>
  <c r="H259" i="52"/>
  <c r="H153" i="52"/>
  <c r="H185" i="52"/>
  <c r="H188" i="52" s="1"/>
  <c r="H118" i="52"/>
  <c r="H82" i="52"/>
  <c r="H308" i="52"/>
  <c r="H260" i="52"/>
  <c r="H252" i="52"/>
  <c r="V260" i="52"/>
  <c r="V118" i="52"/>
  <c r="V90" i="52"/>
  <c r="V36" i="52"/>
  <c r="V13" i="52"/>
  <c r="V252" i="52"/>
  <c r="V193" i="52"/>
  <c r="V133" i="52"/>
  <c r="V43" i="52"/>
  <c r="V177" i="52"/>
  <c r="V277" i="52"/>
  <c r="H13" i="52"/>
  <c r="AF15" i="52"/>
  <c r="H28" i="52"/>
  <c r="AB66" i="52"/>
  <c r="AB90" i="52"/>
  <c r="N111" i="52"/>
  <c r="S253" i="52"/>
  <c r="AG15" i="52"/>
  <c r="R119" i="52"/>
  <c r="H203" i="52"/>
  <c r="AG283" i="52"/>
  <c r="T364" i="52"/>
  <c r="K291" i="52"/>
  <c r="K185" i="52"/>
  <c r="K188" i="52" s="1"/>
  <c r="K243" i="52"/>
  <c r="K246" i="52" s="1"/>
  <c r="K76" i="52"/>
  <c r="K66" i="52"/>
  <c r="K267" i="52"/>
  <c r="Y252" i="52"/>
  <c r="Y43" i="52"/>
  <c r="Y332" i="52"/>
  <c r="Y177" i="52"/>
  <c r="Y44" i="52"/>
  <c r="Y127" i="52"/>
  <c r="Y37" i="52"/>
  <c r="AI15" i="52"/>
  <c r="G22" i="52"/>
  <c r="AI29" i="52"/>
  <c r="AI35" i="52"/>
  <c r="N51" i="52"/>
  <c r="AI58" i="52"/>
  <c r="T65" i="52"/>
  <c r="AB89" i="52"/>
  <c r="AI90" i="52"/>
  <c r="N101" i="52"/>
  <c r="G110" i="52"/>
  <c r="R111" i="52"/>
  <c r="Y112" i="52"/>
  <c r="U119" i="52"/>
  <c r="U126" i="52"/>
  <c r="H133" i="52"/>
  <c r="G147" i="52"/>
  <c r="N153" i="52"/>
  <c r="AB169" i="52"/>
  <c r="U203" i="52"/>
  <c r="L235" i="52"/>
  <c r="L238" i="52" s="1"/>
  <c r="V251" i="52"/>
  <c r="U268" i="52"/>
  <c r="L276" i="52"/>
  <c r="U299" i="52"/>
  <c r="AI324" i="52"/>
  <c r="AG340" i="52"/>
  <c r="AF364" i="52"/>
  <c r="Y387" i="52"/>
  <c r="L90" i="52"/>
  <c r="L315" i="52"/>
  <c r="L283" i="52"/>
  <c r="L286" i="52" s="1"/>
  <c r="L111" i="52"/>
  <c r="L65" i="52"/>
  <c r="L58" i="52"/>
  <c r="L243" i="52"/>
  <c r="L246" i="52" s="1"/>
  <c r="L82" i="52"/>
  <c r="L66" i="52"/>
  <c r="L59" i="52"/>
  <c r="L267" i="52"/>
  <c r="L171" i="52"/>
  <c r="L126" i="52"/>
  <c r="Z277" i="52"/>
  <c r="Z193" i="52"/>
  <c r="Z169" i="52"/>
  <c r="Z154" i="52"/>
  <c r="Z127" i="52"/>
  <c r="Z37" i="52"/>
  <c r="Z135" i="52"/>
  <c r="Z29" i="52"/>
  <c r="Z331" i="52"/>
  <c r="Z194" i="52"/>
  <c r="F21" i="52"/>
  <c r="N59" i="52"/>
  <c r="AG66" i="52"/>
  <c r="F100" i="52"/>
  <c r="H110" i="52"/>
  <c r="AH119" i="52"/>
  <c r="H147" i="52"/>
  <c r="T155" i="52"/>
  <c r="AH171" i="52"/>
  <c r="V203" i="52"/>
  <c r="AH251" i="52"/>
  <c r="V268" i="52"/>
  <c r="H316" i="52"/>
  <c r="Z371" i="52"/>
  <c r="AB155" i="52"/>
  <c r="AB83" i="52"/>
  <c r="N133" i="52"/>
  <c r="AB7" i="52" a="1"/>
  <c r="AB7" i="52" s="1"/>
  <c r="J31" i="51" s="1"/>
  <c r="I31" i="51" s="1"/>
  <c r="X31" i="51" s="1"/>
  <c r="N15" i="52"/>
  <c r="N58" i="52"/>
  <c r="AB22" i="52"/>
  <c r="AB118" i="52"/>
  <c r="N44" i="52"/>
  <c r="N112" i="52"/>
  <c r="AB125" i="52"/>
  <c r="AB185" i="52"/>
  <c r="AB188" i="52" s="1"/>
  <c r="S36" i="52"/>
  <c r="S21" i="52"/>
  <c r="S89" i="52"/>
  <c r="S35" i="52"/>
  <c r="S15" i="52"/>
  <c r="S29" i="52"/>
  <c r="AB154" i="52"/>
  <c r="AF291" i="52"/>
  <c r="AB21" i="52"/>
  <c r="S43" i="52"/>
  <c r="AB58" i="52"/>
  <c r="V89" i="52"/>
  <c r="S112" i="52"/>
  <c r="AB134" i="52"/>
  <c r="H162" i="52"/>
  <c r="AB380" i="52"/>
  <c r="AG29" i="52"/>
  <c r="T43" i="52"/>
  <c r="T112" i="52"/>
  <c r="H155" i="52"/>
  <c r="V275" i="52"/>
  <c r="M243" i="52"/>
  <c r="M246" i="52" s="1"/>
  <c r="M185" i="52"/>
  <c r="M188" i="52" s="1"/>
  <c r="M59" i="52"/>
  <c r="M364" i="52"/>
  <c r="M267" i="52"/>
  <c r="M212" i="52"/>
  <c r="M171" i="52"/>
  <c r="M161" i="52"/>
  <c r="M126" i="52"/>
  <c r="M83" i="52"/>
  <c r="M76" i="52"/>
  <c r="M347" i="52"/>
  <c r="M100" i="52"/>
  <c r="M90" i="52"/>
  <c r="M393" i="52"/>
  <c r="AA177" i="52"/>
  <c r="AA127" i="52"/>
  <c r="AA44" i="52"/>
  <c r="AA15" i="52"/>
  <c r="AA393" i="52"/>
  <c r="AA308" i="52"/>
  <c r="AA235" i="52"/>
  <c r="AA238" i="52" s="1"/>
  <c r="AA135" i="52"/>
  <c r="AA29" i="52"/>
  <c r="AA194" i="52"/>
  <c r="AA141" i="52"/>
  <c r="AA102" i="52"/>
  <c r="AA244" i="52"/>
  <c r="AB13" i="52"/>
  <c r="AI14" i="52"/>
  <c r="G21" i="52"/>
  <c r="L22" i="52"/>
  <c r="H35" i="52"/>
  <c r="H36" i="52"/>
  <c r="F44" i="52"/>
  <c r="AG52" i="52"/>
  <c r="Y65" i="52"/>
  <c r="AH66" i="52"/>
  <c r="G82" i="52"/>
  <c r="V83" i="52"/>
  <c r="AH89" i="52"/>
  <c r="G100" i="52"/>
  <c r="V111" i="52"/>
  <c r="AI112" i="52"/>
  <c r="AI119" i="52"/>
  <c r="AH126" i="52"/>
  <c r="L133" i="52"/>
  <c r="Y135" i="52"/>
  <c r="M147" i="52"/>
  <c r="V153" i="52"/>
  <c r="AA155" i="52"/>
  <c r="AI162" i="52"/>
  <c r="AI171" i="52"/>
  <c r="F185" i="52"/>
  <c r="F188" i="52" s="1"/>
  <c r="AB193" i="52"/>
  <c r="Z203" i="52"/>
  <c r="U243" i="52"/>
  <c r="U246" i="52" s="1"/>
  <c r="AI251" i="52"/>
  <c r="L259" i="52"/>
  <c r="R261" i="52"/>
  <c r="AA268" i="52"/>
  <c r="AB276" i="52"/>
  <c r="N284" i="52"/>
  <c r="R300" i="52"/>
  <c r="N316" i="52"/>
  <c r="N318" i="52" s="1"/>
  <c r="R331" i="52"/>
  <c r="L393" i="52"/>
  <c r="Q14" i="52"/>
  <c r="O28" i="52"/>
  <c r="AC51" i="52"/>
  <c r="AD119" i="52"/>
  <c r="Q133" i="52"/>
  <c r="AC299" i="52"/>
  <c r="Q323" i="52"/>
  <c r="AC331" i="52"/>
  <c r="O22" i="52"/>
  <c r="P28" i="52"/>
  <c r="AC101" i="52"/>
  <c r="AE119" i="52"/>
  <c r="AC141" i="52"/>
  <c r="O154" i="52"/>
  <c r="O169" i="52"/>
  <c r="AD194" i="52"/>
  <c r="AC244" i="52"/>
  <c r="O269" i="52"/>
  <c r="P22" i="52"/>
  <c r="O76" i="52"/>
  <c r="O100" i="52"/>
  <c r="AC102" i="52"/>
  <c r="O126" i="52"/>
  <c r="AC133" i="52"/>
  <c r="O161" i="52"/>
  <c r="AC323" i="52"/>
  <c r="AC332" i="52"/>
  <c r="J393" i="52"/>
  <c r="J380" i="52"/>
  <c r="J339" i="52"/>
  <c r="J364" i="52"/>
  <c r="J387" i="52"/>
  <c r="J348" i="52"/>
  <c r="J347" i="52"/>
  <c r="J277" i="52"/>
  <c r="J276" i="52"/>
  <c r="J372" i="52"/>
  <c r="J292" i="52"/>
  <c r="J243" i="52"/>
  <c r="J246" i="52" s="1"/>
  <c r="J193" i="52"/>
  <c r="J177" i="52"/>
  <c r="J323" i="52"/>
  <c r="J253" i="52"/>
  <c r="J332" i="52"/>
  <c r="J275" i="52"/>
  <c r="J244" i="52"/>
  <c r="J300" i="52"/>
  <c r="J379" i="52"/>
  <c r="J331" i="52"/>
  <c r="J211" i="52"/>
  <c r="J324" i="52"/>
  <c r="J269" i="52"/>
  <c r="J251" i="52"/>
  <c r="J394" i="52"/>
  <c r="J162" i="52"/>
  <c r="J100" i="52"/>
  <c r="J236" i="52"/>
  <c r="J111" i="52"/>
  <c r="J58" i="52"/>
  <c r="J14" i="52"/>
  <c r="J284" i="52"/>
  <c r="J283" i="52"/>
  <c r="J171" i="52"/>
  <c r="J153" i="52"/>
  <c r="J13" i="52"/>
  <c r="J316" i="52"/>
  <c r="J261" i="52"/>
  <c r="J252" i="52"/>
  <c r="J235" i="52"/>
  <c r="J238" i="52" s="1"/>
  <c r="J163" i="52"/>
  <c r="J147" i="52"/>
  <c r="J59" i="52"/>
  <c r="J15" i="52"/>
  <c r="J308" i="52"/>
  <c r="J259" i="52"/>
  <c r="J268" i="52"/>
  <c r="J161" i="52"/>
  <c r="J82" i="52"/>
  <c r="J118" i="52"/>
  <c r="J110" i="52"/>
  <c r="J89" i="52"/>
  <c r="J36" i="52"/>
  <c r="J307" i="52"/>
  <c r="J170" i="52"/>
  <c r="J340" i="52"/>
  <c r="J212" i="52"/>
  <c r="J125" i="52"/>
  <c r="J28" i="52"/>
  <c r="J299" i="52"/>
  <c r="J203" i="52"/>
  <c r="J355" i="52"/>
  <c r="J291" i="52"/>
  <c r="J135" i="52"/>
  <c r="J112" i="52"/>
  <c r="J51" i="52"/>
  <c r="J102" i="52"/>
  <c r="J83" i="52"/>
  <c r="J21" i="52"/>
  <c r="J178" i="52"/>
  <c r="J363" i="52"/>
  <c r="J134" i="52"/>
  <c r="J133" i="52"/>
  <c r="J44" i="52"/>
  <c r="J76" i="52"/>
  <c r="J371" i="52"/>
  <c r="J260" i="52"/>
  <c r="J169" i="52"/>
  <c r="J119" i="52"/>
  <c r="J29" i="52"/>
  <c r="J194" i="52"/>
  <c r="J315" i="52"/>
  <c r="J101" i="52"/>
  <c r="J43" i="52"/>
  <c r="J155" i="52"/>
  <c r="J141" i="52"/>
  <c r="J127" i="52"/>
  <c r="J267" i="52"/>
  <c r="J185" i="52"/>
  <c r="J188" i="52" s="1"/>
  <c r="J154" i="52"/>
  <c r="J66" i="52"/>
  <c r="J65" i="52"/>
  <c r="J126" i="52"/>
  <c r="J90" i="52"/>
  <c r="J37" i="52"/>
  <c r="X393" i="52"/>
  <c r="X380" i="52"/>
  <c r="X339" i="52"/>
  <c r="X356" i="52"/>
  <c r="X355" i="52"/>
  <c r="X308" i="52"/>
  <c r="X307" i="52"/>
  <c r="X300" i="52"/>
  <c r="X324" i="52"/>
  <c r="X372" i="52"/>
  <c r="X332" i="52"/>
  <c r="X316" i="52"/>
  <c r="X315" i="52"/>
  <c r="X299" i="52"/>
  <c r="X243" i="52"/>
  <c r="X246" i="52" s="1"/>
  <c r="X193" i="52"/>
  <c r="X177" i="52"/>
  <c r="X253" i="52"/>
  <c r="X394" i="52"/>
  <c r="X291" i="52"/>
  <c r="X194" i="52"/>
  <c r="X348" i="52"/>
  <c r="X364" i="52"/>
  <c r="X268" i="52"/>
  <c r="X260" i="52"/>
  <c r="X244" i="52"/>
  <c r="X284" i="52"/>
  <c r="X261" i="52"/>
  <c r="X259" i="52"/>
  <c r="X235" i="52"/>
  <c r="X238" i="52" s="1"/>
  <c r="X178" i="52"/>
  <c r="X127" i="52"/>
  <c r="X126" i="52"/>
  <c r="X125" i="52"/>
  <c r="X169" i="52"/>
  <c r="X161" i="52"/>
  <c r="X100" i="52"/>
  <c r="X283" i="52"/>
  <c r="X267" i="52"/>
  <c r="X111" i="52"/>
  <c r="X58" i="52"/>
  <c r="X14" i="52"/>
  <c r="X340" i="52"/>
  <c r="X323" i="52"/>
  <c r="X135" i="52"/>
  <c r="X371" i="52"/>
  <c r="X185" i="52"/>
  <c r="X188" i="52" s="1"/>
  <c r="X13" i="52"/>
  <c r="X7" i="52" a="1"/>
  <c r="X7" i="52" s="1"/>
  <c r="J27" i="51" s="1"/>
  <c r="I27" i="51" s="1"/>
  <c r="X27" i="51" s="1"/>
  <c r="X171" i="52"/>
  <c r="X147" i="52"/>
  <c r="X90" i="52"/>
  <c r="X89" i="52"/>
  <c r="X44" i="52"/>
  <c r="X43" i="52"/>
  <c r="X35" i="52"/>
  <c r="X101" i="52"/>
  <c r="X15" i="52"/>
  <c r="X236" i="52"/>
  <c r="X379" i="52"/>
  <c r="X275" i="52"/>
  <c r="X154" i="52"/>
  <c r="X141" i="52"/>
  <c r="X59" i="52"/>
  <c r="X363" i="52"/>
  <c r="X252" i="52"/>
  <c r="X251" i="52"/>
  <c r="X162" i="52"/>
  <c r="X153" i="52"/>
  <c r="X133" i="52"/>
  <c r="X119" i="52"/>
  <c r="X66" i="52"/>
  <c r="X292" i="52"/>
  <c r="X82" i="52"/>
  <c r="X387" i="52"/>
  <c r="X276" i="52"/>
  <c r="X65" i="52"/>
  <c r="X83" i="52"/>
  <c r="X29" i="52"/>
  <c r="X211" i="52"/>
  <c r="X37" i="52"/>
  <c r="X36" i="52"/>
  <c r="X347" i="52"/>
  <c r="X170" i="52"/>
  <c r="X163" i="52"/>
  <c r="X52" i="52"/>
  <c r="X51" i="52"/>
  <c r="X110" i="52"/>
  <c r="X277" i="52"/>
  <c r="X155" i="52"/>
  <c r="X22" i="52"/>
  <c r="X212" i="52"/>
  <c r="X203" i="52"/>
  <c r="X21" i="52"/>
  <c r="X331" i="52"/>
  <c r="X112" i="52"/>
  <c r="X28" i="52"/>
  <c r="J52" i="52"/>
  <c r="W102" i="52"/>
  <c r="I394" i="52"/>
  <c r="I364" i="52"/>
  <c r="I315" i="52"/>
  <c r="I356" i="52"/>
  <c r="I355" i="52"/>
  <c r="I308" i="52"/>
  <c r="I307" i="52"/>
  <c r="I393" i="52"/>
  <c r="I387" i="52"/>
  <c r="I380" i="52"/>
  <c r="I324" i="52"/>
  <c r="I348" i="52"/>
  <c r="I340" i="52"/>
  <c r="I316" i="52"/>
  <c r="I291" i="52"/>
  <c r="I292" i="52"/>
  <c r="I275" i="52"/>
  <c r="I284" i="52"/>
  <c r="I276" i="52"/>
  <c r="I372" i="52"/>
  <c r="I243" i="52"/>
  <c r="I246" i="52" s="1"/>
  <c r="I193" i="52"/>
  <c r="I177" i="52"/>
  <c r="I283" i="52"/>
  <c r="I277" i="52"/>
  <c r="I268" i="52"/>
  <c r="I260" i="52"/>
  <c r="I203" i="52"/>
  <c r="I171" i="52"/>
  <c r="I332" i="52"/>
  <c r="I300" i="52"/>
  <c r="I251" i="52"/>
  <c r="I133" i="52"/>
  <c r="I371" i="52"/>
  <c r="I331" i="52"/>
  <c r="I299" i="52"/>
  <c r="I161" i="52"/>
  <c r="I127" i="52"/>
  <c r="I126" i="52"/>
  <c r="I125" i="52"/>
  <c r="I269" i="52"/>
  <c r="I211" i="52"/>
  <c r="I112" i="52"/>
  <c r="I339" i="52"/>
  <c r="I162" i="52"/>
  <c r="I100" i="52"/>
  <c r="I36" i="52"/>
  <c r="I253" i="52"/>
  <c r="I111" i="52"/>
  <c r="I244" i="52"/>
  <c r="I153" i="52"/>
  <c r="I58" i="52"/>
  <c r="I14" i="52"/>
  <c r="I13" i="52"/>
  <c r="I363" i="52"/>
  <c r="I141" i="52"/>
  <c r="I118" i="52"/>
  <c r="I90" i="52"/>
  <c r="I89" i="52"/>
  <c r="I44" i="52"/>
  <c r="I43" i="52"/>
  <c r="I267" i="52"/>
  <c r="I347" i="52"/>
  <c r="I147" i="52"/>
  <c r="I82" i="52"/>
  <c r="I15" i="52"/>
  <c r="I212" i="52"/>
  <c r="I28" i="52"/>
  <c r="I379" i="52"/>
  <c r="I110" i="52"/>
  <c r="I194" i="52"/>
  <c r="I185" i="52"/>
  <c r="I188" i="52" s="1"/>
  <c r="I178" i="52"/>
  <c r="I169" i="52"/>
  <c r="I163" i="52"/>
  <c r="I155" i="52"/>
  <c r="I323" i="52"/>
  <c r="I22" i="52"/>
  <c r="I252" i="52"/>
  <c r="I170" i="52"/>
  <c r="I59" i="52"/>
  <c r="I37" i="52"/>
  <c r="I259" i="52"/>
  <c r="I134" i="52"/>
  <c r="I235" i="52"/>
  <c r="I238" i="52" s="1"/>
  <c r="I119" i="52"/>
  <c r="I29" i="52"/>
  <c r="I21" i="52"/>
  <c r="I236" i="52"/>
  <c r="I135" i="52"/>
  <c r="I261" i="52"/>
  <c r="I102" i="52"/>
  <c r="I101" i="52"/>
  <c r="I76" i="52"/>
  <c r="I154" i="52"/>
  <c r="I66" i="52"/>
  <c r="I65" i="52"/>
  <c r="W394" i="52"/>
  <c r="W364" i="52"/>
  <c r="W315" i="52"/>
  <c r="W363" i="52"/>
  <c r="W356" i="52"/>
  <c r="W355" i="52"/>
  <c r="W347" i="52"/>
  <c r="W292" i="52"/>
  <c r="W291" i="52"/>
  <c r="W380" i="52"/>
  <c r="W307" i="52"/>
  <c r="W277" i="52"/>
  <c r="W276" i="52"/>
  <c r="W275" i="52"/>
  <c r="W308" i="52"/>
  <c r="W339" i="52"/>
  <c r="W299" i="52"/>
  <c r="W243" i="52"/>
  <c r="W246" i="52" s="1"/>
  <c r="W193" i="52"/>
  <c r="W177" i="52"/>
  <c r="W371" i="52"/>
  <c r="W324" i="52"/>
  <c r="W170" i="52"/>
  <c r="W348" i="52"/>
  <c r="W203" i="52"/>
  <c r="W171" i="52"/>
  <c r="W133" i="52"/>
  <c r="W194" i="52"/>
  <c r="W155" i="52"/>
  <c r="W284" i="52"/>
  <c r="W261" i="52"/>
  <c r="W259" i="52"/>
  <c r="W235" i="52"/>
  <c r="W238" i="52" s="1"/>
  <c r="W178" i="52"/>
  <c r="W127" i="52"/>
  <c r="W126" i="52"/>
  <c r="W125" i="52"/>
  <c r="W112" i="52"/>
  <c r="W253" i="52"/>
  <c r="W169" i="52"/>
  <c r="W161" i="52"/>
  <c r="W100" i="52"/>
  <c r="W36" i="52"/>
  <c r="W379" i="52"/>
  <c r="W211" i="52"/>
  <c r="W154" i="52"/>
  <c r="W110" i="52"/>
  <c r="W66" i="52"/>
  <c r="W65" i="52"/>
  <c r="W22" i="52"/>
  <c r="W21" i="52"/>
  <c r="W393" i="52"/>
  <c r="W340" i="52"/>
  <c r="W323" i="52"/>
  <c r="W135" i="52"/>
  <c r="W283" i="52"/>
  <c r="W153" i="52"/>
  <c r="W185" i="52"/>
  <c r="W188" i="52" s="1"/>
  <c r="W163" i="52"/>
  <c r="W134" i="52"/>
  <c r="W52" i="52"/>
  <c r="W37" i="52"/>
  <c r="W162" i="52"/>
  <c r="W119" i="52"/>
  <c r="W120" i="52" s="1"/>
  <c r="W260" i="52"/>
  <c r="W244" i="52"/>
  <c r="W111" i="52"/>
  <c r="W35" i="52"/>
  <c r="W372" i="52"/>
  <c r="W141" i="52"/>
  <c r="W59" i="52"/>
  <c r="W300" i="52"/>
  <c r="W252" i="52"/>
  <c r="W251" i="52"/>
  <c r="W101" i="52"/>
  <c r="W331" i="52"/>
  <c r="W267" i="52"/>
  <c r="W316" i="52"/>
  <c r="W29" i="52"/>
  <c r="W13" i="52"/>
  <c r="W387" i="52"/>
  <c r="W43" i="52"/>
  <c r="W332" i="52"/>
  <c r="W58" i="52"/>
  <c r="W90" i="52"/>
  <c r="W15" i="52"/>
  <c r="W89" i="52"/>
  <c r="W268" i="52"/>
  <c r="W83" i="52"/>
  <c r="W51" i="52"/>
  <c r="W82" i="52"/>
  <c r="W14" i="52"/>
  <c r="W7" i="52" a="1"/>
  <c r="W7" i="52" s="1"/>
  <c r="J26" i="51" s="1"/>
  <c r="I26" i="51" s="1"/>
  <c r="X26" i="51" s="1"/>
  <c r="W212" i="52"/>
  <c r="W147" i="52"/>
  <c r="W44" i="52"/>
  <c r="W28" i="52"/>
  <c r="I52" i="52"/>
  <c r="I51" i="52"/>
  <c r="X102" i="52"/>
  <c r="X118" i="52"/>
  <c r="J22" i="52"/>
  <c r="W236" i="52"/>
  <c r="AE194" i="52"/>
  <c r="P371" i="52"/>
  <c r="P308" i="52"/>
  <c r="P332" i="52"/>
  <c r="P331" i="52"/>
  <c r="P379" i="52"/>
  <c r="P323" i="52"/>
  <c r="P364" i="52"/>
  <c r="P269" i="52"/>
  <c r="P380" i="52"/>
  <c r="P236" i="52"/>
  <c r="P162" i="52"/>
  <c r="P340" i="52"/>
  <c r="P268" i="52"/>
  <c r="P267" i="52"/>
  <c r="P185" i="52"/>
  <c r="P188" i="52" s="1"/>
  <c r="P171" i="52"/>
  <c r="P235" i="52"/>
  <c r="P238" i="52" s="1"/>
  <c r="P355" i="52"/>
  <c r="P316" i="52"/>
  <c r="P393" i="52"/>
  <c r="P387" i="52"/>
  <c r="P284" i="52"/>
  <c r="P276" i="52"/>
  <c r="P163" i="52"/>
  <c r="P127" i="52"/>
  <c r="P244" i="52"/>
  <c r="P177" i="52"/>
  <c r="P147" i="52"/>
  <c r="P372" i="52"/>
  <c r="P292" i="52"/>
  <c r="P203" i="52"/>
  <c r="P118" i="52"/>
  <c r="P347" i="52"/>
  <c r="P212" i="52"/>
  <c r="P153" i="52"/>
  <c r="P90" i="52"/>
  <c r="P291" i="52"/>
  <c r="P259" i="52"/>
  <c r="P243" i="52"/>
  <c r="P246" i="52" s="1"/>
  <c r="P141" i="52"/>
  <c r="P100" i="52"/>
  <c r="P44" i="52"/>
  <c r="P43" i="52"/>
  <c r="P307" i="52"/>
  <c r="P260" i="52"/>
  <c r="P169" i="52"/>
  <c r="P194" i="52"/>
  <c r="P133" i="52"/>
  <c r="P119" i="52"/>
  <c r="P299" i="52"/>
  <c r="P302" i="52" s="1"/>
  <c r="P112" i="52"/>
  <c r="P51" i="52"/>
  <c r="P275" i="52"/>
  <c r="P178" i="52"/>
  <c r="P170" i="52"/>
  <c r="P76" i="52"/>
  <c r="P102" i="52"/>
  <c r="P58" i="52"/>
  <c r="P21" i="52"/>
  <c r="P315" i="52"/>
  <c r="P283" i="52"/>
  <c r="P193" i="52"/>
  <c r="P155" i="52"/>
  <c r="P83" i="52"/>
  <c r="P65" i="52"/>
  <c r="P13" i="52"/>
  <c r="P154" i="52"/>
  <c r="P134" i="52"/>
  <c r="P348" i="52"/>
  <c r="P35" i="52"/>
  <c r="P14" i="52"/>
  <c r="AD371" i="52"/>
  <c r="AD308" i="52"/>
  <c r="AD372" i="52"/>
  <c r="AD332" i="52"/>
  <c r="AD331" i="52"/>
  <c r="AD393" i="52"/>
  <c r="AD387" i="52"/>
  <c r="AD380" i="52"/>
  <c r="AD348" i="52"/>
  <c r="AD339" i="52"/>
  <c r="AD299" i="52"/>
  <c r="AD269" i="52"/>
  <c r="AD394" i="52"/>
  <c r="AD356" i="52"/>
  <c r="AD236" i="52"/>
  <c r="AD162" i="52"/>
  <c r="AD364" i="52"/>
  <c r="AD277" i="52"/>
  <c r="AD185" i="52"/>
  <c r="AD188" i="52" s="1"/>
  <c r="AD171" i="52"/>
  <c r="AD363" i="52"/>
  <c r="AD212" i="52"/>
  <c r="AD178" i="52"/>
  <c r="AD235" i="52"/>
  <c r="AD238" i="52" s="1"/>
  <c r="AD127" i="52"/>
  <c r="AD379" i="52"/>
  <c r="AD283" i="52"/>
  <c r="AD211" i="52"/>
  <c r="AD251" i="52"/>
  <c r="AD170" i="52"/>
  <c r="AD118" i="52"/>
  <c r="AD316" i="52"/>
  <c r="AD193" i="52"/>
  <c r="AD163" i="52"/>
  <c r="AD147" i="52"/>
  <c r="AD90" i="52"/>
  <c r="AD267" i="52"/>
  <c r="AD153" i="52"/>
  <c r="AD89" i="52"/>
  <c r="AD355" i="52"/>
  <c r="AD276" i="52"/>
  <c r="AD275" i="52"/>
  <c r="AD44" i="52"/>
  <c r="AD43" i="52"/>
  <c r="AD260" i="52"/>
  <c r="AD102" i="52"/>
  <c r="AD300" i="52"/>
  <c r="AD252" i="52"/>
  <c r="AD244" i="52"/>
  <c r="AD82" i="52"/>
  <c r="AD161" i="52"/>
  <c r="AD112" i="52"/>
  <c r="AD51" i="52"/>
  <c r="AD323" i="52"/>
  <c r="AD292" i="52"/>
  <c r="AD243" i="52"/>
  <c r="AD246" i="52" s="1"/>
  <c r="AD29" i="52"/>
  <c r="AD125" i="52"/>
  <c r="AD36" i="52"/>
  <c r="AD284" i="52"/>
  <c r="AD261" i="52"/>
  <c r="AD110" i="52"/>
  <c r="AD100" i="52"/>
  <c r="AD268" i="52"/>
  <c r="AD83" i="52"/>
  <c r="AD65" i="52"/>
  <c r="AD13" i="52"/>
  <c r="R15" i="52"/>
  <c r="R58" i="52"/>
  <c r="AD76" i="52"/>
  <c r="AF111" i="52"/>
  <c r="P125" i="52"/>
  <c r="AD133" i="52"/>
  <c r="AG134" i="52"/>
  <c r="R163" i="52"/>
  <c r="P211" i="52"/>
  <c r="AG243" i="52"/>
  <c r="AG246" i="52" s="1"/>
  <c r="AF259" i="52"/>
  <c r="Q261" i="52"/>
  <c r="AF283" i="52"/>
  <c r="P324" i="52"/>
  <c r="Q363" i="52"/>
  <c r="Q387" i="52"/>
  <c r="Q394" i="52"/>
  <c r="Q332" i="52"/>
  <c r="Q379" i="52"/>
  <c r="Q292" i="52"/>
  <c r="Q340" i="52"/>
  <c r="Q342" i="52" s="1"/>
  <c r="Q331" i="52"/>
  <c r="Q316" i="52"/>
  <c r="Q393" i="52"/>
  <c r="Q371" i="52"/>
  <c r="Q300" i="52"/>
  <c r="Q259" i="52"/>
  <c r="Q268" i="52"/>
  <c r="Q267" i="52"/>
  <c r="Q185" i="52"/>
  <c r="Q188" i="52" s="1"/>
  <c r="Q171" i="52"/>
  <c r="Q235" i="52"/>
  <c r="Q238" i="52" s="1"/>
  <c r="Q355" i="52"/>
  <c r="Q308" i="52"/>
  <c r="Q253" i="52"/>
  <c r="Q284" i="52"/>
  <c r="Q276" i="52"/>
  <c r="Q372" i="52"/>
  <c r="Q299" i="52"/>
  <c r="Q291" i="52"/>
  <c r="Q169" i="52"/>
  <c r="Q155" i="52"/>
  <c r="Q154" i="52"/>
  <c r="Q153" i="52"/>
  <c r="Q203" i="52"/>
  <c r="Q118" i="52"/>
  <c r="Q347" i="52"/>
  <c r="Q212" i="52"/>
  <c r="Q275" i="52"/>
  <c r="Q252" i="52"/>
  <c r="Q141" i="52"/>
  <c r="Q52" i="52"/>
  <c r="Q307" i="52"/>
  <c r="Q260" i="52"/>
  <c r="Q163" i="52"/>
  <c r="Q101" i="52"/>
  <c r="Q83" i="52"/>
  <c r="Q82" i="52"/>
  <c r="Q37" i="52"/>
  <c r="Q36" i="52"/>
  <c r="Q35" i="52"/>
  <c r="Q324" i="52"/>
  <c r="Q110" i="52"/>
  <c r="Q66" i="52"/>
  <c r="Q65" i="52"/>
  <c r="Q269" i="52"/>
  <c r="Q102" i="52"/>
  <c r="Q100" i="52"/>
  <c r="Q58" i="52"/>
  <c r="Q43" i="52"/>
  <c r="Q21" i="52"/>
  <c r="Q22" i="52"/>
  <c r="Q90" i="52"/>
  <c r="Q315" i="52"/>
  <c r="Q283" i="52"/>
  <c r="Q193" i="52"/>
  <c r="Q13" i="52"/>
  <c r="Q178" i="52"/>
  <c r="Q177" i="52"/>
  <c r="Q170" i="52"/>
  <c r="Q134" i="52"/>
  <c r="Q76" i="52"/>
  <c r="Q127" i="52"/>
  <c r="Q126" i="52"/>
  <c r="Q111" i="52"/>
  <c r="Q59" i="52"/>
  <c r="AE13" i="52"/>
  <c r="Q125" i="52"/>
  <c r="AE133" i="52"/>
  <c r="AE82" i="52"/>
  <c r="R125" i="52"/>
  <c r="AF133" i="52"/>
  <c r="AE178" i="52"/>
  <c r="AE203" i="52"/>
  <c r="R211" i="52"/>
  <c r="R332" i="52"/>
  <c r="S393" i="52"/>
  <c r="S380" i="52"/>
  <c r="S331" i="52"/>
  <c r="S324" i="52"/>
  <c r="S323" i="52"/>
  <c r="S291" i="52"/>
  <c r="S394" i="52"/>
  <c r="S300" i="52"/>
  <c r="S347" i="52"/>
  <c r="S379" i="52"/>
  <c r="S170" i="52"/>
  <c r="S283" i="52"/>
  <c r="S269" i="52"/>
  <c r="S261" i="52"/>
  <c r="S260" i="52"/>
  <c r="S259" i="52"/>
  <c r="S212" i="52"/>
  <c r="S372" i="52"/>
  <c r="S299" i="52"/>
  <c r="S185" i="52"/>
  <c r="S188" i="52" s="1"/>
  <c r="S169" i="52"/>
  <c r="S387" i="52"/>
  <c r="S340" i="52"/>
  <c r="S339" i="52"/>
  <c r="S315" i="52"/>
  <c r="S307" i="52"/>
  <c r="S267" i="52"/>
  <c r="S147" i="52"/>
  <c r="S135" i="52"/>
  <c r="S275" i="52"/>
  <c r="S268" i="52"/>
  <c r="S252" i="52"/>
  <c r="S153" i="52"/>
  <c r="S141" i="52"/>
  <c r="S194" i="52"/>
  <c r="S348" i="52"/>
  <c r="S171" i="52"/>
  <c r="S154" i="52"/>
  <c r="S134" i="52"/>
  <c r="S133" i="52"/>
  <c r="S102" i="52"/>
  <c r="S51" i="52"/>
  <c r="S177" i="52"/>
  <c r="S363" i="52"/>
  <c r="S251" i="52"/>
  <c r="S76" i="52"/>
  <c r="S28" i="52"/>
  <c r="S364" i="52"/>
  <c r="S111" i="52"/>
  <c r="S59" i="52"/>
  <c r="S58" i="52"/>
  <c r="S203" i="52"/>
  <c r="S193" i="52"/>
  <c r="S178" i="52"/>
  <c r="S155" i="52"/>
  <c r="S65" i="52"/>
  <c r="S52" i="52"/>
  <c r="S44" i="52"/>
  <c r="S37" i="52"/>
  <c r="S14" i="52"/>
  <c r="S355" i="52"/>
  <c r="S127" i="52"/>
  <c r="S83" i="52"/>
  <c r="S22" i="52"/>
  <c r="S90" i="52"/>
  <c r="S163" i="52"/>
  <c r="S292" i="52"/>
  <c r="S244" i="52"/>
  <c r="S162" i="52"/>
  <c r="S119" i="52"/>
  <c r="S101" i="52"/>
  <c r="AG393" i="52"/>
  <c r="AG380" i="52"/>
  <c r="AG331" i="52"/>
  <c r="AG379" i="52"/>
  <c r="AG291" i="52"/>
  <c r="AG294" i="52" s="1"/>
  <c r="AG324" i="52"/>
  <c r="AG323" i="52"/>
  <c r="AG387" i="52"/>
  <c r="AG316" i="52"/>
  <c r="AG394" i="52"/>
  <c r="AG268" i="52"/>
  <c r="AG170" i="52"/>
  <c r="AG372" i="52"/>
  <c r="AG307" i="52"/>
  <c r="AG300" i="52"/>
  <c r="AG212" i="52"/>
  <c r="AG347" i="52"/>
  <c r="AG253" i="52"/>
  <c r="AG269" i="52"/>
  <c r="AG332" i="52"/>
  <c r="AG185" i="52"/>
  <c r="AG188" i="52" s="1"/>
  <c r="AG169" i="52"/>
  <c r="AG135" i="52"/>
  <c r="AG260" i="52"/>
  <c r="AG163" i="52"/>
  <c r="AG363" i="52"/>
  <c r="AG315" i="52"/>
  <c r="AG244" i="52"/>
  <c r="AG177" i="52"/>
  <c r="AG141" i="52"/>
  <c r="AG203" i="52"/>
  <c r="AG153" i="52"/>
  <c r="AG102" i="52"/>
  <c r="AG51" i="52"/>
  <c r="AG299" i="52"/>
  <c r="AG171" i="52"/>
  <c r="AG161" i="52"/>
  <c r="AG155" i="52"/>
  <c r="AG147" i="52"/>
  <c r="AG83" i="52"/>
  <c r="AG82" i="52"/>
  <c r="AG37" i="52"/>
  <c r="AG36" i="52"/>
  <c r="AG35" i="52"/>
  <c r="AG277" i="52"/>
  <c r="AG193" i="52"/>
  <c r="AG101" i="52"/>
  <c r="AG339" i="52"/>
  <c r="AG259" i="52"/>
  <c r="AG154" i="52"/>
  <c r="AG126" i="52"/>
  <c r="AG119" i="52"/>
  <c r="AG110" i="52"/>
  <c r="AG251" i="52"/>
  <c r="AG89" i="52"/>
  <c r="AG118" i="52"/>
  <c r="AG100" i="52"/>
  <c r="AG7" i="52" a="1"/>
  <c r="AG7" i="52" s="1"/>
  <c r="J36" i="51" s="1"/>
  <c r="I36" i="51" s="1"/>
  <c r="X36" i="51" s="1"/>
  <c r="AG356" i="52"/>
  <c r="AG65" i="52"/>
  <c r="AG348" i="52"/>
  <c r="AG284" i="52"/>
  <c r="AG276" i="52"/>
  <c r="AG261" i="52"/>
  <c r="AG125" i="52"/>
  <c r="AG112" i="52"/>
  <c r="AG21" i="52"/>
  <c r="AG308" i="52"/>
  <c r="AG236" i="52"/>
  <c r="AG235" i="52"/>
  <c r="AG238" i="52" s="1"/>
  <c r="AG76" i="52"/>
  <c r="AG58" i="52"/>
  <c r="AG43" i="52"/>
  <c r="AG13" i="52"/>
  <c r="AG267" i="52"/>
  <c r="AG194" i="52"/>
  <c r="AG127" i="52"/>
  <c r="AG14" i="52"/>
  <c r="AF44" i="52"/>
  <c r="R59" i="52"/>
  <c r="S125" i="52"/>
  <c r="AG133" i="52"/>
  <c r="Q162" i="52"/>
  <c r="AF178" i="52"/>
  <c r="S211" i="52"/>
  <c r="S276" i="52"/>
  <c r="AE307" i="52"/>
  <c r="AE324" i="52"/>
  <c r="S332" i="52"/>
  <c r="AF339" i="52"/>
  <c r="F372" i="52"/>
  <c r="F355" i="52"/>
  <c r="F316" i="52"/>
  <c r="F315" i="52"/>
  <c r="F394" i="52"/>
  <c r="F363" i="52"/>
  <c r="F356" i="52"/>
  <c r="F347" i="52"/>
  <c r="F299" i="52"/>
  <c r="F277" i="52"/>
  <c r="F324" i="52"/>
  <c r="F340" i="52"/>
  <c r="F332" i="52"/>
  <c r="F307" i="52"/>
  <c r="F291" i="52"/>
  <c r="F267" i="52"/>
  <c r="F364" i="52"/>
  <c r="F212" i="52"/>
  <c r="F276" i="52"/>
  <c r="F169" i="52"/>
  <c r="F243" i="52"/>
  <c r="F246" i="52" s="1"/>
  <c r="F194" i="52"/>
  <c r="F283" i="52"/>
  <c r="F244" i="52"/>
  <c r="F125" i="52"/>
  <c r="F235" i="52"/>
  <c r="F238" i="52" s="1"/>
  <c r="F134" i="52"/>
  <c r="F133" i="52"/>
  <c r="F331" i="52"/>
  <c r="F323" i="52"/>
  <c r="F308" i="52"/>
  <c r="F300" i="52"/>
  <c r="F253" i="52"/>
  <c r="F155" i="52"/>
  <c r="F135" i="52"/>
  <c r="F102" i="52"/>
  <c r="F371" i="52"/>
  <c r="F211" i="52"/>
  <c r="F76" i="52"/>
  <c r="F28" i="52"/>
  <c r="F236" i="52"/>
  <c r="F29" i="52"/>
  <c r="F348" i="52"/>
  <c r="F339" i="52"/>
  <c r="F284" i="52"/>
  <c r="F110" i="52"/>
  <c r="F393" i="52"/>
  <c r="F177" i="52"/>
  <c r="F261" i="52"/>
  <c r="F162" i="52"/>
  <c r="F101" i="52"/>
  <c r="F59" i="52"/>
  <c r="F35" i="52"/>
  <c r="F15" i="52"/>
  <c r="F379" i="52"/>
  <c r="F269" i="52"/>
  <c r="F203" i="52"/>
  <c r="F147" i="52"/>
  <c r="F268" i="52"/>
  <c r="F161" i="52"/>
  <c r="F119" i="52"/>
  <c r="F66" i="52"/>
  <c r="F82" i="52"/>
  <c r="F193" i="52"/>
  <c r="F118" i="52"/>
  <c r="F112" i="52"/>
  <c r="F89" i="52"/>
  <c r="F36" i="52"/>
  <c r="T372" i="52"/>
  <c r="T355" i="52"/>
  <c r="T393" i="52"/>
  <c r="T380" i="52"/>
  <c r="T394" i="52"/>
  <c r="T379" i="52"/>
  <c r="T277" i="52"/>
  <c r="T339" i="52"/>
  <c r="T331" i="52"/>
  <c r="T315" i="52"/>
  <c r="T284" i="52"/>
  <c r="T283" i="52"/>
  <c r="T267" i="52"/>
  <c r="T347" i="52"/>
  <c r="T291" i="52"/>
  <c r="T269" i="52"/>
  <c r="T261" i="52"/>
  <c r="T260" i="52"/>
  <c r="T259" i="52"/>
  <c r="T212" i="52"/>
  <c r="T332" i="52"/>
  <c r="T275" i="52"/>
  <c r="T169" i="52"/>
  <c r="T387" i="52"/>
  <c r="T340" i="52"/>
  <c r="T236" i="52"/>
  <c r="T193" i="52"/>
  <c r="T307" i="52"/>
  <c r="T371" i="52"/>
  <c r="T324" i="52"/>
  <c r="T243" i="52"/>
  <c r="T246" i="52" s="1"/>
  <c r="T194" i="52"/>
  <c r="T125" i="52"/>
  <c r="T348" i="52"/>
  <c r="T185" i="52"/>
  <c r="T188" i="52" s="1"/>
  <c r="T171" i="52"/>
  <c r="T154" i="52"/>
  <c r="T134" i="52"/>
  <c r="T133" i="52"/>
  <c r="T102" i="52"/>
  <c r="T178" i="52"/>
  <c r="T135" i="52"/>
  <c r="T76" i="52"/>
  <c r="T28" i="52"/>
  <c r="T363" i="52"/>
  <c r="T251" i="52"/>
  <c r="T211" i="52"/>
  <c r="T126" i="52"/>
  <c r="T29" i="52"/>
  <c r="T299" i="52"/>
  <c r="T276" i="52"/>
  <c r="T268" i="52"/>
  <c r="T127" i="52"/>
  <c r="T83" i="52"/>
  <c r="T22" i="52"/>
  <c r="T163" i="52"/>
  <c r="T323" i="52"/>
  <c r="T253" i="52"/>
  <c r="T111" i="52"/>
  <c r="T177" i="52"/>
  <c r="T170" i="52"/>
  <c r="T90" i="52"/>
  <c r="T52" i="52"/>
  <c r="T44" i="52"/>
  <c r="T37" i="52"/>
  <c r="T14" i="52"/>
  <c r="T66" i="52"/>
  <c r="T59" i="52"/>
  <c r="T356" i="52"/>
  <c r="T308" i="52"/>
  <c r="T300" i="52"/>
  <c r="T252" i="52"/>
  <c r="T15" i="52"/>
  <c r="AH372" i="52"/>
  <c r="AH355" i="52"/>
  <c r="AH324" i="52"/>
  <c r="AH323" i="52"/>
  <c r="AH363" i="52"/>
  <c r="AH340" i="52"/>
  <c r="AH277" i="52"/>
  <c r="AH268" i="52"/>
  <c r="AH371" i="52"/>
  <c r="AH300" i="52"/>
  <c r="AH267" i="52"/>
  <c r="AH307" i="52"/>
  <c r="AH212" i="52"/>
  <c r="AH348" i="52"/>
  <c r="AH261" i="52"/>
  <c r="AH260" i="52"/>
  <c r="AH259" i="52"/>
  <c r="AH169" i="52"/>
  <c r="AH269" i="52"/>
  <c r="AH235" i="52"/>
  <c r="AH238" i="52" s="1"/>
  <c r="AH332" i="52"/>
  <c r="AH292" i="52"/>
  <c r="AH236" i="52"/>
  <c r="AH193" i="52"/>
  <c r="AH147" i="52"/>
  <c r="AH125" i="52"/>
  <c r="AH315" i="52"/>
  <c r="AH244" i="52"/>
  <c r="AH177" i="52"/>
  <c r="AH141" i="52"/>
  <c r="AH316" i="52"/>
  <c r="AH203" i="52"/>
  <c r="AH153" i="52"/>
  <c r="AH102" i="52"/>
  <c r="AH380" i="52"/>
  <c r="AH308" i="52"/>
  <c r="AH134" i="52"/>
  <c r="AH133" i="52"/>
  <c r="AH76" i="52"/>
  <c r="AH28" i="52"/>
  <c r="AH253" i="52"/>
  <c r="AH101" i="52"/>
  <c r="AH387" i="52"/>
  <c r="AH364" i="52"/>
  <c r="AH178" i="52"/>
  <c r="AH118" i="52"/>
  <c r="AH291" i="52"/>
  <c r="AH59" i="52"/>
  <c r="AH58" i="52"/>
  <c r="AH331" i="52"/>
  <c r="AH284" i="52"/>
  <c r="AH276" i="52"/>
  <c r="AH112" i="52"/>
  <c r="AH36" i="52"/>
  <c r="AH21" i="52"/>
  <c r="AH65" i="52"/>
  <c r="AH22" i="52"/>
  <c r="AH339" i="52"/>
  <c r="AH211" i="52"/>
  <c r="AH110" i="52"/>
  <c r="AH51" i="52"/>
  <c r="AH43" i="52"/>
  <c r="AH13" i="52"/>
  <c r="AH394" i="52"/>
  <c r="AH161" i="52"/>
  <c r="AH100" i="52"/>
  <c r="AH7" i="52" a="1"/>
  <c r="AH7" i="52" s="1"/>
  <c r="J37" i="51" s="1"/>
  <c r="I37" i="51" s="1"/>
  <c r="X37" i="51" s="1"/>
  <c r="AH356" i="52"/>
  <c r="AH135" i="52"/>
  <c r="AH90" i="52"/>
  <c r="AH83" i="52"/>
  <c r="AH52" i="52"/>
  <c r="AH44" i="52"/>
  <c r="AH37" i="52"/>
  <c r="AE14" i="52"/>
  <c r="F22" i="52"/>
  <c r="Q28" i="52"/>
  <c r="AG44" i="52"/>
  <c r="R100" i="52"/>
  <c r="S118" i="52"/>
  <c r="Q135" i="52"/>
  <c r="AD155" i="52"/>
  <c r="P161" i="52"/>
  <c r="R162" i="52"/>
  <c r="AG178" i="52"/>
  <c r="Q236" i="52"/>
  <c r="AD347" i="52"/>
  <c r="F387" i="52"/>
  <c r="AE363" i="52"/>
  <c r="AE387" i="52"/>
  <c r="AE394" i="52"/>
  <c r="AE332" i="52"/>
  <c r="AE372" i="52"/>
  <c r="AE331" i="52"/>
  <c r="AE292" i="52"/>
  <c r="AE380" i="52"/>
  <c r="AE315" i="52"/>
  <c r="AE356" i="52"/>
  <c r="AE348" i="52"/>
  <c r="AE259" i="52"/>
  <c r="AE364" i="52"/>
  <c r="AE277" i="52"/>
  <c r="AE185" i="52"/>
  <c r="AE188" i="52" s="1"/>
  <c r="AE171" i="52"/>
  <c r="AE393" i="52"/>
  <c r="AE323" i="52"/>
  <c r="AE316" i="52"/>
  <c r="AE268" i="52"/>
  <c r="AE267" i="52"/>
  <c r="AE235" i="52"/>
  <c r="AE238" i="52" s="1"/>
  <c r="AE261" i="52"/>
  <c r="AE252" i="52"/>
  <c r="AE347" i="52"/>
  <c r="AE269" i="52"/>
  <c r="AE253" i="52"/>
  <c r="AE251" i="52"/>
  <c r="AE170" i="52"/>
  <c r="AE118" i="52"/>
  <c r="AE236" i="52"/>
  <c r="AE193" i="52"/>
  <c r="AE163" i="52"/>
  <c r="AE147" i="52"/>
  <c r="AE260" i="52"/>
  <c r="AE52" i="52"/>
  <c r="AE355" i="52"/>
  <c r="AE276" i="52"/>
  <c r="AE275" i="52"/>
  <c r="AE127" i="52"/>
  <c r="AE90" i="52"/>
  <c r="AE44" i="52"/>
  <c r="AE43" i="52"/>
  <c r="AE299" i="52"/>
  <c r="AE302" i="52" s="1"/>
  <c r="AE244" i="52"/>
  <c r="AE161" i="52"/>
  <c r="AE155" i="52"/>
  <c r="AE134" i="52"/>
  <c r="AE125" i="52"/>
  <c r="AE100" i="52"/>
  <c r="AE284" i="52"/>
  <c r="AE243" i="52"/>
  <c r="AE246" i="52" s="1"/>
  <c r="AE212" i="52"/>
  <c r="AE177" i="52"/>
  <c r="AE379" i="52"/>
  <c r="AE162" i="52"/>
  <c r="AE29" i="52"/>
  <c r="AE112" i="52"/>
  <c r="AE110" i="52"/>
  <c r="AE51" i="52"/>
  <c r="AE21" i="52"/>
  <c r="AE135" i="52"/>
  <c r="AE76" i="52"/>
  <c r="AE89" i="52"/>
  <c r="AE36" i="52"/>
  <c r="AE58" i="52"/>
  <c r="AE308" i="52"/>
  <c r="AE102" i="52"/>
  <c r="AE339" i="52"/>
  <c r="AE22" i="52"/>
  <c r="Q211" i="52"/>
  <c r="AF14" i="52"/>
  <c r="AD22" i="52"/>
  <c r="R28" i="52"/>
  <c r="P29" i="52"/>
  <c r="F51" i="52"/>
  <c r="F52" i="52"/>
  <c r="AD52" i="52"/>
  <c r="P66" i="52"/>
  <c r="F83" i="52"/>
  <c r="AE83" i="52"/>
  <c r="S100" i="52"/>
  <c r="R102" i="52"/>
  <c r="P110" i="52"/>
  <c r="T118" i="52"/>
  <c r="AD126" i="52"/>
  <c r="R135" i="52"/>
  <c r="AD141" i="52"/>
  <c r="T153" i="52"/>
  <c r="AH155" i="52"/>
  <c r="Q161" i="52"/>
  <c r="T162" i="52"/>
  <c r="AH163" i="52"/>
  <c r="S236" i="52"/>
  <c r="Q244" i="52"/>
  <c r="R260" i="52"/>
  <c r="F275" i="52"/>
  <c r="AH347" i="52"/>
  <c r="S371" i="52"/>
  <c r="P394" i="52"/>
  <c r="R387" i="52"/>
  <c r="R356" i="52"/>
  <c r="R307" i="52"/>
  <c r="R393" i="52"/>
  <c r="R324" i="52"/>
  <c r="R323" i="52"/>
  <c r="R371" i="52"/>
  <c r="R355" i="52"/>
  <c r="R364" i="52"/>
  <c r="R269" i="52"/>
  <c r="R380" i="52"/>
  <c r="R339" i="52"/>
  <c r="R315" i="52"/>
  <c r="R268" i="52"/>
  <c r="R340" i="52"/>
  <c r="R235" i="52"/>
  <c r="R238" i="52" s="1"/>
  <c r="R161" i="52"/>
  <c r="R379" i="52"/>
  <c r="R347" i="52"/>
  <c r="R291" i="52"/>
  <c r="R170" i="52"/>
  <c r="R316" i="52"/>
  <c r="R284" i="52"/>
  <c r="R276" i="52"/>
  <c r="R372" i="52"/>
  <c r="R299" i="52"/>
  <c r="R394" i="52"/>
  <c r="R259" i="52"/>
  <c r="R236" i="52"/>
  <c r="R193" i="52"/>
  <c r="R126" i="52"/>
  <c r="R292" i="52"/>
  <c r="R212" i="52"/>
  <c r="R275" i="52"/>
  <c r="R252" i="52"/>
  <c r="R153" i="52"/>
  <c r="R141" i="52"/>
  <c r="R194" i="52"/>
  <c r="R185" i="52"/>
  <c r="R188" i="52" s="1"/>
  <c r="R89" i="52"/>
  <c r="R29" i="52"/>
  <c r="R169" i="52"/>
  <c r="R118" i="52"/>
  <c r="R101" i="52"/>
  <c r="R83" i="52"/>
  <c r="R82" i="52"/>
  <c r="R37" i="52"/>
  <c r="R36" i="52"/>
  <c r="R35" i="52"/>
  <c r="R177" i="52"/>
  <c r="R283" i="52"/>
  <c r="R13" i="52"/>
  <c r="R90" i="52"/>
  <c r="R363" i="52"/>
  <c r="R348" i="52"/>
  <c r="R133" i="52"/>
  <c r="R203" i="52"/>
  <c r="R178" i="52"/>
  <c r="R171" i="52"/>
  <c r="R155" i="52"/>
  <c r="R134" i="52"/>
  <c r="R76" i="52"/>
  <c r="R65" i="52"/>
  <c r="R154" i="52"/>
  <c r="R127" i="52"/>
  <c r="R22" i="52"/>
  <c r="R52" i="52"/>
  <c r="R44" i="52"/>
  <c r="R253" i="52"/>
  <c r="R251" i="52"/>
  <c r="R243" i="52"/>
  <c r="R246" i="52" s="1"/>
  <c r="R66" i="52"/>
  <c r="AF387" i="52"/>
  <c r="AF356" i="52"/>
  <c r="AF307" i="52"/>
  <c r="AF332" i="52"/>
  <c r="AF379" i="52"/>
  <c r="AF308" i="52"/>
  <c r="AF299" i="52"/>
  <c r="AF269" i="52"/>
  <c r="AF323" i="52"/>
  <c r="AF268" i="52"/>
  <c r="AF393" i="52"/>
  <c r="AF316" i="52"/>
  <c r="AF267" i="52"/>
  <c r="AF235" i="52"/>
  <c r="AF238" i="52" s="1"/>
  <c r="AF161" i="52"/>
  <c r="AF170" i="52"/>
  <c r="AF347" i="52"/>
  <c r="AF300" i="52"/>
  <c r="AF163" i="52"/>
  <c r="AF155" i="52"/>
  <c r="AF154" i="52"/>
  <c r="AF153" i="52"/>
  <c r="AF126" i="52"/>
  <c r="AF236" i="52"/>
  <c r="AF193" i="52"/>
  <c r="AF147" i="52"/>
  <c r="AF260" i="52"/>
  <c r="AF363" i="52"/>
  <c r="AF315" i="52"/>
  <c r="AF244" i="52"/>
  <c r="AF177" i="52"/>
  <c r="AF141" i="52"/>
  <c r="AF89" i="52"/>
  <c r="AF29" i="52"/>
  <c r="AF134" i="52"/>
  <c r="AF125" i="52"/>
  <c r="AF100" i="52"/>
  <c r="AF7" i="52" a="1"/>
  <c r="AF7" i="52" s="1"/>
  <c r="J35" i="51" s="1"/>
  <c r="I35" i="51" s="1"/>
  <c r="X35" i="51" s="1"/>
  <c r="AF253" i="52"/>
  <c r="AF171" i="52"/>
  <c r="AF83" i="52"/>
  <c r="AF82" i="52"/>
  <c r="AF37" i="52"/>
  <c r="AF36" i="52"/>
  <c r="AF35" i="52"/>
  <c r="AF169" i="52"/>
  <c r="AF135" i="52"/>
  <c r="AF66" i="52"/>
  <c r="AF65" i="52"/>
  <c r="AF292" i="52"/>
  <c r="AF243" i="52"/>
  <c r="AF246" i="52" s="1"/>
  <c r="AF102" i="52"/>
  <c r="AF76" i="52"/>
  <c r="AF58" i="52"/>
  <c r="AF43" i="52"/>
  <c r="AF13" i="52"/>
  <c r="AF212" i="52"/>
  <c r="AF118" i="52"/>
  <c r="AF331" i="52"/>
  <c r="AF251" i="52"/>
  <c r="AF348" i="52"/>
  <c r="AF284" i="52"/>
  <c r="AF276" i="52"/>
  <c r="AF261" i="52"/>
  <c r="AF112" i="52"/>
  <c r="AF110" i="52"/>
  <c r="AF51" i="52"/>
  <c r="AF21" i="52"/>
  <c r="AF394" i="52"/>
  <c r="AF371" i="52"/>
  <c r="AF324" i="52"/>
  <c r="AF211" i="52"/>
  <c r="AF203" i="52"/>
  <c r="AF90" i="52"/>
  <c r="AD7" i="52" a="1"/>
  <c r="AD7" i="52" s="1"/>
  <c r="J33" i="51" s="1"/>
  <c r="I33" i="51" s="1"/>
  <c r="X33" i="51" s="1"/>
  <c r="S13" i="52"/>
  <c r="AH14" i="52"/>
  <c r="AD15" i="52"/>
  <c r="AF22" i="52"/>
  <c r="Q29" i="52"/>
  <c r="AD35" i="52"/>
  <c r="R43" i="52"/>
  <c r="AF52" i="52"/>
  <c r="S66" i="52"/>
  <c r="T100" i="52"/>
  <c r="P101" i="52"/>
  <c r="R110" i="52"/>
  <c r="Q119" i="52"/>
  <c r="AE126" i="52"/>
  <c r="AF127" i="52"/>
  <c r="AE141" i="52"/>
  <c r="AD154" i="52"/>
  <c r="S161" i="52"/>
  <c r="AH170" i="52"/>
  <c r="AE211" i="52"/>
  <c r="S235" i="52"/>
  <c r="S238" i="52" s="1"/>
  <c r="R244" i="52"/>
  <c r="P252" i="52"/>
  <c r="AD253" i="52"/>
  <c r="R267" i="52"/>
  <c r="AD291" i="52"/>
  <c r="S308" i="52"/>
  <c r="AD315" i="52"/>
  <c r="AD340" i="52"/>
  <c r="AG355" i="52"/>
  <c r="P363" i="52"/>
  <c r="H371" i="52"/>
  <c r="H394" i="52"/>
  <c r="H340" i="52"/>
  <c r="H364" i="52"/>
  <c r="H356" i="52"/>
  <c r="H355" i="52"/>
  <c r="H393" i="52"/>
  <c r="H387" i="52"/>
  <c r="H300" i="52"/>
  <c r="H292" i="52"/>
  <c r="H291" i="52"/>
  <c r="H276" i="52"/>
  <c r="H379" i="52"/>
  <c r="H372" i="52"/>
  <c r="H363" i="52"/>
  <c r="H332" i="52"/>
  <c r="H307" i="52"/>
  <c r="H277" i="52"/>
  <c r="H331" i="52"/>
  <c r="H244" i="52"/>
  <c r="H211" i="52"/>
  <c r="H194" i="52"/>
  <c r="H178" i="52"/>
  <c r="H284" i="52"/>
  <c r="H347" i="52"/>
  <c r="H283" i="52"/>
  <c r="H275" i="52"/>
  <c r="H268" i="52"/>
  <c r="H380" i="52"/>
  <c r="H177" i="52"/>
  <c r="H315" i="52"/>
  <c r="H243" i="52"/>
  <c r="H246" i="52" s="1"/>
  <c r="H324" i="52"/>
  <c r="H299" i="52"/>
  <c r="H251" i="52"/>
  <c r="H161" i="52"/>
  <c r="H127" i="52"/>
  <c r="H126" i="52"/>
  <c r="H125" i="52"/>
  <c r="H101" i="52"/>
  <c r="H269" i="52"/>
  <c r="H112" i="52"/>
  <c r="H59" i="52"/>
  <c r="H15" i="52"/>
  <c r="H348" i="52"/>
  <c r="H193" i="52"/>
  <c r="H66" i="52"/>
  <c r="H65" i="52"/>
  <c r="H22" i="52"/>
  <c r="H21" i="52"/>
  <c r="H253" i="52"/>
  <c r="H171" i="52"/>
  <c r="H111" i="52"/>
  <c r="H212" i="52"/>
  <c r="H134" i="52"/>
  <c r="H100" i="52"/>
  <c r="V371" i="52"/>
  <c r="V394" i="52"/>
  <c r="V340" i="52"/>
  <c r="V316" i="52"/>
  <c r="V363" i="52"/>
  <c r="V379" i="52"/>
  <c r="V364" i="52"/>
  <c r="V332" i="52"/>
  <c r="V323" i="52"/>
  <c r="V299" i="52"/>
  <c r="V276" i="52"/>
  <c r="V284" i="52"/>
  <c r="V283" i="52"/>
  <c r="V324" i="52"/>
  <c r="V291" i="52"/>
  <c r="V244" i="52"/>
  <c r="V211" i="52"/>
  <c r="V194" i="52"/>
  <c r="V178" i="52"/>
  <c r="V147" i="52"/>
  <c r="V315" i="52"/>
  <c r="V308" i="52"/>
  <c r="V393" i="52"/>
  <c r="V339" i="52"/>
  <c r="V267" i="52"/>
  <c r="V259" i="52"/>
  <c r="V243" i="52"/>
  <c r="V246" i="52" s="1"/>
  <c r="V387" i="52"/>
  <c r="V347" i="52"/>
  <c r="V135" i="52"/>
  <c r="V134" i="52"/>
  <c r="V155" i="52"/>
  <c r="V101" i="52"/>
  <c r="V356" i="52"/>
  <c r="V261" i="52"/>
  <c r="V235" i="52"/>
  <c r="V238" i="52" s="1"/>
  <c r="V127" i="52"/>
  <c r="V126" i="52"/>
  <c r="V125" i="52"/>
  <c r="V112" i="52"/>
  <c r="V59" i="52"/>
  <c r="V15" i="52"/>
  <c r="V331" i="52"/>
  <c r="V292" i="52"/>
  <c r="V162" i="52"/>
  <c r="V119" i="52"/>
  <c r="V102" i="52"/>
  <c r="V154" i="52"/>
  <c r="V110" i="52"/>
  <c r="V66" i="52"/>
  <c r="V65" i="52"/>
  <c r="V22" i="52"/>
  <c r="V21" i="52"/>
  <c r="V372" i="52"/>
  <c r="V161" i="52"/>
  <c r="V52" i="52"/>
  <c r="V51" i="52"/>
  <c r="V7" i="52" a="1"/>
  <c r="V7" i="52" s="1"/>
  <c r="J25" i="51" s="1"/>
  <c r="I25" i="51" s="1"/>
  <c r="X25" i="51" s="1"/>
  <c r="K13" i="52"/>
  <c r="V28" i="52"/>
  <c r="H29" i="52"/>
  <c r="Y29" i="52"/>
  <c r="Y36" i="52"/>
  <c r="H43" i="52"/>
  <c r="Z43" i="52"/>
  <c r="H51" i="52"/>
  <c r="Z51" i="52"/>
  <c r="H58" i="52"/>
  <c r="K65" i="52"/>
  <c r="L76" i="52"/>
  <c r="V82" i="52"/>
  <c r="Y89" i="52"/>
  <c r="Z112" i="52"/>
  <c r="Y125" i="52"/>
  <c r="K134" i="52"/>
  <c r="H135" i="52"/>
  <c r="Z147" i="52"/>
  <c r="K154" i="52"/>
  <c r="Z161" i="52"/>
  <c r="H170" i="52"/>
  <c r="K171" i="52"/>
  <c r="Y235" i="52"/>
  <c r="Y238" i="52" s="1"/>
  <c r="V236" i="52"/>
  <c r="K283" i="52"/>
  <c r="K315" i="52"/>
  <c r="Y316" i="52"/>
  <c r="N363" i="52"/>
  <c r="Y126" i="52"/>
  <c r="K135" i="52"/>
  <c r="Y236" i="52"/>
  <c r="Y243" i="52"/>
  <c r="Y246" i="52" s="1"/>
  <c r="Y260" i="52"/>
  <c r="K372" i="52"/>
  <c r="L387" i="52"/>
  <c r="L324" i="52"/>
  <c r="L371" i="52"/>
  <c r="L300" i="52"/>
  <c r="L380" i="52"/>
  <c r="L348" i="52"/>
  <c r="L299" i="52"/>
  <c r="L363" i="52"/>
  <c r="L316" i="52"/>
  <c r="L252" i="52"/>
  <c r="L379" i="52"/>
  <c r="L331" i="52"/>
  <c r="L211" i="52"/>
  <c r="L177" i="52"/>
  <c r="L356" i="52"/>
  <c r="L308" i="52"/>
  <c r="L269" i="52"/>
  <c r="L212" i="52"/>
  <c r="L178" i="52"/>
  <c r="L141" i="52"/>
  <c r="L394" i="52"/>
  <c r="L236" i="52"/>
  <c r="L340" i="52"/>
  <c r="L339" i="52"/>
  <c r="L332" i="52"/>
  <c r="L277" i="52"/>
  <c r="L260" i="52"/>
  <c r="L170" i="52"/>
  <c r="L163" i="52"/>
  <c r="L372" i="52"/>
  <c r="L292" i="52"/>
  <c r="L193" i="52"/>
  <c r="L110" i="52"/>
  <c r="L44" i="52"/>
  <c r="L13" i="52"/>
  <c r="L261" i="52"/>
  <c r="L203" i="52"/>
  <c r="L161" i="52"/>
  <c r="L127" i="52"/>
  <c r="L291" i="52"/>
  <c r="L155" i="52"/>
  <c r="L112" i="52"/>
  <c r="L52" i="52"/>
  <c r="L51" i="52"/>
  <c r="L323" i="52"/>
  <c r="L251" i="52"/>
  <c r="L185" i="52"/>
  <c r="L188" i="52" s="1"/>
  <c r="L154" i="52"/>
  <c r="L101" i="52"/>
  <c r="L83" i="52"/>
  <c r="L37" i="52"/>
  <c r="L36" i="52"/>
  <c r="L35" i="52"/>
  <c r="Z387" i="52"/>
  <c r="Z324" i="52"/>
  <c r="Z394" i="52"/>
  <c r="Z364" i="52"/>
  <c r="Z348" i="52"/>
  <c r="Z347" i="52"/>
  <c r="Z299" i="52"/>
  <c r="Z284" i="52"/>
  <c r="Z332" i="52"/>
  <c r="Z316" i="52"/>
  <c r="Z307" i="52"/>
  <c r="Z379" i="52"/>
  <c r="Z363" i="52"/>
  <c r="Z276" i="52"/>
  <c r="Z252" i="52"/>
  <c r="Z315" i="52"/>
  <c r="Z268" i="52"/>
  <c r="Z260" i="52"/>
  <c r="Z244" i="52"/>
  <c r="Z323" i="52"/>
  <c r="Z283" i="52"/>
  <c r="Z211" i="52"/>
  <c r="Z177" i="52"/>
  <c r="Z141" i="52"/>
  <c r="Z267" i="52"/>
  <c r="Z356" i="52"/>
  <c r="Z253" i="52"/>
  <c r="Z162" i="52"/>
  <c r="Z355" i="52"/>
  <c r="Z251" i="52"/>
  <c r="Z243" i="52"/>
  <c r="Z246" i="52" s="1"/>
  <c r="Z110" i="52"/>
  <c r="Z44" i="52"/>
  <c r="Z13" i="52"/>
  <c r="Z393" i="52"/>
  <c r="Z308" i="52"/>
  <c r="Z133" i="52"/>
  <c r="Z59" i="52"/>
  <c r="Z58" i="52"/>
  <c r="Z15" i="52"/>
  <c r="Z14" i="52"/>
  <c r="Z269" i="52"/>
  <c r="Z236" i="52"/>
  <c r="Z111" i="52"/>
  <c r="Z380" i="52"/>
  <c r="Z300" i="52"/>
  <c r="Z235" i="52"/>
  <c r="Z238" i="52" s="1"/>
  <c r="Z155" i="52"/>
  <c r="Z134" i="52"/>
  <c r="Z125" i="52"/>
  <c r="Z118" i="52"/>
  <c r="Z100" i="52"/>
  <c r="Z82" i="52"/>
  <c r="Y7" i="52" a="1"/>
  <c r="Y7" i="52" s="1"/>
  <c r="J28" i="51" s="1"/>
  <c r="I28" i="51" s="1"/>
  <c r="X28" i="51" s="1"/>
  <c r="Z28" i="52"/>
  <c r="L29" i="52"/>
  <c r="K36" i="52"/>
  <c r="K89" i="52"/>
  <c r="Y101" i="52"/>
  <c r="K110" i="52"/>
  <c r="K118" i="52"/>
  <c r="K120" i="52" s="1"/>
  <c r="Z126" i="52"/>
  <c r="L135" i="52"/>
  <c r="K269" i="52"/>
  <c r="Z292" i="52"/>
  <c r="L355" i="52"/>
  <c r="K393" i="52"/>
  <c r="K380" i="52"/>
  <c r="K363" i="52"/>
  <c r="K300" i="52"/>
  <c r="K387" i="52"/>
  <c r="K348" i="52"/>
  <c r="K347" i="52"/>
  <c r="K299" i="52"/>
  <c r="K371" i="52"/>
  <c r="K339" i="52"/>
  <c r="K307" i="52"/>
  <c r="K284" i="52"/>
  <c r="K292" i="52"/>
  <c r="K275" i="52"/>
  <c r="K394" i="52"/>
  <c r="K356" i="52"/>
  <c r="K308" i="52"/>
  <c r="K323" i="52"/>
  <c r="K253" i="52"/>
  <c r="K155" i="52"/>
  <c r="K251" i="52"/>
  <c r="K379" i="52"/>
  <c r="K331" i="52"/>
  <c r="K261" i="52"/>
  <c r="K252" i="52"/>
  <c r="K211" i="52"/>
  <c r="K162" i="52"/>
  <c r="K236" i="52"/>
  <c r="K111" i="52"/>
  <c r="K340" i="52"/>
  <c r="K332" i="52"/>
  <c r="K277" i="52"/>
  <c r="K260" i="52"/>
  <c r="K170" i="52"/>
  <c r="K163" i="52"/>
  <c r="K83" i="52"/>
  <c r="K35" i="52"/>
  <c r="K316" i="52"/>
  <c r="K244" i="52"/>
  <c r="K235" i="52"/>
  <c r="K238" i="52" s="1"/>
  <c r="K147" i="52"/>
  <c r="K59" i="52"/>
  <c r="K58" i="52"/>
  <c r="K15" i="52"/>
  <c r="K14" i="52"/>
  <c r="K203" i="52"/>
  <c r="K178" i="52"/>
  <c r="K161" i="52"/>
  <c r="K127" i="52"/>
  <c r="K355" i="52"/>
  <c r="K169" i="52"/>
  <c r="K82" i="52"/>
  <c r="M379" i="52"/>
  <c r="M348" i="52"/>
  <c r="M299" i="52"/>
  <c r="M372" i="52"/>
  <c r="M340" i="52"/>
  <c r="M339" i="52"/>
  <c r="M308" i="52"/>
  <c r="M283" i="52"/>
  <c r="M394" i="52"/>
  <c r="M356" i="52"/>
  <c r="M323" i="52"/>
  <c r="M261" i="52"/>
  <c r="M363" i="52"/>
  <c r="M316" i="52"/>
  <c r="M252" i="52"/>
  <c r="M154" i="52"/>
  <c r="M387" i="52"/>
  <c r="M371" i="52"/>
  <c r="M307" i="52"/>
  <c r="M277" i="52"/>
  <c r="M163" i="52"/>
  <c r="M300" i="52"/>
  <c r="M380" i="52"/>
  <c r="M269" i="52"/>
  <c r="M355" i="52"/>
  <c r="M292" i="52"/>
  <c r="M332" i="52"/>
  <c r="M260" i="52"/>
  <c r="M170" i="52"/>
  <c r="M193" i="52"/>
  <c r="M110" i="52"/>
  <c r="M291" i="52"/>
  <c r="M276" i="52"/>
  <c r="M203" i="52"/>
  <c r="M119" i="52"/>
  <c r="M82" i="52"/>
  <c r="M66" i="52"/>
  <c r="M22" i="52"/>
  <c r="M178" i="52"/>
  <c r="M155" i="52"/>
  <c r="M112" i="52"/>
  <c r="M52" i="52"/>
  <c r="M51" i="52"/>
  <c r="M134" i="52"/>
  <c r="M125" i="52"/>
  <c r="AA379" i="52"/>
  <c r="AA348" i="52"/>
  <c r="AA299" i="52"/>
  <c r="AA300" i="52"/>
  <c r="AA371" i="52"/>
  <c r="AA324" i="52"/>
  <c r="AA307" i="52"/>
  <c r="AA283" i="52"/>
  <c r="AA372" i="52"/>
  <c r="AA340" i="52"/>
  <c r="AA292" i="52"/>
  <c r="AA387" i="52"/>
  <c r="AA261" i="52"/>
  <c r="AA276" i="52"/>
  <c r="AA252" i="52"/>
  <c r="AA154" i="52"/>
  <c r="AA331" i="52"/>
  <c r="AA284" i="52"/>
  <c r="AA163" i="52"/>
  <c r="AA323" i="52"/>
  <c r="AA251" i="52"/>
  <c r="AA364" i="52"/>
  <c r="AA363" i="52"/>
  <c r="AA277" i="52"/>
  <c r="AA275" i="52"/>
  <c r="AA356" i="52"/>
  <c r="AA253" i="52"/>
  <c r="AA162" i="52"/>
  <c r="AA355" i="52"/>
  <c r="AA243" i="52"/>
  <c r="AA246" i="52" s="1"/>
  <c r="AA110" i="52"/>
  <c r="AA211" i="52"/>
  <c r="AA119" i="52"/>
  <c r="AA82" i="52"/>
  <c r="AA66" i="52"/>
  <c r="AA22" i="52"/>
  <c r="AA269" i="52"/>
  <c r="AA236" i="52"/>
  <c r="AA111" i="52"/>
  <c r="AA332" i="52"/>
  <c r="AA52" i="52"/>
  <c r="AA51" i="52"/>
  <c r="AA347" i="52"/>
  <c r="AA315" i="52"/>
  <c r="AA203" i="52"/>
  <c r="AA178" i="52"/>
  <c r="AA170" i="52"/>
  <c r="AA83" i="52"/>
  <c r="AA37" i="52"/>
  <c r="AA36" i="52"/>
  <c r="AA35" i="52"/>
  <c r="AB15" i="52"/>
  <c r="AA28" i="52"/>
  <c r="M29" i="52"/>
  <c r="M36" i="52"/>
  <c r="V37" i="52"/>
  <c r="Y66" i="52"/>
  <c r="L89" i="52"/>
  <c r="Z101" i="52"/>
  <c r="N110" i="52"/>
  <c r="L118" i="52"/>
  <c r="Y119" i="52"/>
  <c r="AA126" i="52"/>
  <c r="AA133" i="52"/>
  <c r="M135" i="52"/>
  <c r="Y153" i="52"/>
  <c r="AB162" i="52"/>
  <c r="V163" i="52"/>
  <c r="V185" i="52"/>
  <c r="V188" i="52" s="1"/>
  <c r="N194" i="52"/>
  <c r="N211" i="52"/>
  <c r="AB253" i="52"/>
  <c r="AB259" i="52"/>
  <c r="H267" i="52"/>
  <c r="Z291" i="52"/>
  <c r="V307" i="52"/>
  <c r="K364" i="52"/>
  <c r="Z372" i="52"/>
  <c r="Y393" i="52"/>
  <c r="Y380" i="52"/>
  <c r="Y363" i="52"/>
  <c r="Y300" i="52"/>
  <c r="Y394" i="52"/>
  <c r="Y364" i="52"/>
  <c r="Y348" i="52"/>
  <c r="Y347" i="52"/>
  <c r="Y372" i="52"/>
  <c r="Y356" i="52"/>
  <c r="Y284" i="52"/>
  <c r="Y355" i="52"/>
  <c r="Y291" i="52"/>
  <c r="Y277" i="52"/>
  <c r="Y276" i="52"/>
  <c r="Y275" i="52"/>
  <c r="Y340" i="52"/>
  <c r="Y292" i="52"/>
  <c r="Y339" i="52"/>
  <c r="Y253" i="52"/>
  <c r="Y155" i="52"/>
  <c r="Y324" i="52"/>
  <c r="Y203" i="52"/>
  <c r="Y171" i="52"/>
  <c r="Y315" i="52"/>
  <c r="Y268" i="52"/>
  <c r="Y323" i="52"/>
  <c r="Y251" i="52"/>
  <c r="Y169" i="52"/>
  <c r="Y161" i="52"/>
  <c r="Y283" i="52"/>
  <c r="Y267" i="52"/>
  <c r="Y111" i="52"/>
  <c r="Y379" i="52"/>
  <c r="Y162" i="52"/>
  <c r="Y83" i="52"/>
  <c r="Y35" i="52"/>
  <c r="Y371" i="52"/>
  <c r="Y185" i="52"/>
  <c r="Y188" i="52" s="1"/>
  <c r="Y13" i="52"/>
  <c r="Y308" i="52"/>
  <c r="Y133" i="52"/>
  <c r="Y59" i="52"/>
  <c r="Y58" i="52"/>
  <c r="Y15" i="52"/>
  <c r="Y14" i="52"/>
  <c r="Y244" i="52"/>
  <c r="Y193" i="52"/>
  <c r="Y198" i="52" s="1"/>
  <c r="Y163" i="52"/>
  <c r="Y28" i="52"/>
  <c r="K29" i="52"/>
  <c r="K51" i="52"/>
  <c r="Y82" i="52"/>
  <c r="K112" i="52"/>
  <c r="N372" i="52"/>
  <c r="N323" i="52"/>
  <c r="N340" i="52"/>
  <c r="N339" i="52"/>
  <c r="N308" i="52"/>
  <c r="N371" i="52"/>
  <c r="N331" i="52"/>
  <c r="N387" i="52"/>
  <c r="N307" i="52"/>
  <c r="N277" i="52"/>
  <c r="N163" i="52"/>
  <c r="N355" i="52"/>
  <c r="N348" i="52"/>
  <c r="N300" i="52"/>
  <c r="N251" i="52"/>
  <c r="N203" i="52"/>
  <c r="N380" i="52"/>
  <c r="N269" i="52"/>
  <c r="N261" i="52"/>
  <c r="N212" i="52"/>
  <c r="N178" i="52"/>
  <c r="N356" i="52"/>
  <c r="N292" i="52"/>
  <c r="N235" i="52"/>
  <c r="N238" i="52" s="1"/>
  <c r="N162" i="52"/>
  <c r="N161" i="52"/>
  <c r="N193" i="52"/>
  <c r="N291" i="52"/>
  <c r="N276" i="52"/>
  <c r="N119" i="52"/>
  <c r="N268" i="52"/>
  <c r="N244" i="52"/>
  <c r="N177" i="52"/>
  <c r="N147" i="52"/>
  <c r="N43" i="52"/>
  <c r="N252" i="52"/>
  <c r="N134" i="52"/>
  <c r="N125" i="52"/>
  <c r="N170" i="52"/>
  <c r="N118" i="52"/>
  <c r="N90" i="52"/>
  <c r="N89" i="52"/>
  <c r="N332" i="52"/>
  <c r="N135" i="52"/>
  <c r="N126" i="52"/>
  <c r="N102" i="52"/>
  <c r="N76" i="52"/>
  <c r="N29" i="52"/>
  <c r="N28" i="52"/>
  <c r="AB372" i="52"/>
  <c r="AB323" i="52"/>
  <c r="AB371" i="52"/>
  <c r="AB387" i="52"/>
  <c r="AB340" i="52"/>
  <c r="AB339" i="52"/>
  <c r="AB363" i="52"/>
  <c r="AB348" i="52"/>
  <c r="AB308" i="52"/>
  <c r="AB331" i="52"/>
  <c r="AB324" i="52"/>
  <c r="AB284" i="52"/>
  <c r="AB163" i="52"/>
  <c r="AB356" i="52"/>
  <c r="AB292" i="52"/>
  <c r="AB251" i="52"/>
  <c r="AB203" i="52"/>
  <c r="AB364" i="52"/>
  <c r="AB211" i="52"/>
  <c r="AB177" i="52"/>
  <c r="AB283" i="52"/>
  <c r="AB277" i="52"/>
  <c r="AB275" i="52"/>
  <c r="AB212" i="52"/>
  <c r="AB178" i="52"/>
  <c r="AB355" i="52"/>
  <c r="AB243" i="52"/>
  <c r="AB246" i="52" s="1"/>
  <c r="AB379" i="52"/>
  <c r="AB119" i="52"/>
  <c r="AB236" i="52"/>
  <c r="AB43" i="52"/>
  <c r="AB332" i="52"/>
  <c r="AB52" i="52"/>
  <c r="AB51" i="52"/>
  <c r="AB268" i="52"/>
  <c r="AB194" i="52"/>
  <c r="AB153" i="52"/>
  <c r="AB112" i="52"/>
  <c r="AB394" i="52"/>
  <c r="AB261" i="52"/>
  <c r="AB252" i="52"/>
  <c r="AB141" i="52"/>
  <c r="AB101" i="52"/>
  <c r="Z7" i="52" a="1"/>
  <c r="Z7" i="52" s="1"/>
  <c r="J29" i="51" s="1"/>
  <c r="I29" i="51" s="1"/>
  <c r="X29" i="51" s="1"/>
  <c r="V14" i="52"/>
  <c r="L15" i="52"/>
  <c r="K28" i="52"/>
  <c r="AB28" i="52"/>
  <c r="N36" i="52"/>
  <c r="V44" i="52"/>
  <c r="AA59" i="52"/>
  <c r="Z66" i="52"/>
  <c r="M89" i="52"/>
  <c r="AA101" i="52"/>
  <c r="AB111" i="52"/>
  <c r="M118" i="52"/>
  <c r="Z119" i="52"/>
  <c r="K125" i="52"/>
  <c r="AB126" i="52"/>
  <c r="AB133" i="52"/>
  <c r="Y141" i="52"/>
  <c r="L147" i="52"/>
  <c r="Z153" i="52"/>
  <c r="Y154" i="52"/>
  <c r="V169" i="52"/>
  <c r="V170" i="52"/>
  <c r="V171" i="52"/>
  <c r="K212" i="52"/>
  <c r="H235" i="52"/>
  <c r="H238" i="52" s="1"/>
  <c r="Z275" i="52"/>
  <c r="AA291" i="52"/>
  <c r="Y307" i="52"/>
  <c r="AB315" i="52"/>
  <c r="K324" i="52"/>
  <c r="Z340" i="52"/>
  <c r="L347" i="52"/>
  <c r="V355" i="52"/>
  <c r="L364" i="52"/>
  <c r="AC316" i="52"/>
  <c r="O141" i="52"/>
  <c r="AC147" i="52"/>
  <c r="O212" i="52"/>
  <c r="O243" i="52"/>
  <c r="O246" i="52" s="1"/>
  <c r="O259" i="52"/>
  <c r="O364" i="52"/>
  <c r="O347" i="52"/>
  <c r="O372" i="52"/>
  <c r="O332" i="52"/>
  <c r="O331" i="52"/>
  <c r="O363" i="52"/>
  <c r="O315" i="52"/>
  <c r="O299" i="52"/>
  <c r="O393" i="52"/>
  <c r="O260" i="52"/>
  <c r="O371" i="52"/>
  <c r="O355" i="52"/>
  <c r="O348" i="52"/>
  <c r="O300" i="52"/>
  <c r="O251" i="52"/>
  <c r="O203" i="52"/>
  <c r="O153" i="52"/>
  <c r="O380" i="52"/>
  <c r="O236" i="52"/>
  <c r="O356" i="52"/>
  <c r="O292" i="52"/>
  <c r="O252" i="52"/>
  <c r="O308" i="52"/>
  <c r="O340" i="52"/>
  <c r="O316" i="52"/>
  <c r="O253" i="52"/>
  <c r="O185" i="52"/>
  <c r="O188" i="52" s="1"/>
  <c r="O339" i="52"/>
  <c r="O291" i="52"/>
  <c r="O277" i="52"/>
  <c r="O276" i="52"/>
  <c r="O163" i="52"/>
  <c r="O119" i="52"/>
  <c r="O268" i="52"/>
  <c r="O244" i="52"/>
  <c r="O177" i="52"/>
  <c r="O147" i="52"/>
  <c r="O387" i="52"/>
  <c r="O118" i="52"/>
  <c r="O65" i="52"/>
  <c r="O21" i="52"/>
  <c r="AC364" i="52"/>
  <c r="AC347" i="52"/>
  <c r="AC387" i="52"/>
  <c r="AC340" i="52"/>
  <c r="AC339" i="52"/>
  <c r="AC393" i="52"/>
  <c r="AC308" i="52"/>
  <c r="AC379" i="52"/>
  <c r="AC356" i="52"/>
  <c r="AC260" i="52"/>
  <c r="AC292" i="52"/>
  <c r="AC251" i="52"/>
  <c r="AC203" i="52"/>
  <c r="AC153" i="52"/>
  <c r="AC394" i="52"/>
  <c r="AC236" i="52"/>
  <c r="AC348" i="52"/>
  <c r="AC283" i="52"/>
  <c r="AC277" i="52"/>
  <c r="AC275" i="52"/>
  <c r="AC363" i="52"/>
  <c r="AC261" i="52"/>
  <c r="AC252" i="52"/>
  <c r="AC162" i="52"/>
  <c r="AC161" i="52"/>
  <c r="AC119" i="52"/>
  <c r="AC211" i="52"/>
  <c r="AC269" i="52"/>
  <c r="AC170" i="52"/>
  <c r="AC118" i="52"/>
  <c r="AC65" i="52"/>
  <c r="AC21" i="52"/>
  <c r="O89" i="52"/>
  <c r="O90" i="52"/>
  <c r="AC112" i="52"/>
  <c r="O170" i="52"/>
  <c r="AC194" i="52"/>
  <c r="AC268" i="52"/>
  <c r="G379" i="52"/>
  <c r="G316" i="52"/>
  <c r="G394" i="52"/>
  <c r="G363" i="52"/>
  <c r="G372" i="52"/>
  <c r="G387" i="52"/>
  <c r="G284" i="52"/>
  <c r="G283" i="52"/>
  <c r="G348" i="52"/>
  <c r="G276" i="52"/>
  <c r="G356" i="52"/>
  <c r="G169" i="52"/>
  <c r="G331" i="52"/>
  <c r="G292" i="52"/>
  <c r="G244" i="52"/>
  <c r="G211" i="52"/>
  <c r="G194" i="52"/>
  <c r="G178" i="52"/>
  <c r="G170" i="52"/>
  <c r="G347" i="52"/>
  <c r="G277" i="52"/>
  <c r="G332" i="52"/>
  <c r="G275" i="52"/>
  <c r="G268" i="52"/>
  <c r="G260" i="52"/>
  <c r="G203" i="52"/>
  <c r="G171" i="52"/>
  <c r="G134" i="52"/>
  <c r="U379" i="52"/>
  <c r="U316" i="52"/>
  <c r="U380" i="52"/>
  <c r="U315" i="52"/>
  <c r="U347" i="52"/>
  <c r="U355" i="52"/>
  <c r="U332" i="52"/>
  <c r="U283" i="52"/>
  <c r="U275" i="52"/>
  <c r="U169" i="52"/>
  <c r="U244" i="52"/>
  <c r="U211" i="52"/>
  <c r="U194" i="52"/>
  <c r="U178" i="52"/>
  <c r="U307" i="52"/>
  <c r="U394" i="52"/>
  <c r="U393" i="52"/>
  <c r="U371" i="52"/>
  <c r="U339" i="52"/>
  <c r="U324" i="52"/>
  <c r="U291" i="52"/>
  <c r="U267" i="52"/>
  <c r="U170" i="52"/>
  <c r="U134" i="52"/>
  <c r="AI379" i="52"/>
  <c r="AI316" i="52"/>
  <c r="AI331" i="52"/>
  <c r="AI394" i="52"/>
  <c r="AI387" i="52"/>
  <c r="AI364" i="52"/>
  <c r="AI315" i="52"/>
  <c r="AI283" i="52"/>
  <c r="AI372" i="52"/>
  <c r="AI348" i="52"/>
  <c r="AI323" i="52"/>
  <c r="AI300" i="52"/>
  <c r="AI261" i="52"/>
  <c r="AI260" i="52"/>
  <c r="AI259" i="52"/>
  <c r="AI169" i="52"/>
  <c r="AI363" i="52"/>
  <c r="AI355" i="52"/>
  <c r="AI269" i="52"/>
  <c r="AI244" i="52"/>
  <c r="AI211" i="52"/>
  <c r="AI194" i="52"/>
  <c r="AI178" i="52"/>
  <c r="AI332" i="52"/>
  <c r="AI185" i="52"/>
  <c r="AI188" i="52" s="1"/>
  <c r="AI292" i="52"/>
  <c r="AI276" i="52"/>
  <c r="AI134" i="52"/>
  <c r="G37" i="52"/>
  <c r="U37" i="52"/>
  <c r="AI37" i="52"/>
  <c r="G101" i="52"/>
  <c r="U101" i="52"/>
  <c r="AI101" i="52"/>
  <c r="G125" i="52"/>
  <c r="G126" i="52"/>
  <c r="G127" i="52"/>
  <c r="AI135" i="52"/>
  <c r="AI154" i="52"/>
  <c r="U155" i="52"/>
  <c r="G161" i="52"/>
  <c r="G251" i="52"/>
  <c r="AI252" i="52"/>
  <c r="U259" i="52"/>
  <c r="U284" i="52"/>
  <c r="G299" i="52"/>
  <c r="AI299" i="52"/>
  <c r="AI307" i="52"/>
  <c r="G324" i="52"/>
  <c r="AI393" i="52"/>
  <c r="AI133" i="52"/>
  <c r="U135" i="52"/>
  <c r="G243" i="52"/>
  <c r="G246" i="52" s="1"/>
  <c r="AI308" i="52"/>
  <c r="G315" i="52"/>
  <c r="G371" i="52"/>
  <c r="AI380" i="52"/>
  <c r="U387" i="52"/>
  <c r="U133" i="52"/>
  <c r="G135" i="52"/>
  <c r="AI153" i="52"/>
  <c r="U154" i="52"/>
  <c r="G155" i="52"/>
  <c r="U171" i="52"/>
  <c r="U185" i="52"/>
  <c r="U188" i="52" s="1"/>
  <c r="AI203" i="52"/>
  <c r="G253" i="52"/>
  <c r="G300" i="52"/>
  <c r="G307" i="52"/>
  <c r="G308" i="52"/>
  <c r="G323" i="52"/>
  <c r="U340" i="52"/>
  <c r="U348" i="52"/>
  <c r="G364" i="52"/>
  <c r="U372" i="52"/>
  <c r="J25" i="39" l="1"/>
  <c r="G3" i="14"/>
  <c r="D6" i="60" s="1"/>
  <c r="J27" i="39"/>
  <c r="J26" i="39"/>
  <c r="P35" i="24"/>
  <c r="F198" i="52"/>
  <c r="X334" i="52"/>
  <c r="H342" i="52"/>
  <c r="AA198" i="52"/>
  <c r="AI120" i="52"/>
  <c r="G342" i="52"/>
  <c r="U334" i="52"/>
  <c r="M334" i="52"/>
  <c r="AC198" i="52"/>
  <c r="M286" i="52"/>
  <c r="T318" i="52"/>
  <c r="S286" i="52"/>
  <c r="G120" i="52"/>
  <c r="K294" i="52"/>
  <c r="AF342" i="52"/>
  <c r="AC310" i="52"/>
  <c r="H326" i="52"/>
  <c r="V198" i="52"/>
  <c r="AC326" i="52"/>
  <c r="K198" i="52"/>
  <c r="P310" i="52"/>
  <c r="O286" i="52"/>
  <c r="J302" i="52"/>
  <c r="AI198" i="52"/>
  <c r="M16" i="52"/>
  <c r="O198" i="52"/>
  <c r="U294" i="52"/>
  <c r="AI294" i="52"/>
  <c r="M294" i="52"/>
  <c r="AF294" i="52"/>
  <c r="AD198" i="52"/>
  <c r="AE286" i="52"/>
  <c r="U310" i="52"/>
  <c r="F294" i="52"/>
  <c r="H120" i="52"/>
  <c r="AC294" i="52"/>
  <c r="T294" i="52"/>
  <c r="AC16" i="52"/>
  <c r="AD310" i="52"/>
  <c r="G294" i="52"/>
  <c r="Y334" i="52"/>
  <c r="L302" i="52"/>
  <c r="AE342" i="52"/>
  <c r="U16" i="52"/>
  <c r="O310" i="52"/>
  <c r="AE294" i="52"/>
  <c r="L120" i="52"/>
  <c r="AH286" i="52"/>
  <c r="T286" i="52"/>
  <c r="AD326" i="52"/>
  <c r="Q198" i="52"/>
  <c r="N16" i="52"/>
  <c r="AB120" i="52"/>
  <c r="AA318" i="52"/>
  <c r="L318" i="52"/>
  <c r="H334" i="52"/>
  <c r="R286" i="52"/>
  <c r="Z198" i="52"/>
  <c r="O326" i="52"/>
  <c r="AH198" i="52"/>
  <c r="O16" i="52"/>
  <c r="G198" i="52"/>
  <c r="M318" i="52"/>
  <c r="M326" i="52"/>
  <c r="U198" i="52"/>
  <c r="AB198" i="52"/>
  <c r="AA310" i="52"/>
  <c r="U302" i="52"/>
  <c r="AE120" i="52"/>
  <c r="S318" i="52"/>
  <c r="Y302" i="52"/>
  <c r="H16" i="52"/>
  <c r="AC318" i="52"/>
  <c r="L198" i="52"/>
  <c r="N286" i="52"/>
  <c r="AB310" i="52"/>
  <c r="N326" i="52"/>
  <c r="P198" i="52"/>
  <c r="AA16" i="52"/>
  <c r="H310" i="52"/>
  <c r="AH120" i="52"/>
  <c r="Q16" i="52"/>
  <c r="AA326" i="52"/>
  <c r="V302" i="52"/>
  <c r="R16" i="52"/>
  <c r="AD120" i="52"/>
  <c r="R310" i="52"/>
  <c r="Y120" i="52"/>
  <c r="AC286" i="52"/>
  <c r="AB318" i="52"/>
  <c r="AA120" i="52"/>
  <c r="T120" i="52"/>
  <c r="AI16" i="52"/>
  <c r="AH326" i="52"/>
  <c r="AG120" i="52"/>
  <c r="AC334" i="52"/>
  <c r="U120" i="52"/>
  <c r="AC302" i="52"/>
  <c r="AI342" i="52"/>
  <c r="M198" i="52"/>
  <c r="V120" i="52"/>
  <c r="AG326" i="52"/>
  <c r="P342" i="52"/>
  <c r="X302" i="52"/>
  <c r="G16" i="52"/>
  <c r="Z302" i="52"/>
  <c r="Z342" i="52"/>
  <c r="AB16" i="52"/>
  <c r="AA342" i="52"/>
  <c r="L310" i="52"/>
  <c r="S294" i="52"/>
  <c r="Q326" i="52"/>
  <c r="R294" i="52"/>
  <c r="R326" i="52"/>
  <c r="F318" i="52"/>
  <c r="H318" i="52"/>
  <c r="AF120" i="52"/>
  <c r="AI326" i="52"/>
  <c r="K334" i="52"/>
  <c r="R120" i="52"/>
  <c r="AC120" i="52"/>
  <c r="V16" i="52"/>
  <c r="AH302" i="52"/>
  <c r="F16" i="52"/>
  <c r="AB302" i="52"/>
  <c r="Z334" i="52"/>
  <c r="AI286" i="52"/>
  <c r="AF198" i="52"/>
  <c r="R318" i="52"/>
  <c r="N198" i="52"/>
  <c r="AB326" i="52"/>
  <c r="N310" i="52"/>
  <c r="H286" i="52"/>
  <c r="K310" i="52"/>
  <c r="U286" i="52"/>
  <c r="N302" i="52"/>
  <c r="R334" i="52"/>
  <c r="U326" i="52"/>
  <c r="R302" i="52"/>
  <c r="AB294" i="52"/>
  <c r="H294" i="52"/>
  <c r="AG286" i="52"/>
  <c r="AG342" i="52"/>
  <c r="AB342" i="52"/>
  <c r="Y318" i="52"/>
  <c r="S326" i="52"/>
  <c r="K302" i="52"/>
  <c r="X342" i="52"/>
  <c r="AG310" i="52"/>
  <c r="K318" i="52"/>
  <c r="I16" i="52"/>
  <c r="P16" i="52"/>
  <c r="X318" i="52"/>
  <c r="P294" i="52"/>
  <c r="AH334" i="52"/>
  <c r="I302" i="52"/>
  <c r="I198" i="52"/>
  <c r="J16" i="52"/>
  <c r="L342" i="52"/>
  <c r="AF302" i="52"/>
  <c r="AD334" i="52"/>
  <c r="I334" i="52"/>
  <c r="J334" i="52"/>
  <c r="M302" i="52"/>
  <c r="Z310" i="52"/>
  <c r="T302" i="52"/>
  <c r="U318" i="52"/>
  <c r="AG198" i="52"/>
  <c r="S302" i="52"/>
  <c r="P326" i="52"/>
  <c r="K342" i="52"/>
  <c r="Z120" i="52"/>
  <c r="AF326" i="52"/>
  <c r="AG334" i="52"/>
  <c r="W302" i="52"/>
  <c r="V310" i="52"/>
  <c r="I294" i="52"/>
  <c r="W286" i="52"/>
  <c r="L16" i="52"/>
  <c r="AG16" i="52"/>
  <c r="N334" i="52"/>
  <c r="Y342" i="52"/>
  <c r="AA286" i="52"/>
  <c r="Z326" i="52"/>
  <c r="H198" i="52"/>
  <c r="G326" i="52"/>
  <c r="O302" i="52"/>
  <c r="K286" i="52"/>
  <c r="K16" i="52"/>
  <c r="AE318" i="52"/>
  <c r="T198" i="52"/>
  <c r="AG318" i="52"/>
  <c r="Q294" i="52"/>
  <c r="J286" i="52"/>
  <c r="Q310" i="52"/>
  <c r="W326" i="52"/>
  <c r="O318" i="52"/>
  <c r="Y286" i="52"/>
  <c r="G318" i="52"/>
  <c r="N342" i="52"/>
  <c r="V334" i="52"/>
  <c r="AE310" i="52"/>
  <c r="S310" i="52"/>
  <c r="W310" i="52"/>
  <c r="X294" i="52"/>
  <c r="H302" i="52"/>
  <c r="G286" i="52"/>
  <c r="O334" i="52"/>
  <c r="AB334" i="52"/>
  <c r="AE334" i="52"/>
  <c r="AH16" i="52"/>
  <c r="T16" i="52"/>
  <c r="F120" i="52"/>
  <c r="F286" i="52"/>
  <c r="F302" i="52"/>
  <c r="S198" i="52"/>
  <c r="W16" i="52"/>
  <c r="I286" i="52"/>
  <c r="AC342" i="52"/>
  <c r="M342" i="52"/>
  <c r="L334" i="52"/>
  <c r="T334" i="52"/>
  <c r="S342" i="52"/>
  <c r="Q334" i="52"/>
  <c r="X120" i="52"/>
  <c r="W294" i="52"/>
  <c r="J342" i="52"/>
  <c r="I326" i="52"/>
  <c r="U342" i="52"/>
  <c r="Z16" i="52"/>
  <c r="L326" i="52"/>
  <c r="V286" i="52"/>
  <c r="S16" i="52"/>
  <c r="P318" i="52"/>
  <c r="P120" i="52"/>
  <c r="P334" i="52"/>
  <c r="I310" i="52"/>
  <c r="X310" i="52"/>
  <c r="S334" i="52"/>
  <c r="V294" i="52"/>
  <c r="AI318" i="52"/>
  <c r="O294" i="52"/>
  <c r="AB286" i="52"/>
  <c r="N294" i="52"/>
  <c r="AD318" i="52"/>
  <c r="S120" i="52"/>
  <c r="AH342" i="52"/>
  <c r="AF334" i="52"/>
  <c r="AF310" i="52"/>
  <c r="AI302" i="52"/>
  <c r="Y310" i="52"/>
  <c r="N120" i="52"/>
  <c r="Y16" i="52"/>
  <c r="Z318" i="52"/>
  <c r="V326" i="52"/>
  <c r="AD294" i="52"/>
  <c r="AD16" i="52"/>
  <c r="W318" i="52"/>
  <c r="I318" i="52"/>
  <c r="AH294" i="52"/>
  <c r="T342" i="52"/>
  <c r="Q286" i="52"/>
  <c r="W334" i="52"/>
  <c r="X16" i="52"/>
  <c r="W198" i="52"/>
  <c r="AI310" i="52"/>
  <c r="O342" i="52"/>
  <c r="Y294" i="52"/>
  <c r="V342" i="52"/>
  <c r="AD286" i="52"/>
  <c r="F342" i="52"/>
  <c r="F326" i="52"/>
  <c r="G302" i="52"/>
  <c r="AA294" i="52"/>
  <c r="AA334" i="52"/>
  <c r="AA302" i="52"/>
  <c r="L294" i="52"/>
  <c r="AF318" i="52"/>
  <c r="AH318" i="52"/>
  <c r="F334" i="52"/>
  <c r="AG302" i="52"/>
  <c r="AF286" i="52"/>
  <c r="AD302" i="52"/>
  <c r="W342" i="52"/>
  <c r="I342" i="52"/>
  <c r="X326" i="52"/>
  <c r="X198" i="52"/>
  <c r="J326" i="52"/>
  <c r="T310" i="52"/>
  <c r="J198" i="52"/>
  <c r="G310" i="52"/>
  <c r="R342" i="52"/>
  <c r="Q302" i="52"/>
  <c r="J120" i="52"/>
  <c r="X286" i="52"/>
  <c r="J294" i="52"/>
  <c r="Z294" i="52"/>
  <c r="Z286" i="52"/>
  <c r="P286" i="52"/>
  <c r="Q318" i="52"/>
  <c r="Y326" i="52"/>
  <c r="K326" i="52"/>
  <c r="AE16" i="52"/>
  <c r="Q120" i="52"/>
  <c r="AI334" i="52"/>
  <c r="G334" i="52"/>
  <c r="O120" i="52"/>
  <c r="M120" i="52"/>
  <c r="M310" i="52"/>
  <c r="V318" i="52"/>
  <c r="AF16" i="52"/>
  <c r="R198" i="52"/>
  <c r="AE198" i="52"/>
  <c r="AE326" i="52"/>
  <c r="AH310" i="52"/>
  <c r="T326" i="52"/>
  <c r="F310" i="52"/>
  <c r="AD342" i="52"/>
  <c r="I120" i="52"/>
  <c r="J318" i="52"/>
  <c r="J310" i="52"/>
  <c r="A4" i="15" l="1"/>
  <c r="A4" i="28"/>
  <c r="A4" i="3"/>
  <c r="A4" i="2"/>
  <c r="A4" i="1"/>
  <c r="B3" i="4"/>
  <c r="Q5" i="36"/>
  <c r="AA5" i="36"/>
  <c r="AK5" i="36"/>
  <c r="J10" i="50" l="1"/>
  <c r="J11" i="50"/>
  <c r="J12" i="50"/>
  <c r="J13" i="50"/>
  <c r="J14" i="50"/>
  <c r="J15" i="50"/>
  <c r="J16" i="50"/>
  <c r="J17" i="50"/>
  <c r="J18" i="50"/>
  <c r="J19" i="50"/>
  <c r="J20" i="50"/>
  <c r="J21" i="50"/>
  <c r="J22" i="50"/>
  <c r="J23" i="50"/>
  <c r="J24" i="50"/>
  <c r="J25" i="50"/>
  <c r="J26" i="50"/>
  <c r="J27" i="50"/>
  <c r="J28" i="50"/>
  <c r="J29" i="50"/>
  <c r="J30" i="50"/>
  <c r="J31" i="50"/>
  <c r="J32" i="50"/>
  <c r="J33" i="50"/>
  <c r="J34" i="50"/>
  <c r="J35" i="50"/>
  <c r="J36" i="50"/>
  <c r="J37" i="50"/>
  <c r="J38" i="50"/>
  <c r="J39" i="50"/>
  <c r="J40" i="50"/>
  <c r="J41" i="50"/>
  <c r="J42" i="50"/>
  <c r="J43" i="50"/>
  <c r="J44" i="50"/>
  <c r="J45" i="50"/>
  <c r="J46" i="50"/>
  <c r="J47" i="50"/>
  <c r="J48" i="50"/>
  <c r="J49" i="50"/>
  <c r="J50" i="50"/>
  <c r="J51" i="50"/>
  <c r="J52" i="50"/>
  <c r="J53" i="50"/>
  <c r="J54" i="50"/>
  <c r="J55" i="50"/>
  <c r="J56" i="50"/>
  <c r="J57" i="50"/>
  <c r="J58" i="50"/>
  <c r="J59" i="50"/>
  <c r="J60" i="50"/>
  <c r="J61" i="50"/>
  <c r="J62" i="50"/>
  <c r="J63" i="50"/>
  <c r="J64" i="50"/>
  <c r="J65" i="50"/>
  <c r="J66" i="50"/>
  <c r="J67" i="50"/>
  <c r="J68" i="50"/>
  <c r="J69" i="50"/>
  <c r="J70" i="50"/>
  <c r="J71" i="50"/>
  <c r="J72" i="50"/>
  <c r="J73" i="50"/>
  <c r="J74" i="50"/>
  <c r="J75" i="50"/>
  <c r="J76" i="50"/>
  <c r="J77" i="50"/>
  <c r="J78" i="50"/>
  <c r="J79" i="50"/>
  <c r="J80" i="50"/>
  <c r="J81" i="50"/>
  <c r="J82" i="50"/>
  <c r="J83" i="50"/>
  <c r="J84" i="50"/>
  <c r="J85" i="50"/>
  <c r="J86" i="50"/>
  <c r="J87" i="50"/>
  <c r="J88" i="50"/>
  <c r="J89" i="50"/>
  <c r="J90" i="50"/>
  <c r="J91" i="50"/>
  <c r="J92" i="50"/>
  <c r="J93" i="50"/>
  <c r="J94" i="50"/>
  <c r="J95" i="50"/>
  <c r="J96" i="50"/>
  <c r="J97" i="50"/>
  <c r="J98" i="50"/>
  <c r="J99" i="50"/>
  <c r="J100" i="50"/>
  <c r="J101" i="50"/>
  <c r="J102" i="50"/>
  <c r="J103" i="50"/>
  <c r="J104" i="50"/>
  <c r="J105" i="50"/>
  <c r="J106" i="50"/>
  <c r="J107" i="50"/>
  <c r="J108" i="50"/>
  <c r="J109" i="50"/>
  <c r="J110" i="50"/>
  <c r="J111" i="50"/>
  <c r="J112" i="50"/>
  <c r="J113" i="50"/>
  <c r="J114" i="50"/>
  <c r="J115" i="50"/>
  <c r="J116" i="50"/>
  <c r="J117" i="50"/>
  <c r="J118" i="50"/>
  <c r="J119" i="50"/>
  <c r="J120" i="50"/>
  <c r="J121" i="50"/>
  <c r="J122" i="50"/>
  <c r="J123" i="50"/>
  <c r="J124" i="50"/>
  <c r="J125" i="50"/>
  <c r="J126" i="50"/>
  <c r="J127" i="50"/>
  <c r="J128" i="50"/>
  <c r="J129" i="50"/>
  <c r="J130" i="50"/>
  <c r="J131" i="50"/>
  <c r="J132" i="50"/>
  <c r="J133" i="50"/>
  <c r="J134" i="50"/>
  <c r="J135" i="50"/>
  <c r="J136" i="50"/>
  <c r="J137" i="50"/>
  <c r="J138" i="50"/>
  <c r="J139" i="50"/>
  <c r="J140" i="50"/>
  <c r="J141" i="50"/>
  <c r="J142" i="50"/>
  <c r="J143" i="50"/>
  <c r="J144" i="50"/>
  <c r="J145" i="50"/>
  <c r="J146" i="50"/>
  <c r="J147" i="50"/>
  <c r="J148" i="50"/>
  <c r="J149" i="50"/>
  <c r="J150" i="50"/>
  <c r="J151" i="50"/>
  <c r="J152" i="50"/>
  <c r="J153" i="50"/>
  <c r="J154" i="50"/>
  <c r="J155" i="50"/>
  <c r="J156" i="50"/>
  <c r="J157" i="50"/>
  <c r="J158" i="50"/>
  <c r="J159" i="50"/>
  <c r="J160" i="50"/>
  <c r="J161" i="50"/>
  <c r="J162" i="50"/>
  <c r="J163" i="50"/>
  <c r="J164" i="50"/>
  <c r="J165" i="50"/>
  <c r="J166" i="50"/>
  <c r="J167" i="50"/>
  <c r="J168" i="50"/>
  <c r="J169" i="50"/>
  <c r="J170" i="50"/>
  <c r="J171" i="50"/>
  <c r="J172" i="50"/>
  <c r="J173" i="50"/>
  <c r="J174" i="50"/>
  <c r="J175" i="50"/>
  <c r="J176" i="50"/>
  <c r="J177" i="50"/>
  <c r="J178" i="50"/>
  <c r="J179" i="50"/>
  <c r="J180" i="50"/>
  <c r="J181" i="50"/>
  <c r="J182" i="50"/>
  <c r="J183" i="50"/>
  <c r="J184" i="50"/>
  <c r="J185" i="50"/>
  <c r="J186" i="50"/>
  <c r="J187" i="50"/>
  <c r="J188" i="50"/>
  <c r="J189" i="50"/>
  <c r="J190" i="50"/>
  <c r="J191" i="50"/>
  <c r="J192" i="50"/>
  <c r="J193" i="50"/>
  <c r="J194" i="50"/>
  <c r="J195" i="50"/>
  <c r="J196" i="50"/>
  <c r="J197" i="50"/>
  <c r="J198" i="50"/>
  <c r="J199" i="50"/>
  <c r="J200" i="50"/>
  <c r="J201" i="50"/>
  <c r="J202" i="50"/>
  <c r="J203" i="50"/>
  <c r="J204" i="50"/>
  <c r="J205" i="50"/>
  <c r="J206" i="50"/>
  <c r="J207" i="50"/>
  <c r="J208" i="50"/>
  <c r="J209" i="50"/>
  <c r="J210" i="50"/>
  <c r="J211" i="50"/>
  <c r="J212" i="50"/>
  <c r="J213" i="50"/>
  <c r="J214" i="50"/>
  <c r="J215" i="50"/>
  <c r="J216" i="50"/>
  <c r="J217" i="50"/>
  <c r="J218" i="50"/>
  <c r="J219" i="50"/>
  <c r="J220" i="50"/>
  <c r="J221" i="50"/>
  <c r="J222" i="50"/>
  <c r="J223" i="50"/>
  <c r="J224" i="50"/>
  <c r="J225" i="50"/>
  <c r="J226" i="50"/>
  <c r="J227" i="50"/>
  <c r="J228" i="50"/>
  <c r="J229" i="50"/>
  <c r="J230" i="50"/>
  <c r="J231" i="50"/>
  <c r="J232" i="50"/>
  <c r="J233" i="50"/>
  <c r="J234" i="50"/>
  <c r="J235" i="50"/>
  <c r="J236" i="50"/>
  <c r="J237" i="50"/>
  <c r="J238" i="50"/>
  <c r="J4" i="50"/>
  <c r="J5" i="50"/>
  <c r="J6" i="50"/>
  <c r="J7" i="50"/>
  <c r="J8" i="50"/>
  <c r="J9" i="50"/>
  <c r="J3" i="50"/>
  <c r="B23" i="11" l="1"/>
  <c r="K11" i="28" l="1"/>
  <c r="K11" i="16" l="1"/>
  <c r="K11" i="15"/>
  <c r="K11" i="8"/>
  <c r="K11" i="3"/>
  <c r="K11" i="2"/>
  <c r="K11" i="1"/>
  <c r="C2" i="48" l="1"/>
  <c r="B20" i="49" l="1"/>
  <c r="B90" i="49"/>
  <c r="B86" i="49"/>
  <c r="B82" i="49"/>
  <c r="B93" i="49"/>
  <c r="B89" i="49"/>
  <c r="B85" i="49"/>
  <c r="B92" i="49"/>
  <c r="B88" i="49"/>
  <c r="B84" i="49"/>
  <c r="B91" i="49"/>
  <c r="B87" i="49"/>
  <c r="B83" i="49"/>
  <c r="B7" i="49"/>
  <c r="B81" i="49"/>
  <c r="B77" i="49"/>
  <c r="B73" i="49"/>
  <c r="B72" i="49"/>
  <c r="B74" i="49"/>
  <c r="B80" i="49"/>
  <c r="B76" i="49"/>
  <c r="B79" i="49"/>
  <c r="B75" i="49"/>
  <c r="B71" i="49"/>
  <c r="B78" i="49"/>
  <c r="B70" i="49"/>
  <c r="B26" i="49"/>
  <c r="B17" i="49"/>
  <c r="B61" i="49"/>
  <c r="B57" i="49"/>
  <c r="B53" i="49"/>
  <c r="B60" i="49"/>
  <c r="B56" i="49"/>
  <c r="B52" i="49"/>
  <c r="B59" i="49"/>
  <c r="B55" i="49"/>
  <c r="B51" i="49"/>
  <c r="B58" i="49"/>
  <c r="B54" i="49"/>
  <c r="B50" i="49"/>
  <c r="B24" i="49"/>
  <c r="B19" i="49"/>
  <c r="B16" i="49"/>
  <c r="B23" i="49"/>
  <c r="B18" i="49"/>
  <c r="B27" i="49"/>
  <c r="B22" i="49"/>
  <c r="B15" i="49"/>
  <c r="B11" i="49"/>
  <c r="B49" i="49"/>
  <c r="B45" i="49"/>
  <c r="B41" i="49"/>
  <c r="B48" i="49"/>
  <c r="B44" i="49"/>
  <c r="B40" i="49"/>
  <c r="B47" i="49"/>
  <c r="B43" i="49"/>
  <c r="B39" i="49"/>
  <c r="B46" i="49"/>
  <c r="B42" i="49"/>
  <c r="B38" i="49"/>
  <c r="B14" i="49"/>
  <c r="B10" i="49"/>
  <c r="B6" i="49"/>
  <c r="B13" i="49"/>
  <c r="B9" i="49"/>
  <c r="B5" i="49"/>
  <c r="B4" i="49"/>
  <c r="B12" i="49"/>
  <c r="B8" i="49"/>
  <c r="B25" i="49"/>
  <c r="B21" i="49"/>
  <c r="E20" i="49"/>
  <c r="E80" i="49"/>
  <c r="E26" i="49"/>
  <c r="E27" i="49"/>
  <c r="E19" i="49"/>
  <c r="E38" i="49"/>
  <c r="E18" i="49"/>
  <c r="E46" i="49"/>
  <c r="E11" i="49"/>
  <c r="E71" i="49"/>
  <c r="E14" i="49"/>
  <c r="E86" i="49"/>
  <c r="E40" i="49"/>
  <c r="E24" i="49"/>
  <c r="E52" i="49"/>
  <c r="E75" i="49"/>
  <c r="E15" i="49"/>
  <c r="E87" i="49"/>
  <c r="E39" i="49"/>
  <c r="E92" i="49"/>
  <c r="E13" i="49"/>
  <c r="E59" i="49"/>
  <c r="E8" i="49"/>
  <c r="E51" i="49"/>
  <c r="E82" i="49"/>
  <c r="E88" i="49"/>
  <c r="E9" i="49"/>
  <c r="E23" i="49"/>
  <c r="E77" i="49"/>
  <c r="E16" i="49"/>
  <c r="E89" i="49"/>
  <c r="E70" i="49"/>
  <c r="E91" i="49"/>
  <c r="E43" i="49"/>
  <c r="E72" i="49"/>
  <c r="E17" i="49"/>
  <c r="E25" i="49"/>
  <c r="E45" i="49"/>
  <c r="E6" i="49"/>
  <c r="E58" i="49"/>
  <c r="E83" i="49"/>
  <c r="E22" i="49"/>
  <c r="E5" i="49"/>
  <c r="E12" i="49"/>
  <c r="E44" i="49"/>
  <c r="E53" i="49"/>
  <c r="E55" i="49"/>
  <c r="E74" i="49"/>
  <c r="E10" i="49"/>
  <c r="E57" i="49"/>
  <c r="E48" i="49"/>
  <c r="E73" i="49"/>
  <c r="E76" i="49"/>
  <c r="E7" i="49"/>
  <c r="E47" i="49"/>
  <c r="E60" i="49"/>
  <c r="E85" i="49"/>
  <c r="E78" i="49"/>
  <c r="E50" i="49"/>
  <c r="E90" i="49"/>
  <c r="E4" i="49"/>
  <c r="E61" i="49"/>
  <c r="E42" i="49"/>
  <c r="E41" i="49"/>
  <c r="E93" i="49"/>
  <c r="E79" i="49"/>
  <c r="E49" i="49"/>
  <c r="E54" i="49"/>
  <c r="E81" i="49"/>
  <c r="E21" i="49"/>
  <c r="E56" i="49"/>
  <c r="E84" i="49"/>
  <c r="F83" i="49" l="1"/>
  <c r="F88" i="49"/>
  <c r="F84" i="49"/>
  <c r="F93" i="49"/>
  <c r="F91" i="49"/>
  <c r="F86" i="49"/>
  <c r="F87" i="49"/>
  <c r="F85" i="49"/>
  <c r="F82" i="49"/>
  <c r="F92" i="49"/>
  <c r="F90" i="49"/>
  <c r="F89" i="49"/>
  <c r="H58" i="49"/>
  <c r="H55" i="49"/>
  <c r="H57" i="49"/>
  <c r="H56" i="49"/>
  <c r="H43" i="49"/>
  <c r="H44" i="49"/>
  <c r="H45" i="49"/>
  <c r="H46" i="49"/>
  <c r="C7" i="14"/>
  <c r="N90" i="14"/>
  <c r="O90" i="14"/>
  <c r="P90" i="14"/>
  <c r="N61" i="14"/>
  <c r="O61" i="14"/>
  <c r="P61" i="14"/>
  <c r="N66" i="14"/>
  <c r="O66" i="14"/>
  <c r="P66" i="14"/>
  <c r="N75" i="14"/>
  <c r="O75" i="14"/>
  <c r="P75" i="14"/>
  <c r="N83" i="14"/>
  <c r="O83" i="14"/>
  <c r="P83" i="14"/>
  <c r="F52" i="49"/>
  <c r="F4" i="49"/>
  <c r="F17" i="49"/>
  <c r="F48" i="49"/>
  <c r="F20" i="49"/>
  <c r="F60" i="49"/>
  <c r="F6" i="49"/>
  <c r="F41" i="49"/>
  <c r="F45" i="49"/>
  <c r="F55" i="49"/>
  <c r="F15" i="49"/>
  <c r="F46" i="49"/>
  <c r="F56" i="49"/>
  <c r="F22" i="49"/>
  <c r="F18" i="49"/>
  <c r="F26" i="49"/>
  <c r="F25" i="49"/>
  <c r="F19" i="49"/>
  <c r="F16" i="49"/>
  <c r="F40" i="49"/>
  <c r="F53" i="49"/>
  <c r="F49" i="49"/>
  <c r="F8" i="49"/>
  <c r="F47" i="49"/>
  <c r="O58" i="14"/>
  <c r="F9" i="49"/>
  <c r="F27" i="49"/>
  <c r="F21" i="49"/>
  <c r="F58" i="49"/>
  <c r="N64" i="14"/>
  <c r="F13" i="49"/>
  <c r="O64" i="14"/>
  <c r="N58" i="14"/>
  <c r="F61" i="49"/>
  <c r="F39" i="49"/>
  <c r="P58" i="14"/>
  <c r="F7" i="49"/>
  <c r="F44" i="49"/>
  <c r="F11" i="49"/>
  <c r="F54" i="49"/>
  <c r="F51" i="49"/>
  <c r="F57" i="49"/>
  <c r="F38" i="49"/>
  <c r="F42" i="49"/>
  <c r="F43" i="49"/>
  <c r="F23" i="49"/>
  <c r="F10" i="49"/>
  <c r="F50" i="49"/>
  <c r="F5" i="49"/>
  <c r="F14" i="49"/>
  <c r="P64" i="14"/>
  <c r="F12" i="49"/>
  <c r="F59" i="49"/>
  <c r="F24" i="49"/>
  <c r="I58" i="49" l="1"/>
  <c r="I55" i="49"/>
  <c r="I56" i="49"/>
  <c r="I57" i="49"/>
  <c r="H38" i="49"/>
  <c r="H21" i="49"/>
  <c r="H26" i="49"/>
  <c r="H6" i="49"/>
  <c r="H4" i="49"/>
  <c r="H48" i="49"/>
  <c r="H20" i="49"/>
  <c r="H11" i="49"/>
  <c r="H14" i="49"/>
  <c r="H51" i="49"/>
  <c r="H53" i="49"/>
  <c r="H59" i="49"/>
  <c r="H25" i="49"/>
  <c r="H7" i="49"/>
  <c r="H60" i="49"/>
  <c r="H17" i="49"/>
  <c r="H42" i="49"/>
  <c r="H50" i="49"/>
  <c r="H41" i="49"/>
  <c r="H47" i="49"/>
  <c r="H61" i="49"/>
  <c r="H49" i="49"/>
  <c r="H39" i="49"/>
  <c r="H54" i="49"/>
  <c r="H52" i="49"/>
  <c r="H24" i="49"/>
  <c r="H19" i="49"/>
  <c r="H10" i="49"/>
  <c r="H15" i="49"/>
  <c r="H40" i="49"/>
  <c r="H27" i="49"/>
  <c r="H23" i="49"/>
  <c r="H16" i="49"/>
  <c r="H5" i="49"/>
  <c r="H8" i="49"/>
  <c r="H12" i="49"/>
  <c r="H13" i="49"/>
  <c r="H18" i="49"/>
  <c r="H9" i="49"/>
  <c r="H22" i="49"/>
  <c r="P57" i="14"/>
  <c r="P76" i="14" s="1"/>
  <c r="N73" i="14"/>
  <c r="N77" i="14" s="1"/>
  <c r="P73" i="14"/>
  <c r="P77" i="14" s="1"/>
  <c r="O57" i="14"/>
  <c r="O76" i="14" s="1"/>
  <c r="O73" i="14"/>
  <c r="O77" i="14" s="1"/>
  <c r="N57" i="14"/>
  <c r="N76" i="14" s="1"/>
  <c r="I54" i="49" l="1"/>
  <c r="I18" i="49"/>
  <c r="I51" i="49"/>
  <c r="I16" i="49"/>
  <c r="I53" i="49"/>
  <c r="I17" i="49"/>
  <c r="I60" i="49"/>
  <c r="I21" i="49"/>
  <c r="I52" i="49"/>
  <c r="I61" i="49"/>
  <c r="I20" i="49"/>
  <c r="I23" i="49"/>
  <c r="I50" i="49"/>
  <c r="I27" i="49"/>
  <c r="I26" i="49"/>
  <c r="I25" i="49"/>
  <c r="I19" i="49"/>
  <c r="I22" i="49"/>
  <c r="I24" i="49"/>
  <c r="I59" i="49"/>
  <c r="L2" i="16"/>
  <c r="L2" i="3"/>
  <c r="B240" i="36" l="1"/>
  <c r="B239" i="36"/>
  <c r="B238" i="36"/>
  <c r="B237" i="36"/>
  <c r="B236" i="36"/>
  <c r="B235" i="36"/>
  <c r="B234" i="36"/>
  <c r="B233" i="36"/>
  <c r="B232" i="36"/>
  <c r="B231" i="36"/>
  <c r="B230" i="36"/>
  <c r="B229" i="36"/>
  <c r="B228" i="36"/>
  <c r="B227" i="36"/>
  <c r="B226" i="36"/>
  <c r="B225" i="36"/>
  <c r="B224" i="36"/>
  <c r="B223" i="36"/>
  <c r="B222" i="36"/>
  <c r="B221" i="36"/>
  <c r="B220" i="36"/>
  <c r="B219" i="36"/>
  <c r="B218" i="36"/>
  <c r="B217" i="36"/>
  <c r="B216" i="36"/>
  <c r="B215" i="36"/>
  <c r="B214" i="36"/>
  <c r="B213" i="36"/>
  <c r="B212" i="36"/>
  <c r="B211" i="36"/>
  <c r="B210" i="36"/>
  <c r="B209" i="36"/>
  <c r="B208" i="36"/>
  <c r="B207" i="36"/>
  <c r="B206" i="36"/>
  <c r="B205" i="36"/>
  <c r="F229" i="36"/>
  <c r="F230" i="36" s="1"/>
  <c r="F231" i="36" s="1"/>
  <c r="F232" i="36" s="1"/>
  <c r="F233" i="36" s="1"/>
  <c r="F234" i="36" s="1"/>
  <c r="F235" i="36" s="1"/>
  <c r="F236" i="36" s="1"/>
  <c r="F237" i="36" s="1"/>
  <c r="F238" i="36" s="1"/>
  <c r="F239" i="36" s="1"/>
  <c r="F240" i="36" s="1"/>
  <c r="D229" i="36"/>
  <c r="F217" i="36"/>
  <c r="F218" i="36" s="1"/>
  <c r="F219" i="36" s="1"/>
  <c r="F220" i="36" s="1"/>
  <c r="F221" i="36" s="1"/>
  <c r="F222" i="36" s="1"/>
  <c r="F223" i="36" s="1"/>
  <c r="F224" i="36" s="1"/>
  <c r="F225" i="36" s="1"/>
  <c r="F226" i="36" s="1"/>
  <c r="F227" i="36" s="1"/>
  <c r="F228" i="36" s="1"/>
  <c r="D217" i="36"/>
  <c r="F205" i="36"/>
  <c r="F206" i="36" s="1"/>
  <c r="F207" i="36" s="1"/>
  <c r="F208" i="36" s="1"/>
  <c r="F209" i="36" s="1"/>
  <c r="F210" i="36" s="1"/>
  <c r="F211" i="36" s="1"/>
  <c r="F212" i="36" s="1"/>
  <c r="F213" i="36" s="1"/>
  <c r="F214" i="36" s="1"/>
  <c r="F215" i="36" s="1"/>
  <c r="F216" i="36" s="1"/>
  <c r="D205" i="36"/>
  <c r="B204" i="36"/>
  <c r="B203" i="36"/>
  <c r="B202" i="36"/>
  <c r="B201" i="36"/>
  <c r="B200" i="36"/>
  <c r="B199" i="36"/>
  <c r="B198" i="36"/>
  <c r="B197" i="36"/>
  <c r="B196" i="36"/>
  <c r="B195" i="36"/>
  <c r="B194" i="36"/>
  <c r="F193" i="36"/>
  <c r="F194" i="36" s="1"/>
  <c r="F195" i="36" s="1"/>
  <c r="F196" i="36" s="1"/>
  <c r="F197" i="36" s="1"/>
  <c r="F198" i="36" s="1"/>
  <c r="F199" i="36" s="1"/>
  <c r="F200" i="36" s="1"/>
  <c r="F201" i="36" s="1"/>
  <c r="F202" i="36" s="1"/>
  <c r="F203" i="36" s="1"/>
  <c r="F204" i="36" s="1"/>
  <c r="D193" i="36"/>
  <c r="B193" i="36"/>
  <c r="B192" i="36"/>
  <c r="B191" i="36"/>
  <c r="B190" i="36"/>
  <c r="B189" i="36"/>
  <c r="B188" i="36"/>
  <c r="B187" i="36"/>
  <c r="B186" i="36"/>
  <c r="B185" i="36"/>
  <c r="B184" i="36"/>
  <c r="B183" i="36"/>
  <c r="B182" i="36"/>
  <c r="F181" i="36"/>
  <c r="F182" i="36" s="1"/>
  <c r="F183" i="36" s="1"/>
  <c r="F184" i="36" s="1"/>
  <c r="F185" i="36" s="1"/>
  <c r="F186" i="36" s="1"/>
  <c r="F187" i="36" s="1"/>
  <c r="F188" i="36" s="1"/>
  <c r="F189" i="36" s="1"/>
  <c r="F190" i="36" s="1"/>
  <c r="F191" i="36" s="1"/>
  <c r="F192" i="36" s="1"/>
  <c r="D181" i="36"/>
  <c r="B181" i="36"/>
  <c r="B180" i="36"/>
  <c r="B179" i="36"/>
  <c r="B178" i="36"/>
  <c r="B177" i="36"/>
  <c r="B176" i="36"/>
  <c r="B175" i="36"/>
  <c r="B174" i="36"/>
  <c r="B173" i="36"/>
  <c r="B172" i="36"/>
  <c r="B171" i="36"/>
  <c r="B170" i="36"/>
  <c r="F169" i="36"/>
  <c r="F170" i="36" s="1"/>
  <c r="F171" i="36" s="1"/>
  <c r="F172" i="36" s="1"/>
  <c r="F173" i="36" s="1"/>
  <c r="F174" i="36" s="1"/>
  <c r="F175" i="36" s="1"/>
  <c r="F176" i="36" s="1"/>
  <c r="F177" i="36" s="1"/>
  <c r="F178" i="36" s="1"/>
  <c r="F179" i="36" s="1"/>
  <c r="F180" i="36" s="1"/>
  <c r="D169" i="36"/>
  <c r="B169" i="36"/>
  <c r="B168" i="36"/>
  <c r="B167" i="36"/>
  <c r="B166" i="36"/>
  <c r="B165" i="36"/>
  <c r="B164" i="36"/>
  <c r="B163" i="36"/>
  <c r="B162" i="36"/>
  <c r="B161" i="36"/>
  <c r="B160" i="36"/>
  <c r="B159" i="36"/>
  <c r="B158" i="36"/>
  <c r="F157" i="36"/>
  <c r="F158" i="36" s="1"/>
  <c r="F159" i="36" s="1"/>
  <c r="F160" i="36" s="1"/>
  <c r="F161" i="36" s="1"/>
  <c r="F162" i="36" s="1"/>
  <c r="F163" i="36" s="1"/>
  <c r="F164" i="36" s="1"/>
  <c r="F165" i="36" s="1"/>
  <c r="F166" i="36" s="1"/>
  <c r="F167" i="36" s="1"/>
  <c r="F168" i="36" s="1"/>
  <c r="D157" i="36"/>
  <c r="B157" i="36"/>
  <c r="B156" i="36"/>
  <c r="B155" i="36"/>
  <c r="B154" i="36"/>
  <c r="B153" i="36"/>
  <c r="B152" i="36"/>
  <c r="B151" i="36"/>
  <c r="B150" i="36"/>
  <c r="B149" i="36"/>
  <c r="B148" i="36"/>
  <c r="B147" i="36"/>
  <c r="B146" i="36"/>
  <c r="F145" i="36"/>
  <c r="F146" i="36" s="1"/>
  <c r="F147" i="36" s="1"/>
  <c r="F148" i="36" s="1"/>
  <c r="F149" i="36" s="1"/>
  <c r="F150" i="36" s="1"/>
  <c r="F151" i="36" s="1"/>
  <c r="F152" i="36" s="1"/>
  <c r="F153" i="36" s="1"/>
  <c r="F154" i="36" s="1"/>
  <c r="F155" i="36" s="1"/>
  <c r="F156" i="36" s="1"/>
  <c r="D145" i="36"/>
  <c r="B145" i="36"/>
  <c r="B144" i="36"/>
  <c r="B143" i="36"/>
  <c r="B142" i="36"/>
  <c r="B141" i="36"/>
  <c r="B140" i="36"/>
  <c r="B139" i="36"/>
  <c r="B138" i="36"/>
  <c r="B137" i="36"/>
  <c r="B136" i="36"/>
  <c r="B135" i="36"/>
  <c r="B134" i="36"/>
  <c r="F133" i="36"/>
  <c r="F134" i="36" s="1"/>
  <c r="F135" i="36" s="1"/>
  <c r="F136" i="36" s="1"/>
  <c r="F137" i="36" s="1"/>
  <c r="F138" i="36" s="1"/>
  <c r="F139" i="36" s="1"/>
  <c r="F140" i="36" s="1"/>
  <c r="F141" i="36" s="1"/>
  <c r="F142" i="36" s="1"/>
  <c r="F143" i="36" s="1"/>
  <c r="F144" i="36" s="1"/>
  <c r="D133" i="36"/>
  <c r="B133" i="36"/>
  <c r="B132" i="36"/>
  <c r="B131" i="36"/>
  <c r="B130" i="36"/>
  <c r="B129" i="36"/>
  <c r="B128" i="36"/>
  <c r="B127" i="36"/>
  <c r="B126" i="36"/>
  <c r="B125" i="36"/>
  <c r="B124" i="36"/>
  <c r="B123" i="36"/>
  <c r="B122" i="36"/>
  <c r="F121" i="36"/>
  <c r="F122" i="36" s="1"/>
  <c r="F123" i="36" s="1"/>
  <c r="F124" i="36" s="1"/>
  <c r="F125" i="36" s="1"/>
  <c r="F126" i="36" s="1"/>
  <c r="F127" i="36" s="1"/>
  <c r="F128" i="36" s="1"/>
  <c r="F129" i="36" s="1"/>
  <c r="F130" i="36" s="1"/>
  <c r="F131" i="36" s="1"/>
  <c r="F132" i="36" s="1"/>
  <c r="D121" i="36"/>
  <c r="B121" i="36"/>
  <c r="B120" i="36"/>
  <c r="B119" i="36"/>
  <c r="B118" i="36"/>
  <c r="B117" i="36"/>
  <c r="B116" i="36"/>
  <c r="B115" i="36"/>
  <c r="B114" i="36"/>
  <c r="B113" i="36"/>
  <c r="B112" i="36"/>
  <c r="B111" i="36"/>
  <c r="B110" i="36"/>
  <c r="F109" i="36"/>
  <c r="F110" i="36" s="1"/>
  <c r="F111" i="36" s="1"/>
  <c r="F112" i="36" s="1"/>
  <c r="F113" i="36" s="1"/>
  <c r="F114" i="36" s="1"/>
  <c r="F115" i="36" s="1"/>
  <c r="F116" i="36" s="1"/>
  <c r="F117" i="36" s="1"/>
  <c r="F118" i="36" s="1"/>
  <c r="F119" i="36" s="1"/>
  <c r="F120" i="36" s="1"/>
  <c r="D109" i="36"/>
  <c r="B109" i="36"/>
  <c r="B108" i="36"/>
  <c r="B107" i="36"/>
  <c r="B106" i="36"/>
  <c r="B105" i="36"/>
  <c r="B104" i="36"/>
  <c r="B103" i="36"/>
  <c r="B102" i="36"/>
  <c r="B101" i="36"/>
  <c r="B100" i="36"/>
  <c r="B99" i="36"/>
  <c r="B98" i="36"/>
  <c r="F97" i="36"/>
  <c r="F98" i="36" s="1"/>
  <c r="F99" i="36" s="1"/>
  <c r="F100" i="36" s="1"/>
  <c r="F101" i="36" s="1"/>
  <c r="F102" i="36" s="1"/>
  <c r="F103" i="36" s="1"/>
  <c r="F104" i="36" s="1"/>
  <c r="F105" i="36" s="1"/>
  <c r="F106" i="36" s="1"/>
  <c r="F107" i="36" s="1"/>
  <c r="F108" i="36" s="1"/>
  <c r="D97" i="36"/>
  <c r="B97" i="36"/>
  <c r="B96" i="36"/>
  <c r="B95" i="36"/>
  <c r="B94" i="36"/>
  <c r="B93" i="36"/>
  <c r="B92" i="36"/>
  <c r="B91" i="36"/>
  <c r="B90" i="36"/>
  <c r="B89" i="36"/>
  <c r="B88" i="36"/>
  <c r="B87" i="36"/>
  <c r="B86" i="36"/>
  <c r="F85" i="36"/>
  <c r="F86" i="36" s="1"/>
  <c r="F87" i="36" s="1"/>
  <c r="F88" i="36" s="1"/>
  <c r="F89" i="36" s="1"/>
  <c r="F90" i="36" s="1"/>
  <c r="F91" i="36" s="1"/>
  <c r="F92" i="36" s="1"/>
  <c r="F93" i="36" s="1"/>
  <c r="F94" i="36" s="1"/>
  <c r="F95" i="36" s="1"/>
  <c r="F96" i="36" s="1"/>
  <c r="D85" i="36"/>
  <c r="B85" i="36"/>
  <c r="B84" i="36"/>
  <c r="B83" i="36"/>
  <c r="B82" i="36"/>
  <c r="B81" i="36"/>
  <c r="B80" i="36"/>
  <c r="B79" i="36"/>
  <c r="B78" i="36"/>
  <c r="B77" i="36"/>
  <c r="B76" i="36"/>
  <c r="B75" i="36"/>
  <c r="B74" i="36"/>
  <c r="F73" i="36"/>
  <c r="F74" i="36" s="1"/>
  <c r="F75" i="36" s="1"/>
  <c r="F76" i="36" s="1"/>
  <c r="F77" i="36" s="1"/>
  <c r="F78" i="36" s="1"/>
  <c r="F79" i="36" s="1"/>
  <c r="F80" i="36" s="1"/>
  <c r="F81" i="36" s="1"/>
  <c r="F82" i="36" s="1"/>
  <c r="F83" i="36" s="1"/>
  <c r="F84" i="36" s="1"/>
  <c r="D73" i="36"/>
  <c r="B73" i="36"/>
  <c r="B72" i="36"/>
  <c r="B71" i="36"/>
  <c r="B70" i="36"/>
  <c r="B69" i="36"/>
  <c r="B68" i="36"/>
  <c r="B67" i="36"/>
  <c r="J66" i="36"/>
  <c r="B66" i="36"/>
  <c r="J65" i="36"/>
  <c r="B65" i="36"/>
  <c r="J64" i="36"/>
  <c r="B64" i="36"/>
  <c r="J63" i="36"/>
  <c r="B63" i="36"/>
  <c r="J62" i="36"/>
  <c r="B62" i="36"/>
  <c r="J61" i="36"/>
  <c r="F61" i="36"/>
  <c r="F62" i="36" s="1"/>
  <c r="F63" i="36" s="1"/>
  <c r="F64" i="36" s="1"/>
  <c r="F65" i="36" s="1"/>
  <c r="F66" i="36" s="1"/>
  <c r="F67" i="36" s="1"/>
  <c r="F68" i="36" s="1"/>
  <c r="F69" i="36" s="1"/>
  <c r="F70" i="36" s="1"/>
  <c r="F71" i="36" s="1"/>
  <c r="F72" i="36" s="1"/>
  <c r="D61" i="36"/>
  <c r="B61" i="36"/>
  <c r="J60" i="36"/>
  <c r="B60" i="36"/>
  <c r="J59" i="36"/>
  <c r="B59" i="36"/>
  <c r="J58" i="36"/>
  <c r="B58" i="36"/>
  <c r="J57" i="36"/>
  <c r="B57" i="36"/>
  <c r="J56" i="36"/>
  <c r="B56" i="36"/>
  <c r="J55" i="36"/>
  <c r="B55" i="36"/>
  <c r="J54" i="36"/>
  <c r="B54" i="36"/>
  <c r="J53" i="36"/>
  <c r="B53" i="36"/>
  <c r="J52" i="36"/>
  <c r="B52" i="36"/>
  <c r="J51" i="36"/>
  <c r="B51" i="36"/>
  <c r="J50" i="36"/>
  <c r="B50" i="36"/>
  <c r="J49" i="36"/>
  <c r="F49" i="36"/>
  <c r="F50" i="36" s="1"/>
  <c r="F51" i="36" s="1"/>
  <c r="F52" i="36" s="1"/>
  <c r="F53" i="36" s="1"/>
  <c r="F54" i="36" s="1"/>
  <c r="F55" i="36" s="1"/>
  <c r="F56" i="36" s="1"/>
  <c r="F57" i="36" s="1"/>
  <c r="F58" i="36" s="1"/>
  <c r="F59" i="36" s="1"/>
  <c r="F60" i="36" s="1"/>
  <c r="D49" i="36"/>
  <c r="B49" i="36"/>
  <c r="J48" i="36"/>
  <c r="B48" i="36"/>
  <c r="J47" i="36"/>
  <c r="B47" i="36"/>
  <c r="J46" i="36"/>
  <c r="B46" i="36"/>
  <c r="J45" i="36"/>
  <c r="B45" i="36"/>
  <c r="J44" i="36"/>
  <c r="B44" i="36"/>
  <c r="J43" i="36"/>
  <c r="B43" i="36"/>
  <c r="J42" i="36"/>
  <c r="B42" i="36"/>
  <c r="J41" i="36"/>
  <c r="B41" i="36"/>
  <c r="J40" i="36"/>
  <c r="B40" i="36"/>
  <c r="J39" i="36"/>
  <c r="B39" i="36"/>
  <c r="J38" i="36"/>
  <c r="B38" i="36"/>
  <c r="J37" i="36"/>
  <c r="F37" i="36"/>
  <c r="F38" i="36" s="1"/>
  <c r="F39" i="36" s="1"/>
  <c r="F40" i="36" s="1"/>
  <c r="F41" i="36" s="1"/>
  <c r="F42" i="36" s="1"/>
  <c r="F43" i="36" s="1"/>
  <c r="F44" i="36" s="1"/>
  <c r="F45" i="36" s="1"/>
  <c r="F46" i="36" s="1"/>
  <c r="F47" i="36" s="1"/>
  <c r="F48" i="36" s="1"/>
  <c r="D37" i="36"/>
  <c r="B37" i="36"/>
  <c r="AU5" i="36"/>
  <c r="BE5" i="36"/>
  <c r="BJ5" i="36" l="1"/>
  <c r="AZ5" i="36"/>
  <c r="AP5" i="36"/>
  <c r="V5" i="36"/>
  <c r="AF5" i="36"/>
  <c r="C3" i="44"/>
  <c r="E3" i="51" l="1"/>
  <c r="D1" i="52" s="1"/>
  <c r="A40" i="11" l="1"/>
  <c r="A42" i="11"/>
  <c r="B43" i="11"/>
  <c r="B44" i="11"/>
  <c r="D1" i="4" l="1"/>
  <c r="D1" i="16"/>
  <c r="D1" i="8"/>
  <c r="D1" i="3"/>
  <c r="D1" i="1"/>
  <c r="D1" i="15"/>
  <c r="D1" i="28"/>
  <c r="D1" i="2"/>
  <c r="B45" i="11"/>
  <c r="C51" i="43" s="1"/>
  <c r="C50" i="43"/>
  <c r="X16" i="24" l="1"/>
  <c r="X15" i="24"/>
  <c r="C49" i="43" l="1"/>
  <c r="X14" i="24"/>
  <c r="G44" i="43" l="1"/>
  <c r="M44" i="43"/>
  <c r="T44" i="43"/>
  <c r="V44" i="43"/>
  <c r="E44" i="43"/>
  <c r="L44" i="43"/>
  <c r="T30" i="43"/>
  <c r="N44" i="43"/>
  <c r="K44" i="43"/>
  <c r="D44" i="43"/>
  <c r="U30" i="43"/>
  <c r="U44" i="43"/>
  <c r="S30" i="43"/>
  <c r="F44" i="43"/>
  <c r="R44" i="43"/>
  <c r="CT6" i="60" s="1"/>
  <c r="O44" i="43"/>
  <c r="W44" i="43"/>
  <c r="W30" i="43"/>
  <c r="J44" i="43"/>
  <c r="I44" i="43"/>
  <c r="H44" i="43"/>
  <c r="S44" i="43"/>
  <c r="CU6" i="60" s="1"/>
  <c r="V30" i="43"/>
  <c r="Q44" i="43"/>
  <c r="CS6" i="60" s="1"/>
  <c r="P44" i="43"/>
  <c r="CR6" i="60" s="1"/>
  <c r="G4" i="10"/>
  <c r="B2" i="42" l="1"/>
  <c r="F30" i="43" l="1"/>
  <c r="Q36" i="43"/>
  <c r="L23" i="43"/>
  <c r="L30" i="43" s="1"/>
  <c r="J36" i="43"/>
  <c r="O23" i="43"/>
  <c r="O30" i="43" s="1"/>
  <c r="P78" i="14" s="1"/>
  <c r="P79" i="14" s="1"/>
  <c r="F23" i="43"/>
  <c r="P23" i="43"/>
  <c r="P30" i="43" s="1"/>
  <c r="I36" i="43"/>
  <c r="E36" i="43"/>
  <c r="H23" i="43"/>
  <c r="H30" i="43" s="1"/>
  <c r="O36" i="43"/>
  <c r="N30" i="43"/>
  <c r="O78" i="14" s="1"/>
  <c r="O79" i="14" s="1"/>
  <c r="J23" i="43"/>
  <c r="J30" i="43" s="1"/>
  <c r="D36" i="43"/>
  <c r="M23" i="43"/>
  <c r="M30" i="43" s="1"/>
  <c r="N78" i="14" s="1"/>
  <c r="N79" i="14" s="1"/>
  <c r="R36" i="43"/>
  <c r="Q23" i="43"/>
  <c r="Q30" i="43" s="1"/>
  <c r="C23" i="43"/>
  <c r="C30" i="43" s="1"/>
  <c r="C36" i="43"/>
  <c r="C44" i="43" s="1"/>
  <c r="I23" i="43"/>
  <c r="I30" i="43" s="1"/>
  <c r="R23" i="43"/>
  <c r="R30" i="43" s="1"/>
  <c r="H36" i="43"/>
  <c r="B44" i="43"/>
  <c r="K36" i="43"/>
  <c r="K23" i="43"/>
  <c r="K30" i="43" s="1"/>
  <c r="G23" i="43"/>
  <c r="G30" i="43" s="1"/>
  <c r="E23" i="43"/>
  <c r="E30" i="43" s="1"/>
  <c r="P36" i="43"/>
  <c r="N23" i="43"/>
  <c r="N36" i="43"/>
  <c r="L36" i="43"/>
  <c r="M36" i="43"/>
  <c r="D23" i="43"/>
  <c r="D30" i="43" s="1"/>
  <c r="G36" i="43"/>
  <c r="F36" i="43"/>
  <c r="F4" i="1"/>
  <c r="G4" i="1" s="1"/>
  <c r="I4" i="1" s="1"/>
  <c r="H4" i="1" l="1"/>
  <c r="H244" i="1" l="1"/>
  <c r="C2" i="40"/>
  <c r="C2" i="39" l="1"/>
  <c r="E91" i="14" l="1"/>
  <c r="E90" i="14" s="1"/>
  <c r="F91" i="14"/>
  <c r="F90" i="14" s="1"/>
  <c r="G91" i="14"/>
  <c r="G90" i="14" s="1"/>
  <c r="H91" i="14"/>
  <c r="H90" i="14" s="1"/>
  <c r="I91" i="14"/>
  <c r="I90" i="14" s="1"/>
  <c r="J91" i="14"/>
  <c r="J90" i="14" s="1"/>
  <c r="K91" i="14"/>
  <c r="K90" i="14" s="1"/>
  <c r="L91" i="14"/>
  <c r="L90" i="14" s="1"/>
  <c r="M91" i="14"/>
  <c r="M90" i="14" s="1"/>
  <c r="D91" i="14"/>
  <c r="D90" i="14" s="1"/>
  <c r="O9" i="14"/>
  <c r="N9" i="14"/>
  <c r="M9" i="14"/>
  <c r="L9" i="14"/>
  <c r="K9" i="14"/>
  <c r="D9" i="14"/>
  <c r="F9" i="14"/>
  <c r="G9" i="14"/>
  <c r="H9" i="14"/>
  <c r="I9" i="14"/>
  <c r="J9" i="14"/>
  <c r="E9" i="14"/>
  <c r="C4" i="27" l="1"/>
  <c r="C3" i="27"/>
  <c r="C3" i="22"/>
  <c r="C3" i="20"/>
  <c r="C78" i="14" l="1"/>
  <c r="C2" i="34" l="1"/>
  <c r="C1" i="21"/>
  <c r="K83" i="14" l="1"/>
  <c r="L83" i="14"/>
  <c r="M83" i="14"/>
  <c r="S15" i="24" l="1"/>
  <c r="S18" i="24" s="1"/>
  <c r="S16" i="24" l="1"/>
  <c r="S21" i="24"/>
  <c r="S20" i="24"/>
  <c r="S17" i="24"/>
  <c r="T17" i="24" s="1"/>
  <c r="S19" i="24"/>
  <c r="T19" i="24" s="1"/>
  <c r="T20" i="24" l="1"/>
  <c r="T21" i="24"/>
  <c r="T18" i="24"/>
  <c r="T22" i="24" l="1"/>
  <c r="B33" i="11" l="1"/>
  <c r="E4" i="51" s="1"/>
  <c r="D2" i="52" s="1"/>
  <c r="E61" i="52" l="1" a="1"/>
  <c r="E61" i="52" s="1"/>
  <c r="E72" i="52" a="1"/>
  <c r="E72" i="52" s="1"/>
  <c r="E47" i="52" a="1"/>
  <c r="E47" i="52" s="1"/>
  <c r="E343" i="52" a="1"/>
  <c r="E343" i="52" s="1"/>
  <c r="E231" i="52" a="1"/>
  <c r="E231" i="52" s="1"/>
  <c r="E367" i="52" a="1"/>
  <c r="E367" i="52" s="1"/>
  <c r="E189" i="52" a="1"/>
  <c r="E189" i="52" s="1"/>
  <c r="E191" i="52" s="1"/>
  <c r="E311" i="52" a="1"/>
  <c r="E311" i="52" s="1"/>
  <c r="E313" i="52" s="1"/>
  <c r="E359" i="52" a="1"/>
  <c r="E359" i="52" s="1"/>
  <c r="E9" i="52" a="1"/>
  <c r="E9" i="52" s="1"/>
  <c r="E11" i="52" s="1"/>
  <c r="E96" i="52" a="1"/>
  <c r="E96" i="52" s="1"/>
  <c r="E389" i="52" a="1"/>
  <c r="E389" i="52" s="1"/>
  <c r="E263" i="52" a="1"/>
  <c r="E263" i="52" s="1"/>
  <c r="E303" i="52" a="1"/>
  <c r="E303" i="52" s="1"/>
  <c r="E305" i="52" s="1"/>
  <c r="E121" i="52" a="1"/>
  <c r="E121" i="52" s="1"/>
  <c r="E85" i="52" a="1"/>
  <c r="E85" i="52" s="1"/>
  <c r="E255" i="52" a="1"/>
  <c r="E255" i="52" s="1"/>
  <c r="E279" i="52" a="1"/>
  <c r="E279" i="52" s="1"/>
  <c r="E281" i="52" s="1"/>
  <c r="E129" i="52" a="1"/>
  <c r="E129" i="52" s="1"/>
  <c r="E335" i="52" a="1"/>
  <c r="E335" i="52" s="1"/>
  <c r="E337" i="52" s="1"/>
  <c r="E143" i="52" a="1"/>
  <c r="E143" i="52" s="1"/>
  <c r="E78" i="52" a="1"/>
  <c r="E78" i="52" s="1"/>
  <c r="E287" i="52" a="1"/>
  <c r="E287" i="52" s="1"/>
  <c r="E289" i="52" s="1"/>
  <c r="E157" i="52" a="1"/>
  <c r="E157" i="52" s="1"/>
  <c r="E199" i="52" a="1"/>
  <c r="E199" i="52" s="1"/>
  <c r="E39" i="52" a="1"/>
  <c r="E39" i="52" s="1"/>
  <c r="E327" i="52" a="1"/>
  <c r="E327" i="52" s="1"/>
  <c r="E329" i="52" s="1"/>
  <c r="E223" i="52" a="1"/>
  <c r="E223" i="52" s="1"/>
  <c r="E225" i="52" s="1"/>
  <c r="E17" i="52" a="1"/>
  <c r="E17" i="52" s="1"/>
  <c r="E31" i="52" a="1"/>
  <c r="E31" i="52" s="1"/>
  <c r="E295" i="52" a="1"/>
  <c r="E295" i="52" s="1"/>
  <c r="E297" i="52" s="1"/>
  <c r="E239" i="52" a="1"/>
  <c r="E239" i="52" s="1"/>
  <c r="E375" i="52" a="1"/>
  <c r="E375" i="52" s="1"/>
  <c r="E165" i="52" a="1"/>
  <c r="E165" i="52" s="1"/>
  <c r="E149" i="52" a="1"/>
  <c r="E149" i="52" s="1"/>
  <c r="E137" i="52" a="1"/>
  <c r="E137" i="52" s="1"/>
  <c r="E207" i="52" a="1"/>
  <c r="E207" i="52" s="1"/>
  <c r="E319" i="52" a="1"/>
  <c r="E319" i="52" s="1"/>
  <c r="E321" i="52" s="1"/>
  <c r="E351" i="52" a="1"/>
  <c r="E351" i="52" s="1"/>
  <c r="E215" i="52" a="1"/>
  <c r="E215" i="52" s="1"/>
  <c r="E54" i="52" a="1"/>
  <c r="E54" i="52" s="1"/>
  <c r="E173" i="52" a="1"/>
  <c r="E173" i="52" s="1"/>
  <c r="E24" i="52" a="1"/>
  <c r="E24" i="52" s="1"/>
  <c r="E271" i="52" a="1"/>
  <c r="E271" i="52" s="1"/>
  <c r="E114" i="52" a="1"/>
  <c r="E114" i="52" s="1"/>
  <c r="E116" i="52" s="1"/>
  <c r="E383" i="52" a="1"/>
  <c r="E383" i="52" s="1"/>
  <c r="E247" i="52" a="1"/>
  <c r="E247" i="52" s="1"/>
  <c r="E106" i="52" a="1"/>
  <c r="E106" i="52" s="1"/>
  <c r="D66" i="14"/>
  <c r="E66" i="14"/>
  <c r="F66" i="14"/>
  <c r="G66" i="14"/>
  <c r="H66" i="14"/>
  <c r="I66" i="14"/>
  <c r="J66" i="14"/>
  <c r="K66" i="14"/>
  <c r="L66" i="14"/>
  <c r="M66" i="14"/>
  <c r="AB46" i="52" l="1"/>
  <c r="AI46" i="52"/>
  <c r="S46" i="52"/>
  <c r="F46" i="52"/>
  <c r="G46" i="52"/>
  <c r="J46" i="52"/>
  <c r="X46" i="52"/>
  <c r="I46" i="52"/>
  <c r="AG46" i="52"/>
  <c r="L46" i="52"/>
  <c r="H46" i="52"/>
  <c r="T46" i="52"/>
  <c r="AE46" i="52"/>
  <c r="AA46" i="52"/>
  <c r="AF46" i="52"/>
  <c r="AC46" i="52"/>
  <c r="Z46" i="52"/>
  <c r="Q46" i="52"/>
  <c r="W46" i="52"/>
  <c r="P46" i="52"/>
  <c r="N46" i="52"/>
  <c r="AD46" i="52"/>
  <c r="O46" i="52"/>
  <c r="R46" i="52"/>
  <c r="Y46" i="52"/>
  <c r="U46" i="52"/>
  <c r="AH46" i="52"/>
  <c r="M46" i="52"/>
  <c r="V46" i="52"/>
  <c r="K46" i="52"/>
  <c r="AH180" i="52"/>
  <c r="H180" i="52"/>
  <c r="P180" i="52"/>
  <c r="Z180" i="52"/>
  <c r="AD180" i="52"/>
  <c r="O180" i="52"/>
  <c r="K180" i="52"/>
  <c r="AF180" i="52"/>
  <c r="M180" i="52"/>
  <c r="AB180" i="52"/>
  <c r="AI180" i="52"/>
  <c r="F180" i="52"/>
  <c r="W180" i="52"/>
  <c r="L180" i="52"/>
  <c r="AG180" i="52"/>
  <c r="V180" i="52"/>
  <c r="AC180" i="52"/>
  <c r="R180" i="52"/>
  <c r="AE180" i="52"/>
  <c r="E175" i="52"/>
  <c r="N180" i="52"/>
  <c r="Q180" i="52"/>
  <c r="X180" i="52"/>
  <c r="U180" i="52"/>
  <c r="G180" i="52"/>
  <c r="T180" i="52"/>
  <c r="Y180" i="52"/>
  <c r="J180" i="52"/>
  <c r="I180" i="52"/>
  <c r="AA180" i="52"/>
  <c r="S180" i="52"/>
  <c r="V230" i="52"/>
  <c r="G230" i="52"/>
  <c r="F230" i="52"/>
  <c r="W230" i="52"/>
  <c r="AB230" i="52"/>
  <c r="AF230" i="52"/>
  <c r="L230" i="52"/>
  <c r="I230" i="52"/>
  <c r="P230" i="52"/>
  <c r="Z230" i="52"/>
  <c r="AI230" i="52"/>
  <c r="M230" i="52"/>
  <c r="AC230" i="52"/>
  <c r="X230" i="52"/>
  <c r="N230" i="52"/>
  <c r="K230" i="52"/>
  <c r="R230" i="52"/>
  <c r="J230" i="52"/>
  <c r="Q230" i="52"/>
  <c r="H230" i="52"/>
  <c r="AH230" i="52"/>
  <c r="O230" i="52"/>
  <c r="AD230" i="52"/>
  <c r="Y230" i="52"/>
  <c r="AE230" i="52"/>
  <c r="AA230" i="52"/>
  <c r="T230" i="52"/>
  <c r="AG230" i="52"/>
  <c r="S230" i="52"/>
  <c r="U230" i="52"/>
  <c r="N270" i="52"/>
  <c r="AE270" i="52"/>
  <c r="T270" i="52"/>
  <c r="W270" i="52"/>
  <c r="L270" i="52"/>
  <c r="J270" i="52"/>
  <c r="V270" i="52"/>
  <c r="AH270" i="52"/>
  <c r="AB270" i="52"/>
  <c r="H270" i="52"/>
  <c r="G270" i="52"/>
  <c r="K270" i="52"/>
  <c r="AA270" i="52"/>
  <c r="M270" i="52"/>
  <c r="I270" i="52"/>
  <c r="Z270" i="52"/>
  <c r="AI270" i="52"/>
  <c r="F270" i="52"/>
  <c r="U270" i="52"/>
  <c r="S270" i="52"/>
  <c r="E265" i="52"/>
  <c r="O270" i="52"/>
  <c r="R270" i="52"/>
  <c r="AC270" i="52"/>
  <c r="AG270" i="52"/>
  <c r="AD270" i="52"/>
  <c r="Y270" i="52"/>
  <c r="AF270" i="52"/>
  <c r="P270" i="52"/>
  <c r="Q270" i="52"/>
  <c r="X270" i="52"/>
  <c r="Z222" i="52"/>
  <c r="W222" i="52"/>
  <c r="K222" i="52"/>
  <c r="S222" i="52"/>
  <c r="AE222" i="52"/>
  <c r="AD222" i="52"/>
  <c r="V222" i="52"/>
  <c r="O222" i="52"/>
  <c r="Y222" i="52"/>
  <c r="AI222" i="52"/>
  <c r="K11" i="51" a="1"/>
  <c r="K11" i="51" s="1"/>
  <c r="N222" i="52"/>
  <c r="AB222" i="52"/>
  <c r="L222" i="52"/>
  <c r="AG222" i="52"/>
  <c r="J222" i="52"/>
  <c r="E217" i="52"/>
  <c r="I222" i="52"/>
  <c r="AC222" i="52"/>
  <c r="H222" i="52"/>
  <c r="R222" i="52"/>
  <c r="U222" i="52"/>
  <c r="X222" i="52"/>
  <c r="G222" i="52"/>
  <c r="AA222" i="52"/>
  <c r="AH222" i="52"/>
  <c r="F222" i="52"/>
  <c r="T222" i="52"/>
  <c r="M222" i="52"/>
  <c r="P222" i="52"/>
  <c r="K20" i="51" a="1"/>
  <c r="K20" i="51" s="1"/>
  <c r="Q222" i="52"/>
  <c r="Q7" i="52" s="1" a="1"/>
  <c r="Q7" i="52" s="1"/>
  <c r="J20" i="51" s="1"/>
  <c r="AF222" i="52"/>
  <c r="AI395" i="52"/>
  <c r="AE395" i="52"/>
  <c r="J395" i="52"/>
  <c r="T395" i="52"/>
  <c r="R395" i="52"/>
  <c r="U395" i="52"/>
  <c r="Y395" i="52"/>
  <c r="AF395" i="52"/>
  <c r="P395" i="52"/>
  <c r="Z395" i="52"/>
  <c r="AG395" i="52"/>
  <c r="F395" i="52"/>
  <c r="V395" i="52"/>
  <c r="X395" i="52"/>
  <c r="E391" i="52"/>
  <c r="AH395" i="52"/>
  <c r="H395" i="52"/>
  <c r="O395" i="52"/>
  <c r="N395" i="52"/>
  <c r="K395" i="52"/>
  <c r="Q395" i="52"/>
  <c r="W395" i="52"/>
  <c r="AD395" i="52"/>
  <c r="M395" i="52"/>
  <c r="I395" i="52"/>
  <c r="AC395" i="52"/>
  <c r="G395" i="52"/>
  <c r="S395" i="52"/>
  <c r="AA395" i="52"/>
  <c r="AB395" i="52"/>
  <c r="L395" i="52"/>
  <c r="AD206" i="52"/>
  <c r="N206" i="52"/>
  <c r="Q206" i="52"/>
  <c r="K206" i="52"/>
  <c r="T206" i="52"/>
  <c r="AF206" i="52"/>
  <c r="J206" i="52"/>
  <c r="AB206" i="52"/>
  <c r="E201" i="52"/>
  <c r="AE206" i="52"/>
  <c r="L206" i="52"/>
  <c r="U206" i="52"/>
  <c r="AC206" i="52"/>
  <c r="AG206" i="52"/>
  <c r="G206" i="52"/>
  <c r="V206" i="52"/>
  <c r="O206" i="52"/>
  <c r="H206" i="52"/>
  <c r="AA206" i="52"/>
  <c r="S206" i="52"/>
  <c r="M206" i="52"/>
  <c r="F206" i="52"/>
  <c r="R206" i="52"/>
  <c r="Y206" i="52"/>
  <c r="P206" i="52"/>
  <c r="I206" i="52"/>
  <c r="Z206" i="52"/>
  <c r="X206" i="52"/>
  <c r="AH206" i="52"/>
  <c r="W206" i="52"/>
  <c r="AI206" i="52"/>
  <c r="E159" i="52"/>
  <c r="I164" i="52"/>
  <c r="AA164" i="52"/>
  <c r="S164" i="52"/>
  <c r="Q164" i="52"/>
  <c r="G164" i="52"/>
  <c r="L164" i="52"/>
  <c r="O164" i="52"/>
  <c r="AC164" i="52"/>
  <c r="AE164" i="52"/>
  <c r="V164" i="52"/>
  <c r="X164" i="52"/>
  <c r="AD164" i="52"/>
  <c r="N164" i="52"/>
  <c r="T164" i="52"/>
  <c r="AI164" i="52"/>
  <c r="Y164" i="52"/>
  <c r="Z164" i="52"/>
  <c r="J164" i="52"/>
  <c r="AB164" i="52"/>
  <c r="AG164" i="52"/>
  <c r="F164" i="52"/>
  <c r="H164" i="52"/>
  <c r="K164" i="52"/>
  <c r="R164" i="52"/>
  <c r="P164" i="52"/>
  <c r="W164" i="52"/>
  <c r="AF164" i="52"/>
  <c r="M164" i="52"/>
  <c r="U164" i="52"/>
  <c r="AH164" i="52"/>
  <c r="F366" i="52"/>
  <c r="K366" i="52"/>
  <c r="G366" i="52"/>
  <c r="W366" i="52"/>
  <c r="AF366" i="52"/>
  <c r="R366" i="52"/>
  <c r="M366" i="52"/>
  <c r="T366" i="52"/>
  <c r="AH366" i="52"/>
  <c r="H366" i="52"/>
  <c r="E361" i="52"/>
  <c r="P366" i="52"/>
  <c r="I366" i="52"/>
  <c r="AI366" i="52"/>
  <c r="N366" i="52"/>
  <c r="AA366" i="52"/>
  <c r="Q366" i="52"/>
  <c r="AB366" i="52"/>
  <c r="AE366" i="52"/>
  <c r="V366" i="52"/>
  <c r="AD366" i="52"/>
  <c r="Y366" i="52"/>
  <c r="L366" i="52"/>
  <c r="Z366" i="52"/>
  <c r="X366" i="52"/>
  <c r="AG366" i="52"/>
  <c r="AC366" i="52"/>
  <c r="J366" i="52"/>
  <c r="O366" i="52"/>
  <c r="U366" i="52"/>
  <c r="S366" i="52"/>
  <c r="K21" i="51" a="1"/>
  <c r="K21" i="51" s="1"/>
  <c r="O142" i="52"/>
  <c r="E139" i="52"/>
  <c r="Z142" i="52"/>
  <c r="AF142" i="52"/>
  <c r="H142" i="52"/>
  <c r="G142" i="52"/>
  <c r="P142" i="52"/>
  <c r="K142" i="52"/>
  <c r="V142" i="52"/>
  <c r="AA142" i="52"/>
  <c r="F142" i="52"/>
  <c r="AC142" i="52"/>
  <c r="AH142" i="52"/>
  <c r="K15" i="51" a="1"/>
  <c r="K15" i="51" s="1"/>
  <c r="S142" i="52"/>
  <c r="R142" i="52"/>
  <c r="R7" i="52" s="1" a="1"/>
  <c r="R7" i="52" s="1"/>
  <c r="J21" i="51" s="1"/>
  <c r="AI142" i="52"/>
  <c r="I142" i="52"/>
  <c r="J142" i="52"/>
  <c r="AD142" i="52"/>
  <c r="AB142" i="52"/>
  <c r="T142" i="52"/>
  <c r="AG142" i="52"/>
  <c r="Q142" i="52"/>
  <c r="L142" i="52"/>
  <c r="M142" i="52"/>
  <c r="N142" i="52"/>
  <c r="Y142" i="52"/>
  <c r="W142" i="52"/>
  <c r="X142" i="52"/>
  <c r="AE142" i="52"/>
  <c r="U142" i="52"/>
  <c r="Z84" i="52"/>
  <c r="AF84" i="52"/>
  <c r="I84" i="52"/>
  <c r="AI84" i="52"/>
  <c r="AB84" i="52"/>
  <c r="P84" i="52"/>
  <c r="M84" i="52"/>
  <c r="K84" i="52"/>
  <c r="AG84" i="52"/>
  <c r="O84" i="52"/>
  <c r="H84" i="52"/>
  <c r="AA84" i="52"/>
  <c r="Y84" i="52"/>
  <c r="T84" i="52"/>
  <c r="E80" i="52"/>
  <c r="AD84" i="52"/>
  <c r="AH84" i="52"/>
  <c r="AC84" i="52"/>
  <c r="U84" i="52"/>
  <c r="W84" i="52"/>
  <c r="F84" i="52"/>
  <c r="Q84" i="52"/>
  <c r="S84" i="52"/>
  <c r="N84" i="52"/>
  <c r="J84" i="52"/>
  <c r="R84" i="52"/>
  <c r="X84" i="52"/>
  <c r="G84" i="52"/>
  <c r="V84" i="52"/>
  <c r="L84" i="52"/>
  <c r="AE84" i="52"/>
  <c r="AF156" i="52"/>
  <c r="U156" i="52"/>
  <c r="P156" i="52"/>
  <c r="AH156" i="52"/>
  <c r="V156" i="52"/>
  <c r="AE156" i="52"/>
  <c r="S156" i="52"/>
  <c r="AB156" i="52"/>
  <c r="X156" i="52"/>
  <c r="AI156" i="52"/>
  <c r="AG156" i="52"/>
  <c r="Y156" i="52"/>
  <c r="K156" i="52"/>
  <c r="J156" i="52"/>
  <c r="Q156" i="52"/>
  <c r="AA156" i="52"/>
  <c r="Z156" i="52"/>
  <c r="G156" i="52"/>
  <c r="AD156" i="52"/>
  <c r="O156" i="52"/>
  <c r="E151" i="52"/>
  <c r="T156" i="52"/>
  <c r="H156" i="52"/>
  <c r="F156" i="52"/>
  <c r="L156" i="52"/>
  <c r="N156" i="52"/>
  <c r="W156" i="52"/>
  <c r="I156" i="52"/>
  <c r="AC156" i="52"/>
  <c r="M156" i="52"/>
  <c r="R156" i="52"/>
  <c r="N148" i="52"/>
  <c r="F148" i="52"/>
  <c r="M148" i="52"/>
  <c r="S148" i="52"/>
  <c r="J148" i="52"/>
  <c r="AB148" i="52"/>
  <c r="I148" i="52"/>
  <c r="Z148" i="52"/>
  <c r="H148" i="52"/>
  <c r="R148" i="52"/>
  <c r="G148" i="52"/>
  <c r="U148" i="52"/>
  <c r="AG148" i="52"/>
  <c r="K148" i="52"/>
  <c r="V148" i="52"/>
  <c r="AF148" i="52"/>
  <c r="AC148" i="52"/>
  <c r="X148" i="52"/>
  <c r="AH148" i="52"/>
  <c r="Y148" i="52"/>
  <c r="E145" i="52"/>
  <c r="AE148" i="52"/>
  <c r="P148" i="52"/>
  <c r="T148" i="52"/>
  <c r="O148" i="52"/>
  <c r="AI148" i="52"/>
  <c r="L148" i="52"/>
  <c r="W148" i="52"/>
  <c r="Q148" i="52"/>
  <c r="AD148" i="52"/>
  <c r="AA148" i="52"/>
  <c r="G113" i="52"/>
  <c r="I113" i="52"/>
  <c r="H113" i="52"/>
  <c r="Q113" i="52"/>
  <c r="AH113" i="52"/>
  <c r="N113" i="52"/>
  <c r="F113" i="52"/>
  <c r="K14" i="51" a="1"/>
  <c r="K14" i="51" s="1"/>
  <c r="Y113" i="52"/>
  <c r="J113" i="52"/>
  <c r="W113" i="52"/>
  <c r="AB113" i="52"/>
  <c r="AE113" i="52"/>
  <c r="V113" i="52"/>
  <c r="AG113" i="52"/>
  <c r="E108" i="52"/>
  <c r="L113" i="52"/>
  <c r="K113" i="52"/>
  <c r="K12" i="51" a="1"/>
  <c r="K12" i="51" s="1"/>
  <c r="S113" i="52"/>
  <c r="S7" i="52" s="1" a="1"/>
  <c r="S7" i="52" s="1"/>
  <c r="J22" i="51" s="1"/>
  <c r="AA113" i="52"/>
  <c r="K22" i="51" a="1"/>
  <c r="K22" i="51" s="1"/>
  <c r="M113" i="52"/>
  <c r="AD113" i="52"/>
  <c r="U113" i="52"/>
  <c r="P113" i="52"/>
  <c r="AF113" i="52"/>
  <c r="AI113" i="52"/>
  <c r="O113" i="52"/>
  <c r="Z113" i="52"/>
  <c r="R113" i="52"/>
  <c r="X113" i="52"/>
  <c r="T113" i="52"/>
  <c r="AC113" i="52"/>
  <c r="T172" i="52"/>
  <c r="AC172" i="52"/>
  <c r="Z172" i="52"/>
  <c r="AA172" i="52"/>
  <c r="AE172" i="52"/>
  <c r="Q172" i="52"/>
  <c r="M172" i="52"/>
  <c r="AB172" i="52"/>
  <c r="N172" i="52"/>
  <c r="X172" i="52"/>
  <c r="E167" i="52"/>
  <c r="V172" i="52"/>
  <c r="P172" i="52"/>
  <c r="W172" i="52"/>
  <c r="AG172" i="52"/>
  <c r="AD172" i="52"/>
  <c r="L172" i="52"/>
  <c r="R172" i="52"/>
  <c r="S172" i="52"/>
  <c r="G172" i="52"/>
  <c r="AF172" i="52"/>
  <c r="K172" i="52"/>
  <c r="I172" i="52"/>
  <c r="J172" i="52"/>
  <c r="Y172" i="52"/>
  <c r="U172" i="52"/>
  <c r="AH172" i="52"/>
  <c r="F172" i="52"/>
  <c r="O172" i="52"/>
  <c r="AI172" i="52"/>
  <c r="H172" i="52"/>
  <c r="AB374" i="52"/>
  <c r="S374" i="52"/>
  <c r="V374" i="52"/>
  <c r="Y374" i="52"/>
  <c r="AI374" i="52"/>
  <c r="F374" i="52"/>
  <c r="P374" i="52"/>
  <c r="Q374" i="52"/>
  <c r="N374" i="52"/>
  <c r="T374" i="52"/>
  <c r="E369" i="52"/>
  <c r="AF374" i="52"/>
  <c r="W374" i="52"/>
  <c r="R374" i="52"/>
  <c r="H374" i="52"/>
  <c r="AG374" i="52"/>
  <c r="K374" i="52"/>
  <c r="AC374" i="52"/>
  <c r="G374" i="52"/>
  <c r="I374" i="52"/>
  <c r="AD374" i="52"/>
  <c r="AA374" i="52"/>
  <c r="Z374" i="52"/>
  <c r="L374" i="52"/>
  <c r="M374" i="52"/>
  <c r="AE374" i="52"/>
  <c r="X374" i="52"/>
  <c r="AH374" i="52"/>
  <c r="O374" i="52"/>
  <c r="J374" i="52"/>
  <c r="U374" i="52"/>
  <c r="L254" i="52"/>
  <c r="X254" i="52"/>
  <c r="V254" i="52"/>
  <c r="AI254" i="52"/>
  <c r="AE254" i="52"/>
  <c r="G254" i="52"/>
  <c r="Q254" i="52"/>
  <c r="P254" i="52"/>
  <c r="Z254" i="52"/>
  <c r="AH254" i="52"/>
  <c r="AC254" i="52"/>
  <c r="K254" i="52"/>
  <c r="AF254" i="52"/>
  <c r="AG254" i="52"/>
  <c r="T254" i="52"/>
  <c r="I254" i="52"/>
  <c r="N254" i="52"/>
  <c r="U254" i="52"/>
  <c r="M254" i="52"/>
  <c r="O254" i="52"/>
  <c r="AD254" i="52"/>
  <c r="R254" i="52"/>
  <c r="Y254" i="52"/>
  <c r="W254" i="52"/>
  <c r="S254" i="52"/>
  <c r="E249" i="52"/>
  <c r="AB254" i="52"/>
  <c r="AA254" i="52"/>
  <c r="J254" i="52"/>
  <c r="F254" i="52"/>
  <c r="H254" i="52"/>
  <c r="AH382" i="52"/>
  <c r="M382" i="52"/>
  <c r="H382" i="52"/>
  <c r="K382" i="52"/>
  <c r="AI382" i="52"/>
  <c r="AD382" i="52"/>
  <c r="Q382" i="52"/>
  <c r="S382" i="52"/>
  <c r="O382" i="52"/>
  <c r="P382" i="52"/>
  <c r="AA382" i="52"/>
  <c r="L382" i="52"/>
  <c r="X382" i="52"/>
  <c r="AF382" i="52"/>
  <c r="V382" i="52"/>
  <c r="U382" i="52"/>
  <c r="AC382" i="52"/>
  <c r="J382" i="52"/>
  <c r="T382" i="52"/>
  <c r="Y382" i="52"/>
  <c r="W382" i="52"/>
  <c r="F382" i="52"/>
  <c r="N382" i="52"/>
  <c r="Z382" i="52"/>
  <c r="R382" i="52"/>
  <c r="AG382" i="52"/>
  <c r="E377" i="52"/>
  <c r="G382" i="52"/>
  <c r="AB382" i="52"/>
  <c r="AE382" i="52"/>
  <c r="I382" i="52"/>
  <c r="S136" i="52"/>
  <c r="E131" i="52"/>
  <c r="O136" i="52"/>
  <c r="T136" i="52"/>
  <c r="L136" i="52"/>
  <c r="P136" i="52"/>
  <c r="R136" i="52"/>
  <c r="AG136" i="52"/>
  <c r="Y136" i="52"/>
  <c r="X136" i="52"/>
  <c r="K136" i="52"/>
  <c r="N136" i="52"/>
  <c r="Q136" i="52"/>
  <c r="AC136" i="52"/>
  <c r="Z136" i="52"/>
  <c r="I136" i="52"/>
  <c r="J136" i="52"/>
  <c r="AF136" i="52"/>
  <c r="V136" i="52"/>
  <c r="AE136" i="52"/>
  <c r="U136" i="52"/>
  <c r="F136" i="52"/>
  <c r="AB136" i="52"/>
  <c r="AH136" i="52"/>
  <c r="G136" i="52"/>
  <c r="W136" i="52"/>
  <c r="K9" i="51" a="1"/>
  <c r="K9" i="51" s="1"/>
  <c r="H136" i="52"/>
  <c r="AD136" i="52"/>
  <c r="K16" i="51" a="1"/>
  <c r="K16" i="51" s="1"/>
  <c r="K10" i="51" a="1"/>
  <c r="K10" i="51" s="1"/>
  <c r="AA136" i="52"/>
  <c r="AI136" i="52"/>
  <c r="M136" i="52"/>
  <c r="E385" i="52"/>
  <c r="I388" i="52"/>
  <c r="L388" i="52"/>
  <c r="T388" i="52"/>
  <c r="J388" i="52"/>
  <c r="R388" i="52"/>
  <c r="K388" i="52"/>
  <c r="H388" i="52"/>
  <c r="AD388" i="52"/>
  <c r="AF388" i="52"/>
  <c r="U388" i="52"/>
  <c r="AI388" i="52"/>
  <c r="V388" i="52"/>
  <c r="F388" i="52"/>
  <c r="AA388" i="52"/>
  <c r="N388" i="52"/>
  <c r="S388" i="52"/>
  <c r="M388" i="52"/>
  <c r="AH388" i="52"/>
  <c r="Q388" i="52"/>
  <c r="AB388" i="52"/>
  <c r="W388" i="52"/>
  <c r="Y388" i="52"/>
  <c r="AE388" i="52"/>
  <c r="G388" i="52"/>
  <c r="O388" i="52"/>
  <c r="AC388" i="52"/>
  <c r="AG388" i="52"/>
  <c r="X388" i="52"/>
  <c r="Z388" i="52"/>
  <c r="P388" i="52"/>
  <c r="X350" i="52"/>
  <c r="H350" i="52"/>
  <c r="V350" i="52"/>
  <c r="AI350" i="52"/>
  <c r="J350" i="52"/>
  <c r="R350" i="52"/>
  <c r="P350" i="52"/>
  <c r="W350" i="52"/>
  <c r="AF350" i="52"/>
  <c r="Y350" i="52"/>
  <c r="L350" i="52"/>
  <c r="M350" i="52"/>
  <c r="S350" i="52"/>
  <c r="AC350" i="52"/>
  <c r="N350" i="52"/>
  <c r="Q350" i="52"/>
  <c r="AG350" i="52"/>
  <c r="T350" i="52"/>
  <c r="F350" i="52"/>
  <c r="AE350" i="52"/>
  <c r="K350" i="52"/>
  <c r="E345" i="52"/>
  <c r="AH350" i="52"/>
  <c r="O350" i="52"/>
  <c r="K13" i="51" a="1"/>
  <c r="K13" i="51" s="1"/>
  <c r="U350" i="52"/>
  <c r="G350" i="52"/>
  <c r="AB350" i="52"/>
  <c r="I350" i="52"/>
  <c r="Z350" i="52"/>
  <c r="AD350" i="52"/>
  <c r="AA350" i="52"/>
  <c r="AD358" i="52"/>
  <c r="AB358" i="52"/>
  <c r="M358" i="52"/>
  <c r="AG358" i="52"/>
  <c r="Q358" i="52"/>
  <c r="I358" i="52"/>
  <c r="Z358" i="52"/>
  <c r="Y358" i="52"/>
  <c r="S358" i="52"/>
  <c r="H358" i="52"/>
  <c r="P358" i="52"/>
  <c r="AA358" i="52"/>
  <c r="K358" i="52"/>
  <c r="U358" i="52"/>
  <c r="N358" i="52"/>
  <c r="AF358" i="52"/>
  <c r="G358" i="52"/>
  <c r="R358" i="52"/>
  <c r="AI358" i="52"/>
  <c r="V358" i="52"/>
  <c r="W358" i="52"/>
  <c r="AE358" i="52"/>
  <c r="E353" i="52"/>
  <c r="AC358" i="52"/>
  <c r="L358" i="52"/>
  <c r="J358" i="52"/>
  <c r="O358" i="52"/>
  <c r="F358" i="52"/>
  <c r="AH358" i="52"/>
  <c r="X358" i="52"/>
  <c r="T358" i="52"/>
  <c r="O214" i="52"/>
  <c r="F214" i="52"/>
  <c r="T214" i="52"/>
  <c r="L214" i="52"/>
  <c r="AB214" i="52"/>
  <c r="P214" i="52"/>
  <c r="V214" i="52"/>
  <c r="AA214" i="52"/>
  <c r="Y214" i="52"/>
  <c r="H214" i="52"/>
  <c r="AD214" i="52"/>
  <c r="I214" i="52"/>
  <c r="M214" i="52"/>
  <c r="AF214" i="52"/>
  <c r="S214" i="52"/>
  <c r="AE214" i="52"/>
  <c r="U214" i="52"/>
  <c r="E209" i="52"/>
  <c r="K214" i="52"/>
  <c r="X214" i="52"/>
  <c r="G214" i="52"/>
  <c r="AH214" i="52"/>
  <c r="N214" i="52"/>
  <c r="J214" i="52"/>
  <c r="Q214" i="52"/>
  <c r="W214" i="52"/>
  <c r="Z214" i="52"/>
  <c r="AC214" i="52"/>
  <c r="R214" i="52"/>
  <c r="AG214" i="52"/>
  <c r="AI214" i="52"/>
  <c r="U53" i="52"/>
  <c r="AE53" i="52"/>
  <c r="H53" i="52"/>
  <c r="Y53" i="52"/>
  <c r="F53" i="52"/>
  <c r="AF53" i="52"/>
  <c r="E49" i="52"/>
  <c r="I53" i="52"/>
  <c r="AB53" i="52"/>
  <c r="AC53" i="52"/>
  <c r="P53" i="52"/>
  <c r="O53" i="52"/>
  <c r="L53" i="52"/>
  <c r="J53" i="52"/>
  <c r="R53" i="52"/>
  <c r="M53" i="52"/>
  <c r="X53" i="52"/>
  <c r="S53" i="52"/>
  <c r="AD53" i="52"/>
  <c r="G53" i="52"/>
  <c r="AI53" i="52"/>
  <c r="V53" i="52"/>
  <c r="W53" i="52"/>
  <c r="Q53" i="52"/>
  <c r="AG53" i="52"/>
  <c r="AA53" i="52"/>
  <c r="T53" i="52"/>
  <c r="N53" i="52"/>
  <c r="AH53" i="52"/>
  <c r="K53" i="52"/>
  <c r="Z53" i="52"/>
  <c r="H38" i="52"/>
  <c r="R38" i="52"/>
  <c r="J38" i="52"/>
  <c r="AA38" i="52"/>
  <c r="M38" i="52"/>
  <c r="Q38" i="52"/>
  <c r="AG38" i="52"/>
  <c r="W38" i="52"/>
  <c r="AB38" i="52"/>
  <c r="X38" i="52"/>
  <c r="AE38" i="52"/>
  <c r="L38" i="52"/>
  <c r="O38" i="52"/>
  <c r="U38" i="52"/>
  <c r="P38" i="52"/>
  <c r="G38" i="52"/>
  <c r="AF38" i="52"/>
  <c r="E33" i="52"/>
  <c r="F38" i="52"/>
  <c r="S38" i="52"/>
  <c r="I38" i="52"/>
  <c r="AI38" i="52"/>
  <c r="AC38" i="52"/>
  <c r="Y38" i="52"/>
  <c r="N38" i="52"/>
  <c r="T38" i="52"/>
  <c r="K38" i="52"/>
  <c r="AH38" i="52"/>
  <c r="Z38" i="52"/>
  <c r="AD38" i="52"/>
  <c r="V38" i="52"/>
  <c r="N95" i="52"/>
  <c r="X95" i="52"/>
  <c r="AD95" i="52"/>
  <c r="AI95" i="52"/>
  <c r="M95" i="52"/>
  <c r="I95" i="52"/>
  <c r="AH95" i="52"/>
  <c r="F95" i="52"/>
  <c r="AG95" i="52"/>
  <c r="H95" i="52"/>
  <c r="AC95" i="52"/>
  <c r="Q95" i="52"/>
  <c r="AF95" i="52"/>
  <c r="R95" i="52"/>
  <c r="L95" i="52"/>
  <c r="U95" i="52"/>
  <c r="Y95" i="52"/>
  <c r="K95" i="52"/>
  <c r="E87" i="52"/>
  <c r="AE95" i="52"/>
  <c r="W95" i="52"/>
  <c r="P95" i="52"/>
  <c r="Z95" i="52"/>
  <c r="O95" i="52"/>
  <c r="J95" i="52"/>
  <c r="T95" i="52"/>
  <c r="AA95" i="52"/>
  <c r="AB95" i="52"/>
  <c r="S95" i="52"/>
  <c r="V95" i="52"/>
  <c r="G95" i="52"/>
  <c r="AE77" i="52"/>
  <c r="Z77" i="52"/>
  <c r="E74" i="52"/>
  <c r="AD77" i="52"/>
  <c r="X77" i="52"/>
  <c r="V77" i="52"/>
  <c r="J77" i="52"/>
  <c r="K77" i="52"/>
  <c r="S77" i="52"/>
  <c r="AF77" i="52"/>
  <c r="H77" i="52"/>
  <c r="R77" i="52"/>
  <c r="U77" i="52"/>
  <c r="P77" i="52"/>
  <c r="AI77" i="52"/>
  <c r="Y77" i="52"/>
  <c r="AA77" i="52"/>
  <c r="T77" i="52"/>
  <c r="G77" i="52"/>
  <c r="AC77" i="52"/>
  <c r="I77" i="52"/>
  <c r="Q77" i="52"/>
  <c r="L77" i="52"/>
  <c r="AH77" i="52"/>
  <c r="AB77" i="52"/>
  <c r="O77" i="52"/>
  <c r="W77" i="52"/>
  <c r="N77" i="52"/>
  <c r="F77" i="52"/>
  <c r="AG77" i="52"/>
  <c r="M77" i="52"/>
  <c r="I60" i="52"/>
  <c r="AE60" i="52"/>
  <c r="V60" i="52"/>
  <c r="AD60" i="52"/>
  <c r="AF60" i="52"/>
  <c r="S60" i="52"/>
  <c r="Q60" i="52"/>
  <c r="P60" i="52"/>
  <c r="Z60" i="52"/>
  <c r="G60" i="52"/>
  <c r="L60" i="52"/>
  <c r="J60" i="52"/>
  <c r="O60" i="52"/>
  <c r="AA60" i="52"/>
  <c r="K60" i="52"/>
  <c r="AI60" i="52"/>
  <c r="AH60" i="52"/>
  <c r="W60" i="52"/>
  <c r="N60" i="52"/>
  <c r="T60" i="52"/>
  <c r="E56" i="52"/>
  <c r="Y60" i="52"/>
  <c r="U60" i="52"/>
  <c r="AG60" i="52"/>
  <c r="H60" i="52"/>
  <c r="X60" i="52"/>
  <c r="F60" i="52"/>
  <c r="M60" i="52"/>
  <c r="R60" i="52"/>
  <c r="AB60" i="52"/>
  <c r="AC60" i="52"/>
  <c r="E41" i="52"/>
  <c r="AI105" i="52"/>
  <c r="P105" i="52"/>
  <c r="Z105" i="52"/>
  <c r="Y105" i="52"/>
  <c r="G105" i="52"/>
  <c r="O105" i="52"/>
  <c r="T105" i="52"/>
  <c r="H105" i="52"/>
  <c r="K19" i="51" a="1"/>
  <c r="K19" i="51" s="1"/>
  <c r="L105" i="52"/>
  <c r="AE105" i="52"/>
  <c r="U105" i="52"/>
  <c r="W105" i="52"/>
  <c r="K105" i="52"/>
  <c r="S105" i="52"/>
  <c r="R105" i="52"/>
  <c r="AH105" i="52"/>
  <c r="AB105" i="52"/>
  <c r="AA105" i="52"/>
  <c r="F105" i="52"/>
  <c r="N105" i="52"/>
  <c r="I105" i="52"/>
  <c r="AC105" i="52"/>
  <c r="M105" i="52"/>
  <c r="X105" i="52"/>
  <c r="AF105" i="52"/>
  <c r="AD105" i="52"/>
  <c r="J105" i="52"/>
  <c r="V105" i="52"/>
  <c r="Q105" i="52"/>
  <c r="AG105" i="52"/>
  <c r="E98" i="52"/>
  <c r="M19" i="51" s="1" a="1"/>
  <c r="M19" i="51" s="1"/>
  <c r="L262" i="52"/>
  <c r="O262" i="52"/>
  <c r="Y262" i="52"/>
  <c r="AC262" i="52"/>
  <c r="AI262" i="52"/>
  <c r="U262" i="52"/>
  <c r="N262" i="52"/>
  <c r="Z262" i="52"/>
  <c r="AG262" i="52"/>
  <c r="G262" i="52"/>
  <c r="P262" i="52"/>
  <c r="H262" i="52"/>
  <c r="AB262" i="52"/>
  <c r="J262" i="52"/>
  <c r="AH262" i="52"/>
  <c r="AF262" i="52"/>
  <c r="AD262" i="52"/>
  <c r="E257" i="52"/>
  <c r="T262" i="52"/>
  <c r="Q262" i="52"/>
  <c r="AA262" i="52"/>
  <c r="I262" i="52"/>
  <c r="F262" i="52"/>
  <c r="V262" i="52"/>
  <c r="K262" i="52"/>
  <c r="X262" i="52"/>
  <c r="R262" i="52"/>
  <c r="M262" i="52"/>
  <c r="S262" i="52"/>
  <c r="AE262" i="52"/>
  <c r="W262" i="52"/>
  <c r="E273" i="52"/>
  <c r="X278" i="52"/>
  <c r="Y278" i="52"/>
  <c r="R278" i="52"/>
  <c r="AH278" i="52"/>
  <c r="Q278" i="52"/>
  <c r="L278" i="52"/>
  <c r="AG278" i="52"/>
  <c r="F278" i="52"/>
  <c r="M278" i="52"/>
  <c r="AE278" i="52"/>
  <c r="G278" i="52"/>
  <c r="H278" i="52"/>
  <c r="U278" i="52"/>
  <c r="W278" i="52"/>
  <c r="AI278" i="52"/>
  <c r="AC278" i="52"/>
  <c r="S278" i="52"/>
  <c r="O278" i="52"/>
  <c r="AA278" i="52"/>
  <c r="AD278" i="52"/>
  <c r="J278" i="52"/>
  <c r="T278" i="52"/>
  <c r="Z278" i="52"/>
  <c r="K278" i="52"/>
  <c r="I278" i="52"/>
  <c r="V278" i="52"/>
  <c r="AF278" i="52"/>
  <c r="AB278" i="52"/>
  <c r="P278" i="52"/>
  <c r="N278" i="52"/>
  <c r="U30" i="52"/>
  <c r="P30" i="52"/>
  <c r="N30" i="52"/>
  <c r="J30" i="52"/>
  <c r="S30" i="52"/>
  <c r="AC30" i="52"/>
  <c r="Q30" i="52"/>
  <c r="G30" i="52"/>
  <c r="AA30" i="52"/>
  <c r="W30" i="52"/>
  <c r="T30" i="52"/>
  <c r="AI30" i="52"/>
  <c r="AE30" i="52"/>
  <c r="L30" i="52"/>
  <c r="Y30" i="52"/>
  <c r="O30" i="52"/>
  <c r="X30" i="52"/>
  <c r="AF30" i="52"/>
  <c r="AH30" i="52"/>
  <c r="H30" i="52"/>
  <c r="I30" i="52"/>
  <c r="F30" i="52"/>
  <c r="K30" i="52"/>
  <c r="AG30" i="52"/>
  <c r="M30" i="52"/>
  <c r="AD30" i="52"/>
  <c r="AB30" i="52"/>
  <c r="Z30" i="52"/>
  <c r="R30" i="52"/>
  <c r="V30" i="52"/>
  <c r="E26" i="52"/>
  <c r="AG23" i="52"/>
  <c r="W23" i="52"/>
  <c r="AB23" i="52"/>
  <c r="AC23" i="52"/>
  <c r="AH23" i="52"/>
  <c r="E19" i="52"/>
  <c r="AE23" i="52"/>
  <c r="T23" i="52"/>
  <c r="X23" i="52"/>
  <c r="S23" i="52"/>
  <c r="V23" i="52"/>
  <c r="AI23" i="52"/>
  <c r="F23" i="52"/>
  <c r="Z23" i="52"/>
  <c r="K23" i="52"/>
  <c r="AF23" i="52"/>
  <c r="AA23" i="52"/>
  <c r="P23" i="52"/>
  <c r="O23" i="52"/>
  <c r="H23" i="52"/>
  <c r="Y23" i="52"/>
  <c r="I23" i="52"/>
  <c r="M23" i="52"/>
  <c r="Q23" i="52"/>
  <c r="N23" i="52"/>
  <c r="AD23" i="52"/>
  <c r="J23" i="52"/>
  <c r="U23" i="52"/>
  <c r="R23" i="52"/>
  <c r="G23" i="52"/>
  <c r="L23" i="52"/>
  <c r="AB128" i="52"/>
  <c r="Y128" i="52"/>
  <c r="K128" i="52"/>
  <c r="J128" i="52"/>
  <c r="AI128" i="52"/>
  <c r="T128" i="52"/>
  <c r="W128" i="52"/>
  <c r="G128" i="52"/>
  <c r="E123" i="52"/>
  <c r="K18" i="51" a="1"/>
  <c r="K18" i="51" s="1"/>
  <c r="H128" i="52"/>
  <c r="I128" i="52"/>
  <c r="AH128" i="52"/>
  <c r="O128" i="52"/>
  <c r="O7" i="52" s="1" a="1"/>
  <c r="O7" i="52" s="1"/>
  <c r="J18" i="51" s="1"/>
  <c r="K17" i="51" a="1"/>
  <c r="K17" i="51" s="1"/>
  <c r="AE128" i="52"/>
  <c r="Q128" i="52"/>
  <c r="K24" i="51" a="1"/>
  <c r="K24" i="51" s="1"/>
  <c r="Z128" i="52"/>
  <c r="S128" i="52"/>
  <c r="L128" i="52"/>
  <c r="AA128" i="52"/>
  <c r="R128" i="52"/>
  <c r="AG128" i="52"/>
  <c r="AC128" i="52"/>
  <c r="AF128" i="52"/>
  <c r="P128" i="52"/>
  <c r="U128" i="52"/>
  <c r="U7" i="52" s="1" a="1"/>
  <c r="U7" i="52" s="1"/>
  <c r="J24" i="51" s="1"/>
  <c r="V128" i="52"/>
  <c r="N128" i="52"/>
  <c r="N7" i="52" s="1" a="1"/>
  <c r="N7" i="52" s="1"/>
  <c r="J17" i="51" s="1"/>
  <c r="AD128" i="52"/>
  <c r="F128" i="52"/>
  <c r="M128" i="52"/>
  <c r="X128" i="52"/>
  <c r="Z71" i="52"/>
  <c r="W71" i="52"/>
  <c r="M71" i="52"/>
  <c r="AE71" i="52"/>
  <c r="I71" i="52"/>
  <c r="X71" i="52"/>
  <c r="G71" i="52"/>
  <c r="J71" i="52"/>
  <c r="Y71" i="52"/>
  <c r="AI71" i="52"/>
  <c r="AD71" i="52"/>
  <c r="S71" i="52"/>
  <c r="V71" i="52"/>
  <c r="T71" i="52"/>
  <c r="E63" i="52"/>
  <c r="AG71" i="52"/>
  <c r="R71" i="52"/>
  <c r="K71" i="52"/>
  <c r="AF71" i="52"/>
  <c r="AA71" i="52"/>
  <c r="N71" i="52"/>
  <c r="AC71" i="52"/>
  <c r="O71" i="52"/>
  <c r="L71" i="52"/>
  <c r="AB71" i="52"/>
  <c r="U71" i="52"/>
  <c r="Q71" i="52"/>
  <c r="P71" i="52"/>
  <c r="H71" i="52"/>
  <c r="F71" i="52"/>
  <c r="AH71" i="52"/>
  <c r="E22" i="14"/>
  <c r="P65" i="14"/>
  <c r="O65" i="14"/>
  <c r="N65" i="14"/>
  <c r="I65" i="14"/>
  <c r="L22" i="14"/>
  <c r="O22" i="14"/>
  <c r="N22" i="14"/>
  <c r="K22" i="14"/>
  <c r="E65" i="14"/>
  <c r="F65" i="14"/>
  <c r="H65" i="14"/>
  <c r="G65" i="14"/>
  <c r="D22" i="14"/>
  <c r="I22" i="14"/>
  <c r="M65" i="14"/>
  <c r="H22" i="14"/>
  <c r="G22" i="14"/>
  <c r="F22" i="14"/>
  <c r="J22" i="14"/>
  <c r="M22" i="14"/>
  <c r="L65" i="14"/>
  <c r="K65" i="14"/>
  <c r="J65" i="14"/>
  <c r="D65" i="14"/>
  <c r="I17" i="51" l="1"/>
  <c r="I18" i="51"/>
  <c r="P7" i="52" a="1"/>
  <c r="P7" i="52" s="1"/>
  <c r="J19" i="51" s="1"/>
  <c r="M7" i="52" a="1"/>
  <c r="M7" i="52" s="1"/>
  <c r="J16" i="51" s="1"/>
  <c r="L7" i="52" a="1"/>
  <c r="L7" i="52" s="1"/>
  <c r="J15" i="51" s="1"/>
  <c r="M13" i="51" a="1"/>
  <c r="M13" i="51" s="1"/>
  <c r="J7" i="52" a="1"/>
  <c r="J7" i="52" s="1"/>
  <c r="J13" i="51" s="1"/>
  <c r="K7" i="52" a="1"/>
  <c r="K7" i="52" s="1"/>
  <c r="J14" i="51" s="1"/>
  <c r="I14" i="51" s="1"/>
  <c r="X14" i="51" s="1"/>
  <c r="H7" i="52" a="1"/>
  <c r="H7" i="52" s="1"/>
  <c r="J11" i="51" s="1"/>
  <c r="I11" i="51" s="1"/>
  <c r="X11" i="51" s="1"/>
  <c r="G7" i="52" a="1"/>
  <c r="G7" i="52" s="1"/>
  <c r="J10" i="51" s="1"/>
  <c r="I10" i="51" s="1"/>
  <c r="X10" i="51" s="1"/>
  <c r="I7" i="52" a="1"/>
  <c r="I7" i="52" s="1"/>
  <c r="J12" i="51" s="1"/>
  <c r="I12" i="51" s="1"/>
  <c r="X12" i="51" s="1"/>
  <c r="F7" i="52" a="1"/>
  <c r="F7" i="52" s="1"/>
  <c r="J9" i="51" s="1"/>
  <c r="I9" i="51" s="1"/>
  <c r="X9" i="51" s="1"/>
  <c r="X18" i="51"/>
  <c r="I24" i="51"/>
  <c r="X24" i="51" s="1"/>
  <c r="X17" i="51"/>
  <c r="I21" i="51"/>
  <c r="X21" i="51" s="1"/>
  <c r="I20" i="51"/>
  <c r="X20" i="51" s="1"/>
  <c r="I22" i="51"/>
  <c r="X22" i="51" s="1"/>
  <c r="M21" i="51" a="1"/>
  <c r="M21" i="51" s="1"/>
  <c r="M15" i="51" a="1"/>
  <c r="M15" i="51" s="1"/>
  <c r="M20" i="51" a="1"/>
  <c r="M20" i="51" s="1"/>
  <c r="M11" i="51" a="1"/>
  <c r="M11" i="51" s="1"/>
  <c r="M16" i="51" a="1"/>
  <c r="M16" i="51" s="1"/>
  <c r="M9" i="51" a="1"/>
  <c r="M9" i="51" s="1"/>
  <c r="M10" i="51" a="1"/>
  <c r="M10" i="51" s="1"/>
  <c r="M12" i="51" a="1"/>
  <c r="M12" i="51" s="1"/>
  <c r="M14" i="51" a="1"/>
  <c r="M14" i="51" s="1"/>
  <c r="M22" i="51" a="1"/>
  <c r="M22" i="51" s="1"/>
  <c r="M17" i="51" a="1"/>
  <c r="M17" i="51" s="1"/>
  <c r="M18" i="51" a="1"/>
  <c r="M18" i="51" s="1"/>
  <c r="M24" i="51" a="1"/>
  <c r="M24" i="51" s="1"/>
  <c r="N60" i="14"/>
  <c r="O60" i="14"/>
  <c r="P60" i="14"/>
  <c r="E17" i="14"/>
  <c r="I17" i="14"/>
  <c r="M17" i="14"/>
  <c r="G60" i="14"/>
  <c r="K60" i="14"/>
  <c r="F17" i="14"/>
  <c r="J17" i="14"/>
  <c r="N17" i="14"/>
  <c r="H60" i="14"/>
  <c r="L60" i="14"/>
  <c r="G17" i="14"/>
  <c r="K17" i="14"/>
  <c r="O17" i="14"/>
  <c r="E60" i="14"/>
  <c r="I60" i="14"/>
  <c r="M60" i="14"/>
  <c r="H17" i="14"/>
  <c r="L17" i="14"/>
  <c r="D17" i="14"/>
  <c r="F60" i="14"/>
  <c r="J60" i="14"/>
  <c r="D60" i="14"/>
  <c r="K16" i="14"/>
  <c r="L16" i="14"/>
  <c r="M16" i="14"/>
  <c r="N16" i="14"/>
  <c r="O16" i="14"/>
  <c r="I15" i="51" l="1"/>
  <c r="X15" i="51" s="1"/>
  <c r="I19" i="51"/>
  <c r="X19" i="51" s="1"/>
  <c r="I16" i="51"/>
  <c r="X16" i="51" s="1"/>
  <c r="I13" i="51"/>
  <c r="X13" i="51" s="1"/>
  <c r="H64" i="14"/>
  <c r="O21" i="14"/>
  <c r="N21" i="14"/>
  <c r="E64" i="14"/>
  <c r="L21" i="14"/>
  <c r="L15" i="14"/>
  <c r="F21" i="14"/>
  <c r="K64" i="14"/>
  <c r="E21" i="14"/>
  <c r="K15" i="14"/>
  <c r="G64" i="14"/>
  <c r="J64" i="14"/>
  <c r="M21" i="14"/>
  <c r="L64" i="14"/>
  <c r="O15" i="14"/>
  <c r="I21" i="14"/>
  <c r="N15" i="14"/>
  <c r="G21" i="14"/>
  <c r="K21" i="14"/>
  <c r="M64" i="14"/>
  <c r="J21" i="14"/>
  <c r="M15" i="14"/>
  <c r="H21" i="14"/>
  <c r="D64" i="14"/>
  <c r="F64" i="14"/>
  <c r="I64" i="14"/>
  <c r="H8" i="10" l="1"/>
  <c r="D59" i="14" s="1"/>
  <c r="H20" i="10"/>
  <c r="G16" i="14" s="1"/>
  <c r="H14" i="10"/>
  <c r="J59" i="14" s="1"/>
  <c r="H11" i="10"/>
  <c r="G59" i="14" s="1"/>
  <c r="H22" i="10"/>
  <c r="H19" i="10"/>
  <c r="O59" i="14" s="1"/>
  <c r="H15" i="10"/>
  <c r="K59" i="14" s="1"/>
  <c r="H27" i="10"/>
  <c r="H23" i="10"/>
  <c r="H28" i="10"/>
  <c r="H12" i="10"/>
  <c r="H59" i="14" s="1"/>
  <c r="F7" i="51"/>
  <c r="H16" i="10"/>
  <c r="L59" i="14" s="1"/>
  <c r="H24" i="10"/>
  <c r="H26" i="10"/>
  <c r="H9" i="10"/>
  <c r="E59" i="14" s="1"/>
  <c r="H17" i="10"/>
  <c r="M59" i="14" s="1"/>
  <c r="H13" i="10"/>
  <c r="I59" i="14" s="1"/>
  <c r="H10" i="10"/>
  <c r="F59" i="14" s="1"/>
  <c r="H18" i="10"/>
  <c r="E83" i="14" s="1"/>
  <c r="H21" i="10"/>
  <c r="H83" i="14" s="1"/>
  <c r="H25" i="10"/>
  <c r="J6" i="60"/>
  <c r="P86" i="14"/>
  <c r="P87" i="14" s="1"/>
  <c r="O86" i="14"/>
  <c r="N86" i="14"/>
  <c r="O62" i="14"/>
  <c r="O80" i="14" s="1"/>
  <c r="N62" i="14"/>
  <c r="N80" i="14" s="1"/>
  <c r="P62" i="14"/>
  <c r="P80" i="14" s="1"/>
  <c r="O67" i="14"/>
  <c r="O81" i="14" s="1"/>
  <c r="N67" i="14"/>
  <c r="N81" i="14" s="1"/>
  <c r="P67" i="14"/>
  <c r="P81" i="14" s="1"/>
  <c r="O30" i="14"/>
  <c r="N30" i="14"/>
  <c r="L30" i="14"/>
  <c r="M30" i="14"/>
  <c r="F30" i="14"/>
  <c r="I30" i="14"/>
  <c r="K30" i="14"/>
  <c r="J30" i="14"/>
  <c r="E30" i="14"/>
  <c r="G30" i="14"/>
  <c r="H30" i="14"/>
  <c r="F48" i="14" l="1"/>
  <c r="P59" i="14"/>
  <c r="F16" i="14"/>
  <c r="F83" i="14"/>
  <c r="H48" i="14"/>
  <c r="G48" i="14"/>
  <c r="G83" i="14"/>
  <c r="E16" i="14"/>
  <c r="E48" i="14"/>
  <c r="N59" i="14"/>
  <c r="H16" i="14"/>
  <c r="BC5" i="36"/>
  <c r="AI5" i="36"/>
  <c r="O5" i="36"/>
  <c r="H9" i="36"/>
  <c r="P88" i="14"/>
  <c r="P82" i="14"/>
  <c r="N82" i="14"/>
  <c r="F9" i="36"/>
  <c r="J9" i="36"/>
  <c r="I9" i="36"/>
  <c r="AS5" i="36"/>
  <c r="K9" i="36"/>
  <c r="O82" i="14"/>
  <c r="G9" i="36"/>
  <c r="Y5" i="36"/>
  <c r="N88" i="14"/>
  <c r="N87" i="14"/>
  <c r="O87" i="14"/>
  <c r="O88" i="14"/>
  <c r="I83" i="14"/>
  <c r="I48" i="14"/>
  <c r="I16" i="14"/>
  <c r="N8" i="24" l="1"/>
  <c r="X22" i="24"/>
  <c r="N29" i="24"/>
  <c r="B1" i="42"/>
  <c r="A4" i="42" s="1"/>
  <c r="J83" i="14"/>
  <c r="J48" i="14"/>
  <c r="K48" i="14" s="1"/>
  <c r="L48" i="14" s="1"/>
  <c r="M48" i="14" s="1"/>
  <c r="N48" i="14" s="1"/>
  <c r="O48" i="14" s="1"/>
  <c r="J16" i="14"/>
  <c r="N21" i="24"/>
  <c r="O19" i="24" l="1"/>
  <c r="X26" i="24"/>
  <c r="X17" i="24" a="1"/>
  <c r="X17" i="24" s="1"/>
  <c r="W25" i="24" s="1"/>
  <c r="X24" i="24"/>
  <c r="X27" i="24"/>
  <c r="W27" i="24" s="1"/>
  <c r="O26" i="24"/>
  <c r="O27" i="24" s="1"/>
  <c r="N19" i="24"/>
  <c r="A5" i="42"/>
  <c r="B4" i="42"/>
  <c r="E4" i="42"/>
  <c r="Q30" i="24" l="1"/>
  <c r="P22" i="24"/>
  <c r="P33" i="24" s="1"/>
  <c r="W26" i="24"/>
  <c r="X25" i="24"/>
  <c r="N26" i="24"/>
  <c r="X23" i="24" s="1"/>
  <c r="N22" i="24"/>
  <c r="O28" i="24"/>
  <c r="O22" i="24"/>
  <c r="D4" i="42"/>
  <c r="C4" i="42"/>
  <c r="E5" i="42"/>
  <c r="B5" i="42"/>
  <c r="A6" i="42"/>
  <c r="S23" i="24" l="1"/>
  <c r="S24" i="24" s="1"/>
  <c r="S26" i="24" s="1"/>
  <c r="F4" i="42"/>
  <c r="E6" i="42"/>
  <c r="A7" i="42"/>
  <c r="B6" i="42"/>
  <c r="D5" i="42"/>
  <c r="C5" i="42"/>
  <c r="F5" i="42" l="1"/>
  <c r="D6" i="42"/>
  <c r="C6" i="42"/>
  <c r="E7" i="42"/>
  <c r="B7" i="42"/>
  <c r="A8" i="42"/>
  <c r="F3" i="4" l="1"/>
  <c r="G3" i="1" s="1"/>
  <c r="I3" i="1" s="1"/>
  <c r="F6" i="42"/>
  <c r="D7" i="42"/>
  <c r="C7" i="42"/>
  <c r="E8" i="42"/>
  <c r="B8" i="42"/>
  <c r="A9" i="42"/>
  <c r="H3" i="4" l="1"/>
  <c r="G3" i="4"/>
  <c r="F7" i="42"/>
  <c r="D8" i="42"/>
  <c r="C8" i="42"/>
  <c r="E9" i="42"/>
  <c r="A10" i="42"/>
  <c r="B9" i="42"/>
  <c r="F4" i="28"/>
  <c r="G4" i="28" s="1"/>
  <c r="I4" i="28" s="1"/>
  <c r="B3" i="28"/>
  <c r="F8" i="42" l="1"/>
  <c r="E10" i="42"/>
  <c r="A11" i="42"/>
  <c r="B10" i="42"/>
  <c r="D9" i="42"/>
  <c r="C9" i="42"/>
  <c r="F3" i="28"/>
  <c r="H4" i="28"/>
  <c r="F242" i="28" l="1"/>
  <c r="G242" i="28" s="1"/>
  <c r="F226" i="28"/>
  <c r="G226" i="28" s="1"/>
  <c r="F207" i="28"/>
  <c r="G207" i="28" s="1"/>
  <c r="F185" i="28"/>
  <c r="G185" i="28" s="1"/>
  <c r="F164" i="28"/>
  <c r="G164" i="28" s="1"/>
  <c r="F233" i="28"/>
  <c r="G233" i="28" s="1"/>
  <c r="F216" i="28"/>
  <c r="G216" i="28" s="1"/>
  <c r="F195" i="28"/>
  <c r="G195" i="28" s="1"/>
  <c r="F173" i="28"/>
  <c r="G173" i="28" s="1"/>
  <c r="F236" i="28"/>
  <c r="G236" i="28" s="1"/>
  <c r="F220" i="28"/>
  <c r="G220" i="28" s="1"/>
  <c r="F199" i="28"/>
  <c r="G199" i="28" s="1"/>
  <c r="F177" i="28"/>
  <c r="G177" i="28" s="1"/>
  <c r="F239" i="28"/>
  <c r="G239" i="28" s="1"/>
  <c r="F223" i="28"/>
  <c r="G223" i="28" s="1"/>
  <c r="F203" i="28"/>
  <c r="G203" i="28" s="1"/>
  <c r="F181" i="28"/>
  <c r="G181" i="28" s="1"/>
  <c r="F214" i="28"/>
  <c r="G214" i="28" s="1"/>
  <c r="F198" i="28"/>
  <c r="G198" i="28" s="1"/>
  <c r="F182" i="28"/>
  <c r="G182" i="28" s="1"/>
  <c r="F166" i="28"/>
  <c r="G166" i="28" s="1"/>
  <c r="F65" i="28"/>
  <c r="G65" i="28" s="1"/>
  <c r="I65" i="28" s="1"/>
  <c r="F238" i="28"/>
  <c r="G238" i="28" s="1"/>
  <c r="F222" i="28"/>
  <c r="G222" i="28" s="1"/>
  <c r="F201" i="28"/>
  <c r="G201" i="28" s="1"/>
  <c r="F180" i="28"/>
  <c r="G180" i="28" s="1"/>
  <c r="F5" i="28"/>
  <c r="G5" i="28" s="1"/>
  <c r="I5" i="28" s="1"/>
  <c r="F229" i="28"/>
  <c r="G229" i="28" s="1"/>
  <c r="F211" i="28"/>
  <c r="G211" i="28" s="1"/>
  <c r="F189" i="28"/>
  <c r="G189" i="28" s="1"/>
  <c r="F168" i="28"/>
  <c r="G168" i="28" s="1"/>
  <c r="F141" i="28"/>
  <c r="G141" i="28" s="1"/>
  <c r="F232" i="28"/>
  <c r="G232" i="28" s="1"/>
  <c r="F215" i="28"/>
  <c r="G215" i="28" s="1"/>
  <c r="F193" i="28"/>
  <c r="G193" i="28" s="1"/>
  <c r="F172" i="28"/>
  <c r="G172" i="28" s="1"/>
  <c r="F235" i="28"/>
  <c r="G235" i="28" s="1"/>
  <c r="F219" i="28"/>
  <c r="G219" i="28" s="1"/>
  <c r="F197" i="28"/>
  <c r="G197" i="28" s="1"/>
  <c r="F176" i="28"/>
  <c r="G176" i="28" s="1"/>
  <c r="F12" i="28"/>
  <c r="G12" i="28" s="1"/>
  <c r="I12" i="28" s="1"/>
  <c r="F210" i="28"/>
  <c r="G210" i="28" s="1"/>
  <c r="F194" i="28"/>
  <c r="G194" i="28" s="1"/>
  <c r="F178" i="28"/>
  <c r="G178" i="28" s="1"/>
  <c r="F234" i="28"/>
  <c r="G234" i="28" s="1"/>
  <c r="F217" i="28"/>
  <c r="G217" i="28" s="1"/>
  <c r="F196" i="28"/>
  <c r="G196" i="28" s="1"/>
  <c r="F175" i="28"/>
  <c r="G175" i="28" s="1"/>
  <c r="F241" i="28"/>
  <c r="G241" i="28" s="1"/>
  <c r="F225" i="28"/>
  <c r="G225" i="28" s="1"/>
  <c r="F205" i="28"/>
  <c r="G205" i="28" s="1"/>
  <c r="F184" i="28"/>
  <c r="G184" i="28" s="1"/>
  <c r="F163" i="28"/>
  <c r="G163" i="28" s="1"/>
  <c r="F228" i="28"/>
  <c r="G228" i="28" s="1"/>
  <c r="F209" i="28"/>
  <c r="G209" i="28" s="1"/>
  <c r="F188" i="28"/>
  <c r="G188" i="28" s="1"/>
  <c r="F167" i="28"/>
  <c r="G167" i="28" s="1"/>
  <c r="F231" i="28"/>
  <c r="G231" i="28" s="1"/>
  <c r="F213" i="28"/>
  <c r="G213" i="28" s="1"/>
  <c r="F192" i="28"/>
  <c r="G192" i="28" s="1"/>
  <c r="F171" i="28"/>
  <c r="G171" i="28" s="1"/>
  <c r="F206" i="28"/>
  <c r="G206" i="28" s="1"/>
  <c r="F190" i="28"/>
  <c r="G190" i="28" s="1"/>
  <c r="F174" i="28"/>
  <c r="G174" i="28" s="1"/>
  <c r="F230" i="28"/>
  <c r="G230" i="28" s="1"/>
  <c r="F212" i="28"/>
  <c r="G212" i="28" s="1"/>
  <c r="F191" i="28"/>
  <c r="G191" i="28" s="1"/>
  <c r="F169" i="28"/>
  <c r="G169" i="28" s="1"/>
  <c r="F237" i="28"/>
  <c r="G237" i="28" s="1"/>
  <c r="F221" i="28"/>
  <c r="G221" i="28" s="1"/>
  <c r="F200" i="28"/>
  <c r="G200" i="28" s="1"/>
  <c r="F179" i="28"/>
  <c r="G179" i="28" s="1"/>
  <c r="F240" i="28"/>
  <c r="G240" i="28" s="1"/>
  <c r="F224" i="28"/>
  <c r="G224" i="28" s="1"/>
  <c r="F204" i="28"/>
  <c r="G204" i="28" s="1"/>
  <c r="F183" i="28"/>
  <c r="G183" i="28" s="1"/>
  <c r="F243" i="28"/>
  <c r="G243" i="28" s="1"/>
  <c r="F227" i="28"/>
  <c r="G227" i="28" s="1"/>
  <c r="F208" i="28"/>
  <c r="G208" i="28" s="1"/>
  <c r="F187" i="28"/>
  <c r="G187" i="28" s="1"/>
  <c r="F165" i="28"/>
  <c r="G165" i="28" s="1"/>
  <c r="F218" i="28"/>
  <c r="G218" i="28" s="1"/>
  <c r="F202" i="28"/>
  <c r="G202" i="28" s="1"/>
  <c r="F186" i="28"/>
  <c r="G186" i="28" s="1"/>
  <c r="F170" i="28"/>
  <c r="G170" i="28" s="1"/>
  <c r="F9" i="42"/>
  <c r="D10" i="42"/>
  <c r="C10" i="42"/>
  <c r="E11" i="42"/>
  <c r="A12" i="42"/>
  <c r="B11" i="42"/>
  <c r="F4" i="16"/>
  <c r="G4" i="16" s="1"/>
  <c r="I4" i="16" s="1"/>
  <c r="B3" i="16"/>
  <c r="F4" i="15"/>
  <c r="G4" i="15" s="1"/>
  <c r="I4" i="15" s="1"/>
  <c r="B3" i="15"/>
  <c r="F30" i="28" l="1"/>
  <c r="G30" i="28" s="1"/>
  <c r="I30" i="28" s="1"/>
  <c r="F143" i="28"/>
  <c r="G143" i="28" s="1"/>
  <c r="F74" i="28"/>
  <c r="F73" i="28"/>
  <c r="F48" i="28"/>
  <c r="G48" i="28" s="1"/>
  <c r="I48" i="28" s="1"/>
  <c r="F23" i="28"/>
  <c r="F22" i="28"/>
  <c r="F90" i="28"/>
  <c r="G90" i="28" s="1"/>
  <c r="I90" i="28" s="1"/>
  <c r="F88" i="28"/>
  <c r="G88" i="28" s="1"/>
  <c r="I88" i="28" s="1"/>
  <c r="F89" i="28"/>
  <c r="F111" i="28"/>
  <c r="G111" i="28" s="1"/>
  <c r="F135" i="28"/>
  <c r="G135" i="28" s="1"/>
  <c r="F114" i="28"/>
  <c r="G114" i="28" s="1"/>
  <c r="F38" i="28"/>
  <c r="G38" i="28" s="1"/>
  <c r="I38" i="28" s="1"/>
  <c r="F106" i="28"/>
  <c r="F39" i="28"/>
  <c r="G39" i="28" s="1"/>
  <c r="I39" i="28" s="1"/>
  <c r="F132" i="28"/>
  <c r="G132" i="28" s="1"/>
  <c r="F14" i="28"/>
  <c r="F11" i="28"/>
  <c r="F145" i="28"/>
  <c r="G145" i="28" s="1"/>
  <c r="F13" i="28"/>
  <c r="F87" i="28"/>
  <c r="G87" i="28" s="1"/>
  <c r="I87" i="28" s="1"/>
  <c r="F54" i="28"/>
  <c r="F71" i="28"/>
  <c r="F161" i="28"/>
  <c r="G161" i="28" s="1"/>
  <c r="F43" i="28"/>
  <c r="G43" i="28" s="1"/>
  <c r="I43" i="28" s="1"/>
  <c r="F146" i="28"/>
  <c r="G146" i="28" s="1"/>
  <c r="F157" i="28"/>
  <c r="G157" i="28" s="1"/>
  <c r="F20" i="28"/>
  <c r="G20" i="28" s="1"/>
  <c r="I20" i="28" s="1"/>
  <c r="F138" i="28"/>
  <c r="G138" i="28" s="1"/>
  <c r="F46" i="28"/>
  <c r="G46" i="28" s="1"/>
  <c r="I46" i="28" s="1"/>
  <c r="F162" i="28"/>
  <c r="G162" i="28" s="1"/>
  <c r="F72" i="28"/>
  <c r="G72" i="28" s="1"/>
  <c r="I72" i="28" s="1"/>
  <c r="F154" i="28"/>
  <c r="G154" i="28" s="1"/>
  <c r="F104" i="28"/>
  <c r="F102" i="28"/>
  <c r="G102" i="28" s="1"/>
  <c r="F124" i="28"/>
  <c r="F144" i="28"/>
  <c r="F125" i="28"/>
  <c r="G125" i="28" s="1"/>
  <c r="F118" i="28"/>
  <c r="G118" i="28" s="1"/>
  <c r="F153" i="28"/>
  <c r="G153" i="28" s="1"/>
  <c r="F16" i="28"/>
  <c r="G16" i="28" s="1"/>
  <c r="I16" i="28" s="1"/>
  <c r="F36" i="28"/>
  <c r="F64" i="28"/>
  <c r="G64" i="28" s="1"/>
  <c r="I64" i="28" s="1"/>
  <c r="F121" i="28"/>
  <c r="F134" i="28"/>
  <c r="F110" i="28"/>
  <c r="G110" i="28" s="1"/>
  <c r="F119" i="28"/>
  <c r="G119" i="28" s="1"/>
  <c r="F17" i="28"/>
  <c r="F137" i="28"/>
  <c r="F126" i="28"/>
  <c r="F140" i="28"/>
  <c r="F34" i="28"/>
  <c r="G34" i="28" s="1"/>
  <c r="I34" i="28" s="1"/>
  <c r="F33" i="28"/>
  <c r="F50" i="28"/>
  <c r="G50" i="28" s="1"/>
  <c r="I50" i="28" s="1"/>
  <c r="F160" i="28"/>
  <c r="G160" i="28" s="1"/>
  <c r="F26" i="28"/>
  <c r="F67" i="28"/>
  <c r="F25" i="28"/>
  <c r="G25" i="28" s="1"/>
  <c r="I25" i="28" s="1"/>
  <c r="F142" i="28"/>
  <c r="G142" i="28" s="1"/>
  <c r="F107" i="28"/>
  <c r="F109" i="28"/>
  <c r="G109" i="28" s="1"/>
  <c r="F84" i="28"/>
  <c r="F42" i="28"/>
  <c r="G42" i="28" s="1"/>
  <c r="I42" i="28" s="1"/>
  <c r="F158" i="28"/>
  <c r="G158" i="28" s="1"/>
  <c r="F66" i="28"/>
  <c r="F81" i="28"/>
  <c r="G81" i="28" s="1"/>
  <c r="I81" i="28" s="1"/>
  <c r="F131" i="28"/>
  <c r="G131" i="28" s="1"/>
  <c r="F116" i="28"/>
  <c r="G116" i="28" s="1"/>
  <c r="F28" i="28"/>
  <c r="G28" i="28" s="1"/>
  <c r="I28" i="28" s="1"/>
  <c r="F92" i="28"/>
  <c r="F98" i="28"/>
  <c r="F113" i="28"/>
  <c r="F6" i="28"/>
  <c r="F59" i="28"/>
  <c r="G59" i="28" s="1"/>
  <c r="I59" i="28" s="1"/>
  <c r="F7" i="28"/>
  <c r="F55" i="28"/>
  <c r="F147" i="28"/>
  <c r="F80" i="28"/>
  <c r="F91" i="28"/>
  <c r="G91" i="28" s="1"/>
  <c r="I91" i="28" s="1"/>
  <c r="F130" i="28"/>
  <c r="G130" i="28" s="1"/>
  <c r="F129" i="28"/>
  <c r="G129" i="28" s="1"/>
  <c r="F115" i="28"/>
  <c r="F122" i="28"/>
  <c r="G122" i="28" s="1"/>
  <c r="F40" i="28"/>
  <c r="F29" i="28"/>
  <c r="F112" i="28"/>
  <c r="F70" i="28"/>
  <c r="F21" i="28"/>
  <c r="G21" i="28" s="1"/>
  <c r="I21" i="28" s="1"/>
  <c r="F101" i="28"/>
  <c r="F108" i="28"/>
  <c r="G108" i="28" s="1"/>
  <c r="F75" i="28"/>
  <c r="F45" i="28"/>
  <c r="F133" i="28"/>
  <c r="G133" i="28" s="1"/>
  <c r="F86" i="28"/>
  <c r="F52" i="28"/>
  <c r="G52" i="28" s="1"/>
  <c r="I52" i="28" s="1"/>
  <c r="F8" i="28"/>
  <c r="G8" i="28" s="1"/>
  <c r="I8" i="28" s="1"/>
  <c r="F37" i="28"/>
  <c r="G37" i="28" s="1"/>
  <c r="I37" i="28" s="1"/>
  <c r="F123" i="28"/>
  <c r="F62" i="28"/>
  <c r="F61" i="28"/>
  <c r="F155" i="28"/>
  <c r="G155" i="28" s="1"/>
  <c r="F31" i="28"/>
  <c r="F96" i="28"/>
  <c r="G96" i="28" s="1"/>
  <c r="I96" i="28" s="1"/>
  <c r="F53" i="28"/>
  <c r="F78" i="28"/>
  <c r="F77" i="28"/>
  <c r="G77" i="28" s="1"/>
  <c r="I77" i="28" s="1"/>
  <c r="F32" i="28"/>
  <c r="F63" i="28"/>
  <c r="G63" i="28" s="1"/>
  <c r="I63" i="28" s="1"/>
  <c r="F136" i="28"/>
  <c r="F68" i="28"/>
  <c r="G68" i="28" s="1"/>
  <c r="I68" i="28" s="1"/>
  <c r="F94" i="28"/>
  <c r="G94" i="28" s="1"/>
  <c r="I94" i="28" s="1"/>
  <c r="F24" i="28"/>
  <c r="F93" i="28"/>
  <c r="G93" i="28" s="1"/>
  <c r="I93" i="28" s="1"/>
  <c r="F105" i="28"/>
  <c r="F95" i="28"/>
  <c r="F69" i="28"/>
  <c r="F100" i="28"/>
  <c r="G100" i="28" s="1"/>
  <c r="F15" i="28"/>
  <c r="F103" i="28"/>
  <c r="G103" i="28" s="1"/>
  <c r="F18" i="28"/>
  <c r="G18" i="28" s="1"/>
  <c r="I18" i="28" s="1"/>
  <c r="F19" i="28"/>
  <c r="G19" i="28" s="1"/>
  <c r="I19" i="28" s="1"/>
  <c r="F152" i="28"/>
  <c r="G152" i="28" s="1"/>
  <c r="F150" i="28"/>
  <c r="F117" i="28"/>
  <c r="F85" i="28"/>
  <c r="G85" i="28" s="1"/>
  <c r="I85" i="28" s="1"/>
  <c r="F76" i="28"/>
  <c r="G76" i="28" s="1"/>
  <c r="I76" i="28" s="1"/>
  <c r="F47" i="28"/>
  <c r="G47" i="28" s="1"/>
  <c r="I47" i="28" s="1"/>
  <c r="F151" i="28"/>
  <c r="G151" i="28" s="1"/>
  <c r="F51" i="28"/>
  <c r="G51" i="28" s="1"/>
  <c r="I51" i="28" s="1"/>
  <c r="F139" i="28"/>
  <c r="F10" i="28"/>
  <c r="F35" i="28"/>
  <c r="F127" i="28"/>
  <c r="F9" i="28"/>
  <c r="F79" i="28"/>
  <c r="G79" i="28" s="1"/>
  <c r="I79" i="28" s="1"/>
  <c r="F83" i="28"/>
  <c r="G83" i="28" s="1"/>
  <c r="I83" i="28" s="1"/>
  <c r="F49" i="28"/>
  <c r="F156" i="28"/>
  <c r="G156" i="28" s="1"/>
  <c r="F60" i="28"/>
  <c r="G60" i="28" s="1"/>
  <c r="I60" i="28" s="1"/>
  <c r="F99" i="28"/>
  <c r="G99" i="28" s="1"/>
  <c r="I99" i="28" s="1"/>
  <c r="F41" i="28"/>
  <c r="F128" i="28"/>
  <c r="G128" i="28" s="1"/>
  <c r="F58" i="28"/>
  <c r="G58" i="28" s="1"/>
  <c r="I58" i="28" s="1"/>
  <c r="F120" i="28"/>
  <c r="F57" i="28"/>
  <c r="F149" i="28"/>
  <c r="F82" i="28"/>
  <c r="G82" i="28" s="1"/>
  <c r="I82" i="28" s="1"/>
  <c r="F44" i="28"/>
  <c r="F56" i="28"/>
  <c r="G56" i="28" s="1"/>
  <c r="I56" i="28" s="1"/>
  <c r="F97" i="28"/>
  <c r="G97" i="28" s="1"/>
  <c r="I97" i="28" s="1"/>
  <c r="F27" i="28"/>
  <c r="G27" i="28" s="1"/>
  <c r="I27" i="28" s="1"/>
  <c r="F159" i="28"/>
  <c r="G159" i="28" s="1"/>
  <c r="F148" i="28"/>
  <c r="G148" i="28" s="1"/>
  <c r="H191" i="28"/>
  <c r="H230" i="28"/>
  <c r="H171" i="28"/>
  <c r="H188" i="28"/>
  <c r="H163" i="28"/>
  <c r="H241" i="28"/>
  <c r="H176" i="28"/>
  <c r="H238" i="28"/>
  <c r="H218" i="28"/>
  <c r="H187" i="28"/>
  <c r="H204" i="28"/>
  <c r="H200" i="28"/>
  <c r="H237" i="28"/>
  <c r="H170" i="28"/>
  <c r="H202" i="28"/>
  <c r="H208" i="28"/>
  <c r="H243" i="28"/>
  <c r="H183" i="28"/>
  <c r="H224" i="28"/>
  <c r="H179" i="28"/>
  <c r="H221" i="28"/>
  <c r="H190" i="28"/>
  <c r="H192" i="28"/>
  <c r="H209" i="28"/>
  <c r="H197" i="28"/>
  <c r="H232" i="28"/>
  <c r="H186" i="28"/>
  <c r="H227" i="28"/>
  <c r="H240" i="28"/>
  <c r="H206" i="28"/>
  <c r="H231" i="28"/>
  <c r="H167" i="28"/>
  <c r="H194" i="28"/>
  <c r="H165" i="28"/>
  <c r="H212" i="28"/>
  <c r="H228" i="28"/>
  <c r="H196" i="28"/>
  <c r="H234" i="28"/>
  <c r="H219" i="28"/>
  <c r="H216" i="28"/>
  <c r="H210" i="28"/>
  <c r="H213" i="28"/>
  <c r="H222" i="28"/>
  <c r="H198" i="28"/>
  <c r="H235" i="28"/>
  <c r="H172" i="28"/>
  <c r="H215" i="28"/>
  <c r="H225" i="28"/>
  <c r="H169" i="28"/>
  <c r="H201" i="28"/>
  <c r="H164" i="28"/>
  <c r="H207" i="28"/>
  <c r="H242" i="28"/>
  <c r="H182" i="28"/>
  <c r="H223" i="28"/>
  <c r="H199" i="28"/>
  <c r="H236" i="28"/>
  <c r="H168" i="28"/>
  <c r="H211" i="28"/>
  <c r="H141" i="28"/>
  <c r="H173" i="28"/>
  <c r="H205" i="28"/>
  <c r="H174" i="28"/>
  <c r="H12" i="28"/>
  <c r="H177" i="28"/>
  <c r="H175" i="28"/>
  <c r="H5" i="28"/>
  <c r="H181" i="28"/>
  <c r="H180" i="28"/>
  <c r="H184" i="28"/>
  <c r="H195" i="28"/>
  <c r="H233" i="28"/>
  <c r="H65" i="28"/>
  <c r="H193" i="28"/>
  <c r="H214" i="28"/>
  <c r="H185" i="28"/>
  <c r="H217" i="28"/>
  <c r="H226" i="28"/>
  <c r="H203" i="28"/>
  <c r="H239" i="28"/>
  <c r="H178" i="28"/>
  <c r="H220" i="28"/>
  <c r="H229" i="28"/>
  <c r="H189" i="28"/>
  <c r="H166" i="28"/>
  <c r="F10" i="42"/>
  <c r="E12" i="42"/>
  <c r="B12" i="42"/>
  <c r="A13" i="42"/>
  <c r="D11" i="42"/>
  <c r="C11" i="42"/>
  <c r="F3" i="16"/>
  <c r="F3" i="15"/>
  <c r="D73" i="14"/>
  <c r="H4" i="15"/>
  <c r="N28" i="24"/>
  <c r="H4" i="16"/>
  <c r="H81" i="28" l="1"/>
  <c r="H77" i="28"/>
  <c r="H59" i="28"/>
  <c r="H102" i="28"/>
  <c r="H114" i="28"/>
  <c r="H42" i="28"/>
  <c r="H159" i="28"/>
  <c r="G9" i="28"/>
  <c r="I9" i="28" s="1"/>
  <c r="H9" i="28"/>
  <c r="G86" i="28"/>
  <c r="I86" i="28" s="1"/>
  <c r="H86" i="28"/>
  <c r="G54" i="28"/>
  <c r="I54" i="28" s="1"/>
  <c r="H54" i="28"/>
  <c r="G53" i="28"/>
  <c r="I53" i="28" s="1"/>
  <c r="H53" i="28"/>
  <c r="G55" i="28"/>
  <c r="I55" i="28" s="1"/>
  <c r="H55" i="28"/>
  <c r="H108" i="28"/>
  <c r="G73" i="28"/>
  <c r="I73" i="28" s="1"/>
  <c r="H73" i="28"/>
  <c r="G33" i="28"/>
  <c r="I33" i="28" s="1"/>
  <c r="H33" i="28"/>
  <c r="G49" i="28"/>
  <c r="I49" i="28" s="1"/>
  <c r="H49" i="28"/>
  <c r="G150" i="28"/>
  <c r="H150" i="28"/>
  <c r="G136" i="28"/>
  <c r="H136" i="28"/>
  <c r="G105" i="28"/>
  <c r="H105" i="28"/>
  <c r="G117" i="28"/>
  <c r="H117" i="28"/>
  <c r="G115" i="28"/>
  <c r="H115" i="28"/>
  <c r="G80" i="28"/>
  <c r="I80" i="28" s="1"/>
  <c r="H80" i="28"/>
  <c r="G124" i="28"/>
  <c r="H124" i="28"/>
  <c r="H161" i="28"/>
  <c r="H152" i="28"/>
  <c r="G140" i="28"/>
  <c r="H140" i="28"/>
  <c r="G144" i="28"/>
  <c r="H144" i="28"/>
  <c r="G71" i="28"/>
  <c r="I71" i="28" s="1"/>
  <c r="H71" i="28"/>
  <c r="G32" i="28"/>
  <c r="I32" i="28" s="1"/>
  <c r="H32" i="28"/>
  <c r="G66" i="28"/>
  <c r="I66" i="28" s="1"/>
  <c r="H66" i="28"/>
  <c r="G89" i="28"/>
  <c r="I89" i="28" s="1"/>
  <c r="H89" i="28"/>
  <c r="G31" i="28"/>
  <c r="I31" i="28" s="1"/>
  <c r="H31" i="28"/>
  <c r="G44" i="28"/>
  <c r="I44" i="28" s="1"/>
  <c r="H44" i="28"/>
  <c r="G45" i="28"/>
  <c r="I45" i="28" s="1"/>
  <c r="H45" i="28"/>
  <c r="G126" i="28"/>
  <c r="H126" i="28"/>
  <c r="H18" i="28"/>
  <c r="H85" i="28"/>
  <c r="G95" i="28"/>
  <c r="I95" i="28" s="1"/>
  <c r="H95" i="28"/>
  <c r="G61" i="28"/>
  <c r="I61" i="28" s="1"/>
  <c r="H61" i="28"/>
  <c r="G74" i="28"/>
  <c r="I74" i="28" s="1"/>
  <c r="H74" i="28"/>
  <c r="G41" i="28"/>
  <c r="I41" i="28" s="1"/>
  <c r="H41" i="28"/>
  <c r="G24" i="28"/>
  <c r="I24" i="28" s="1"/>
  <c r="H24" i="28"/>
  <c r="G40" i="28"/>
  <c r="I40" i="28" s="1"/>
  <c r="H40" i="28"/>
  <c r="H143" i="28"/>
  <c r="H99" i="28"/>
  <c r="H155" i="28"/>
  <c r="H38" i="28"/>
  <c r="H157" i="28"/>
  <c r="H156" i="28"/>
  <c r="H8" i="28"/>
  <c r="H27" i="28"/>
  <c r="H118" i="28"/>
  <c r="H129" i="28"/>
  <c r="H63" i="28"/>
  <c r="H125" i="28"/>
  <c r="H160" i="28"/>
  <c r="H131" i="28"/>
  <c r="H34" i="28"/>
  <c r="H135" i="28"/>
  <c r="H111" i="28"/>
  <c r="H91" i="28"/>
  <c r="H56" i="28"/>
  <c r="H153" i="28"/>
  <c r="H97" i="28"/>
  <c r="H146" i="28"/>
  <c r="H88" i="28"/>
  <c r="H83" i="28"/>
  <c r="H87" i="28"/>
  <c r="H130" i="28"/>
  <c r="H43" i="28"/>
  <c r="H122" i="28"/>
  <c r="H52" i="28"/>
  <c r="H158" i="28"/>
  <c r="H82" i="28"/>
  <c r="H116" i="28"/>
  <c r="H50" i="28"/>
  <c r="H90" i="28"/>
  <c r="G57" i="28"/>
  <c r="I57" i="28" s="1"/>
  <c r="H57" i="28"/>
  <c r="G23" i="28"/>
  <c r="I23" i="28" s="1"/>
  <c r="H23" i="28"/>
  <c r="G120" i="28"/>
  <c r="H120" i="28"/>
  <c r="G69" i="28"/>
  <c r="I69" i="28" s="1"/>
  <c r="H69" i="28"/>
  <c r="G11" i="28"/>
  <c r="I11" i="28" s="1"/>
  <c r="H11" i="28"/>
  <c r="H100" i="28"/>
  <c r="G134" i="28"/>
  <c r="H134" i="28"/>
  <c r="G14" i="28"/>
  <c r="I14" i="28" s="1"/>
  <c r="H14" i="28"/>
  <c r="G113" i="28"/>
  <c r="H113" i="28"/>
  <c r="H48" i="28"/>
  <c r="H46" i="28"/>
  <c r="G62" i="28"/>
  <c r="I62" i="28" s="1"/>
  <c r="H62" i="28"/>
  <c r="G98" i="28"/>
  <c r="I98" i="28" s="1"/>
  <c r="H98" i="28"/>
  <c r="G67" i="28"/>
  <c r="I67" i="28" s="1"/>
  <c r="H67" i="28"/>
  <c r="G123" i="28"/>
  <c r="H123" i="28"/>
  <c r="H25" i="28"/>
  <c r="H138" i="28"/>
  <c r="H20" i="28"/>
  <c r="H76" i="28"/>
  <c r="H109" i="28"/>
  <c r="G139" i="28"/>
  <c r="H139" i="28"/>
  <c r="G112" i="28"/>
  <c r="H112" i="28"/>
  <c r="G10" i="28"/>
  <c r="I10" i="28" s="1"/>
  <c r="H10" i="28"/>
  <c r="G101" i="28"/>
  <c r="H101" i="28"/>
  <c r="G7" i="28"/>
  <c r="I7" i="28" s="1"/>
  <c r="H7" i="28"/>
  <c r="G107" i="28"/>
  <c r="H107" i="28"/>
  <c r="H72" i="28"/>
  <c r="H110" i="28"/>
  <c r="G70" i="28"/>
  <c r="I70" i="28" s="1"/>
  <c r="H70" i="28"/>
  <c r="G6" i="28"/>
  <c r="I6" i="28" s="1"/>
  <c r="H6" i="28"/>
  <c r="H51" i="28"/>
  <c r="H162" i="28"/>
  <c r="G121" i="28"/>
  <c r="H121" i="28"/>
  <c r="G29" i="28"/>
  <c r="I29" i="28" s="1"/>
  <c r="H29" i="28"/>
  <c r="G92" i="28"/>
  <c r="I92" i="28" s="1"/>
  <c r="H92" i="28"/>
  <c r="G26" i="28"/>
  <c r="I26" i="28" s="1"/>
  <c r="H26" i="28"/>
  <c r="G36" i="28"/>
  <c r="I36" i="28" s="1"/>
  <c r="H36" i="28"/>
  <c r="G106" i="28"/>
  <c r="H106" i="28"/>
  <c r="H47" i="28"/>
  <c r="H151" i="28"/>
  <c r="H128" i="28"/>
  <c r="H145" i="28"/>
  <c r="H142" i="28"/>
  <c r="H64" i="28"/>
  <c r="H154" i="28"/>
  <c r="H39" i="28"/>
  <c r="H58" i="28"/>
  <c r="H21" i="28"/>
  <c r="G127" i="28"/>
  <c r="H127" i="28"/>
  <c r="G78" i="28"/>
  <c r="I78" i="28" s="1"/>
  <c r="H78" i="28"/>
  <c r="G75" i="28"/>
  <c r="I75" i="28" s="1"/>
  <c r="H75" i="28"/>
  <c r="G147" i="28"/>
  <c r="H147" i="28"/>
  <c r="G137" i="28"/>
  <c r="H137" i="28"/>
  <c r="H93" i="28"/>
  <c r="H119" i="28"/>
  <c r="H96" i="28"/>
  <c r="H30" i="28"/>
  <c r="H132" i="28"/>
  <c r="G149" i="28"/>
  <c r="H149" i="28"/>
  <c r="G35" i="28"/>
  <c r="I35" i="28" s="1"/>
  <c r="H35" i="28"/>
  <c r="G15" i="28"/>
  <c r="I15" i="28" s="1"/>
  <c r="H15" i="28"/>
  <c r="G84" i="28"/>
  <c r="I84" i="28" s="1"/>
  <c r="H84" i="28"/>
  <c r="G17" i="28"/>
  <c r="I17" i="28" s="1"/>
  <c r="H17" i="28"/>
  <c r="G104" i="28"/>
  <c r="H104" i="28"/>
  <c r="G13" i="28"/>
  <c r="I13" i="28" s="1"/>
  <c r="H13" i="28"/>
  <c r="G22" i="28"/>
  <c r="I22" i="28" s="1"/>
  <c r="H22" i="28"/>
  <c r="H79" i="28"/>
  <c r="H68" i="28"/>
  <c r="H133" i="28"/>
  <c r="H94" i="28"/>
  <c r="H19" i="28"/>
  <c r="H28" i="28"/>
  <c r="H60" i="28"/>
  <c r="H148" i="28"/>
  <c r="H37" i="28"/>
  <c r="H16" i="28"/>
  <c r="F171" i="16"/>
  <c r="G171" i="16" s="1"/>
  <c r="F86" i="16"/>
  <c r="G86" i="16" s="1"/>
  <c r="I86" i="16" s="1"/>
  <c r="F43" i="16"/>
  <c r="G43" i="16" s="1"/>
  <c r="I43" i="16" s="1"/>
  <c r="F202" i="16"/>
  <c r="G202" i="16" s="1"/>
  <c r="F116" i="16"/>
  <c r="G116" i="16" s="1"/>
  <c r="F31" i="16"/>
  <c r="G31" i="16" s="1"/>
  <c r="I31" i="16" s="1"/>
  <c r="F187" i="16"/>
  <c r="G187" i="16" s="1"/>
  <c r="F102" i="16"/>
  <c r="G102" i="16" s="1"/>
  <c r="I102" i="16" s="1"/>
  <c r="F16" i="16"/>
  <c r="G16" i="16" s="1"/>
  <c r="I16" i="16" s="1"/>
  <c r="F164" i="16"/>
  <c r="G164" i="16" s="1"/>
  <c r="F79" i="16"/>
  <c r="G79" i="16" s="1"/>
  <c r="I79" i="16" s="1"/>
  <c r="F238" i="16"/>
  <c r="G238" i="16" s="1"/>
  <c r="F195" i="16"/>
  <c r="G195" i="16" s="1"/>
  <c r="F152" i="16"/>
  <c r="G152" i="16" s="1"/>
  <c r="F88" i="16"/>
  <c r="G88" i="16" s="1"/>
  <c r="I88" i="16" s="1"/>
  <c r="F46" i="16"/>
  <c r="G46" i="16" s="1"/>
  <c r="I46" i="16" s="1"/>
  <c r="F242" i="16"/>
  <c r="G242" i="16" s="1"/>
  <c r="F92" i="16"/>
  <c r="G92" i="16" s="1"/>
  <c r="I92" i="16" s="1"/>
  <c r="F6" i="16"/>
  <c r="G6" i="16" s="1"/>
  <c r="I6" i="16" s="1"/>
  <c r="F5" i="16"/>
  <c r="G5" i="16" s="1"/>
  <c r="I5" i="16" s="1"/>
  <c r="F203" i="16"/>
  <c r="G203" i="16" s="1"/>
  <c r="F160" i="16"/>
  <c r="G160" i="16" s="1"/>
  <c r="F118" i="16"/>
  <c r="G118" i="16" s="1"/>
  <c r="F75" i="16"/>
  <c r="G75" i="16" s="1"/>
  <c r="I75" i="16" s="1"/>
  <c r="F32" i="16"/>
  <c r="G32" i="16" s="1"/>
  <c r="I32" i="16" s="1"/>
  <c r="F234" i="16"/>
  <c r="G234" i="16" s="1"/>
  <c r="F191" i="16"/>
  <c r="G191" i="16" s="1"/>
  <c r="F148" i="16"/>
  <c r="G148" i="16" s="1"/>
  <c r="F106" i="16"/>
  <c r="G106" i="16" s="1"/>
  <c r="F63" i="16"/>
  <c r="G63" i="16" s="1"/>
  <c r="I63" i="16" s="1"/>
  <c r="F20" i="16"/>
  <c r="G20" i="16" s="1"/>
  <c r="I20" i="16" s="1"/>
  <c r="F219" i="16"/>
  <c r="G219" i="16" s="1"/>
  <c r="F176" i="16"/>
  <c r="G176" i="16" s="1"/>
  <c r="F134" i="16"/>
  <c r="G134" i="16" s="1"/>
  <c r="F91" i="16"/>
  <c r="G91" i="16" s="1"/>
  <c r="I91" i="16" s="1"/>
  <c r="F48" i="16"/>
  <c r="G48" i="16" s="1"/>
  <c r="I48" i="16" s="1"/>
  <c r="F239" i="16"/>
  <c r="G239" i="16" s="1"/>
  <c r="F196" i="16"/>
  <c r="G196" i="16" s="1"/>
  <c r="F154" i="16"/>
  <c r="G154" i="16" s="1"/>
  <c r="F111" i="16"/>
  <c r="G111" i="16" s="1"/>
  <c r="F68" i="16"/>
  <c r="G68" i="16" s="1"/>
  <c r="I68" i="16" s="1"/>
  <c r="F26" i="16"/>
  <c r="G26" i="16" s="1"/>
  <c r="I26" i="16" s="1"/>
  <c r="F232" i="16"/>
  <c r="G232" i="16" s="1"/>
  <c r="F211" i="16"/>
  <c r="G211" i="16" s="1"/>
  <c r="F190" i="16"/>
  <c r="G190" i="16" s="1"/>
  <c r="F168" i="16"/>
  <c r="G168" i="16" s="1"/>
  <c r="F147" i="16"/>
  <c r="G147" i="16" s="1"/>
  <c r="F126" i="16"/>
  <c r="G126" i="16" s="1"/>
  <c r="F104" i="16"/>
  <c r="G104" i="16" s="1"/>
  <c r="F83" i="16"/>
  <c r="G83" i="16" s="1"/>
  <c r="I83" i="16" s="1"/>
  <c r="F62" i="16"/>
  <c r="G62" i="16" s="1"/>
  <c r="I62" i="16" s="1"/>
  <c r="F40" i="16"/>
  <c r="G40" i="16" s="1"/>
  <c r="I40" i="16" s="1"/>
  <c r="F19" i="16"/>
  <c r="G19" i="16" s="1"/>
  <c r="I19" i="16" s="1"/>
  <c r="F236" i="16"/>
  <c r="G236" i="16" s="1"/>
  <c r="F215" i="16"/>
  <c r="G215" i="16" s="1"/>
  <c r="F194" i="16"/>
  <c r="G194" i="16" s="1"/>
  <c r="F172" i="16"/>
  <c r="G172" i="16" s="1"/>
  <c r="F151" i="16"/>
  <c r="G151" i="16" s="1"/>
  <c r="F130" i="16"/>
  <c r="G130" i="16" s="1"/>
  <c r="F108" i="16"/>
  <c r="G108" i="16" s="1"/>
  <c r="F87" i="16"/>
  <c r="G87" i="16" s="1"/>
  <c r="I87" i="16" s="1"/>
  <c r="F66" i="16"/>
  <c r="G66" i="16" s="1"/>
  <c r="I66" i="16" s="1"/>
  <c r="F44" i="16"/>
  <c r="G44" i="16" s="1"/>
  <c r="I44" i="16" s="1"/>
  <c r="F23" i="16"/>
  <c r="G23" i="16" s="1"/>
  <c r="I23" i="16" s="1"/>
  <c r="F241" i="16"/>
  <c r="G241" i="16" s="1"/>
  <c r="F225" i="16"/>
  <c r="G225" i="16" s="1"/>
  <c r="F209" i="16"/>
  <c r="G209" i="16" s="1"/>
  <c r="F193" i="16"/>
  <c r="G193" i="16" s="1"/>
  <c r="F177" i="16"/>
  <c r="G177" i="16" s="1"/>
  <c r="F161" i="16"/>
  <c r="G161" i="16" s="1"/>
  <c r="F145" i="16"/>
  <c r="G145" i="16" s="1"/>
  <c r="F129" i="16"/>
  <c r="G129" i="16" s="1"/>
  <c r="F113" i="16"/>
  <c r="G113" i="16" s="1"/>
  <c r="F97" i="16"/>
  <c r="G97" i="16" s="1"/>
  <c r="I97" i="16" s="1"/>
  <c r="F81" i="16"/>
  <c r="G81" i="16" s="1"/>
  <c r="I81" i="16" s="1"/>
  <c r="F65" i="16"/>
  <c r="G65" i="16" s="1"/>
  <c r="I65" i="16" s="1"/>
  <c r="F49" i="16"/>
  <c r="G49" i="16" s="1"/>
  <c r="I49" i="16" s="1"/>
  <c r="F33" i="16"/>
  <c r="G33" i="16" s="1"/>
  <c r="I33" i="16" s="1"/>
  <c r="F17" i="16"/>
  <c r="G17" i="16" s="1"/>
  <c r="I17" i="16" s="1"/>
  <c r="F222" i="15"/>
  <c r="F238" i="15"/>
  <c r="F150" i="15"/>
  <c r="F118" i="15"/>
  <c r="F86" i="15"/>
  <c r="F54" i="15"/>
  <c r="F22" i="15"/>
  <c r="F229" i="15"/>
  <c r="F197" i="15"/>
  <c r="F165" i="15"/>
  <c r="F133" i="15"/>
  <c r="F101" i="15"/>
  <c r="F69" i="15"/>
  <c r="F37" i="15"/>
  <c r="F242" i="15"/>
  <c r="F210" i="15"/>
  <c r="F178" i="15"/>
  <c r="F146" i="15"/>
  <c r="F114" i="15"/>
  <c r="F82" i="15"/>
  <c r="F50" i="15"/>
  <c r="F18" i="15"/>
  <c r="F225" i="15"/>
  <c r="F193" i="15"/>
  <c r="F161" i="15"/>
  <c r="F129" i="15"/>
  <c r="F97" i="15"/>
  <c r="F65" i="15"/>
  <c r="F33" i="15"/>
  <c r="F228" i="15"/>
  <c r="F212" i="15"/>
  <c r="F196" i="15"/>
  <c r="F180" i="15"/>
  <c r="F164" i="15"/>
  <c r="F148" i="15"/>
  <c r="F132" i="15"/>
  <c r="F116" i="15"/>
  <c r="F100" i="15"/>
  <c r="F84" i="15"/>
  <c r="F68" i="15"/>
  <c r="F52" i="15"/>
  <c r="F36" i="15"/>
  <c r="F20" i="15"/>
  <c r="F243" i="15"/>
  <c r="F227" i="15"/>
  <c r="F211" i="15"/>
  <c r="F195" i="15"/>
  <c r="F179" i="15"/>
  <c r="F163" i="15"/>
  <c r="F147" i="15"/>
  <c r="F131" i="15"/>
  <c r="F115" i="15"/>
  <c r="F99" i="15"/>
  <c r="F83" i="15"/>
  <c r="F67" i="15"/>
  <c r="F51" i="15"/>
  <c r="F35" i="15"/>
  <c r="F19" i="15"/>
  <c r="F235" i="16"/>
  <c r="G235" i="16" s="1"/>
  <c r="F192" i="16"/>
  <c r="G192" i="16" s="1"/>
  <c r="F150" i="16"/>
  <c r="G150" i="16" s="1"/>
  <c r="F107" i="16"/>
  <c r="G107" i="16" s="1"/>
  <c r="F64" i="16"/>
  <c r="G64" i="16" s="1"/>
  <c r="I64" i="16" s="1"/>
  <c r="F22" i="16"/>
  <c r="G22" i="16" s="1"/>
  <c r="I22" i="16" s="1"/>
  <c r="F223" i="16"/>
  <c r="G223" i="16" s="1"/>
  <c r="F180" i="16"/>
  <c r="G180" i="16" s="1"/>
  <c r="F138" i="16"/>
  <c r="G138" i="16" s="1"/>
  <c r="F95" i="16"/>
  <c r="G95" i="16" s="1"/>
  <c r="I95" i="16" s="1"/>
  <c r="F52" i="16"/>
  <c r="G52" i="16" s="1"/>
  <c r="I52" i="16" s="1"/>
  <c r="F10" i="16"/>
  <c r="G10" i="16" s="1"/>
  <c r="I10" i="16" s="1"/>
  <c r="F208" i="16"/>
  <c r="G208" i="16" s="1"/>
  <c r="F166" i="16"/>
  <c r="G166" i="16" s="1"/>
  <c r="F123" i="16"/>
  <c r="G123" i="16" s="1"/>
  <c r="F80" i="16"/>
  <c r="G80" i="16" s="1"/>
  <c r="I80" i="16" s="1"/>
  <c r="F38" i="16"/>
  <c r="G38" i="16" s="1"/>
  <c r="I38" i="16" s="1"/>
  <c r="F228" i="16"/>
  <c r="G228" i="16" s="1"/>
  <c r="F186" i="16"/>
  <c r="G186" i="16" s="1"/>
  <c r="F143" i="16"/>
  <c r="G143" i="16" s="1"/>
  <c r="F100" i="16"/>
  <c r="G100" i="16" s="1"/>
  <c r="I100" i="16" s="1"/>
  <c r="F58" i="16"/>
  <c r="G58" i="16" s="1"/>
  <c r="I58" i="16" s="1"/>
  <c r="F15" i="16"/>
  <c r="G15" i="16" s="1"/>
  <c r="I15" i="16" s="1"/>
  <c r="F227" i="16"/>
  <c r="G227" i="16" s="1"/>
  <c r="F206" i="16"/>
  <c r="G206" i="16" s="1"/>
  <c r="F184" i="16"/>
  <c r="G184" i="16" s="1"/>
  <c r="F163" i="16"/>
  <c r="G163" i="16" s="1"/>
  <c r="F142" i="16"/>
  <c r="G142" i="16" s="1"/>
  <c r="F120" i="16"/>
  <c r="G120" i="16" s="1"/>
  <c r="F99" i="16"/>
  <c r="G99" i="16" s="1"/>
  <c r="I99" i="16" s="1"/>
  <c r="F78" i="16"/>
  <c r="G78" i="16" s="1"/>
  <c r="I78" i="16" s="1"/>
  <c r="F56" i="16"/>
  <c r="G56" i="16" s="1"/>
  <c r="I56" i="16" s="1"/>
  <c r="F35" i="16"/>
  <c r="G35" i="16" s="1"/>
  <c r="I35" i="16" s="1"/>
  <c r="F14" i="16"/>
  <c r="G14" i="16" s="1"/>
  <c r="I14" i="16" s="1"/>
  <c r="F231" i="16"/>
  <c r="G231" i="16" s="1"/>
  <c r="F210" i="16"/>
  <c r="G210" i="16" s="1"/>
  <c r="F188" i="16"/>
  <c r="G188" i="16" s="1"/>
  <c r="F167" i="16"/>
  <c r="G167" i="16" s="1"/>
  <c r="F146" i="16"/>
  <c r="G146" i="16" s="1"/>
  <c r="F124" i="16"/>
  <c r="G124" i="16" s="1"/>
  <c r="F103" i="16"/>
  <c r="G103" i="16" s="1"/>
  <c r="I103" i="16" s="1"/>
  <c r="F82" i="16"/>
  <c r="G82" i="16" s="1"/>
  <c r="I82" i="16" s="1"/>
  <c r="F60" i="16"/>
  <c r="G60" i="16" s="1"/>
  <c r="I60" i="16" s="1"/>
  <c r="F39" i="16"/>
  <c r="G39" i="16" s="1"/>
  <c r="I39" i="16" s="1"/>
  <c r="F18" i="16"/>
  <c r="G18" i="16" s="1"/>
  <c r="I18" i="16" s="1"/>
  <c r="F237" i="16"/>
  <c r="G237" i="16" s="1"/>
  <c r="F221" i="16"/>
  <c r="G221" i="16" s="1"/>
  <c r="F205" i="16"/>
  <c r="G205" i="16" s="1"/>
  <c r="F189" i="16"/>
  <c r="G189" i="16" s="1"/>
  <c r="F173" i="16"/>
  <c r="G173" i="16" s="1"/>
  <c r="F157" i="16"/>
  <c r="G157" i="16" s="1"/>
  <c r="F141" i="16"/>
  <c r="G141" i="16" s="1"/>
  <c r="F125" i="16"/>
  <c r="G125" i="16" s="1"/>
  <c r="F109" i="16"/>
  <c r="G109" i="16" s="1"/>
  <c r="F93" i="16"/>
  <c r="G93" i="16" s="1"/>
  <c r="I93" i="16" s="1"/>
  <c r="F77" i="16"/>
  <c r="G77" i="16" s="1"/>
  <c r="I77" i="16" s="1"/>
  <c r="F61" i="16"/>
  <c r="G61" i="16" s="1"/>
  <c r="I61" i="16" s="1"/>
  <c r="F45" i="16"/>
  <c r="G45" i="16" s="1"/>
  <c r="I45" i="16" s="1"/>
  <c r="F29" i="16"/>
  <c r="G29" i="16" s="1"/>
  <c r="I29" i="16" s="1"/>
  <c r="F13" i="16"/>
  <c r="G13" i="16" s="1"/>
  <c r="I13" i="16" s="1"/>
  <c r="F230" i="15"/>
  <c r="F190" i="15"/>
  <c r="F206" i="15"/>
  <c r="F142" i="15"/>
  <c r="F110" i="15"/>
  <c r="F78" i="15"/>
  <c r="F46" i="15"/>
  <c r="F14" i="15"/>
  <c r="F221" i="15"/>
  <c r="F189" i="15"/>
  <c r="F157" i="15"/>
  <c r="F125" i="15"/>
  <c r="F93" i="15"/>
  <c r="F61" i="15"/>
  <c r="F29" i="15"/>
  <c r="F234" i="15"/>
  <c r="F202" i="15"/>
  <c r="F170" i="15"/>
  <c r="F138" i="15"/>
  <c r="F106" i="15"/>
  <c r="F74" i="15"/>
  <c r="F42" i="15"/>
  <c r="F10" i="15"/>
  <c r="F217" i="15"/>
  <c r="F185" i="15"/>
  <c r="F153" i="15"/>
  <c r="F121" i="15"/>
  <c r="F89" i="15"/>
  <c r="F57" i="15"/>
  <c r="F25" i="15"/>
  <c r="F240" i="15"/>
  <c r="F224" i="15"/>
  <c r="F208" i="15"/>
  <c r="F192" i="15"/>
  <c r="F176" i="15"/>
  <c r="F160" i="15"/>
  <c r="F144" i="15"/>
  <c r="F128" i="15"/>
  <c r="F112" i="15"/>
  <c r="F96" i="15"/>
  <c r="F80" i="15"/>
  <c r="F64" i="15"/>
  <c r="F48" i="15"/>
  <c r="F32" i="15"/>
  <c r="F16" i="15"/>
  <c r="F239" i="15"/>
  <c r="F223" i="15"/>
  <c r="F207" i="15"/>
  <c r="F191" i="15"/>
  <c r="F175" i="15"/>
  <c r="F159" i="15"/>
  <c r="F143" i="15"/>
  <c r="F127" i="15"/>
  <c r="F111" i="15"/>
  <c r="F95" i="15"/>
  <c r="F79" i="15"/>
  <c r="F63" i="15"/>
  <c r="F47" i="15"/>
  <c r="F31" i="15"/>
  <c r="F15" i="15"/>
  <c r="F224" i="16"/>
  <c r="G224" i="16" s="1"/>
  <c r="F182" i="16"/>
  <c r="G182" i="16" s="1"/>
  <c r="F139" i="16"/>
  <c r="G139" i="16" s="1"/>
  <c r="F96" i="16"/>
  <c r="G96" i="16" s="1"/>
  <c r="I96" i="16" s="1"/>
  <c r="F54" i="16"/>
  <c r="G54" i="16" s="1"/>
  <c r="I54" i="16" s="1"/>
  <c r="F11" i="16"/>
  <c r="G11" i="16" s="1"/>
  <c r="I11" i="16" s="1"/>
  <c r="F212" i="16"/>
  <c r="G212" i="16" s="1"/>
  <c r="F170" i="16"/>
  <c r="G170" i="16" s="1"/>
  <c r="F127" i="16"/>
  <c r="G127" i="16" s="1"/>
  <c r="F84" i="16"/>
  <c r="G84" i="16" s="1"/>
  <c r="I84" i="16" s="1"/>
  <c r="F42" i="16"/>
  <c r="G42" i="16" s="1"/>
  <c r="I42" i="16" s="1"/>
  <c r="F240" i="16"/>
  <c r="G240" i="16" s="1"/>
  <c r="F198" i="16"/>
  <c r="G198" i="16" s="1"/>
  <c r="F155" i="16"/>
  <c r="G155" i="16" s="1"/>
  <c r="F112" i="16"/>
  <c r="G112" i="16" s="1"/>
  <c r="F70" i="16"/>
  <c r="G70" i="16" s="1"/>
  <c r="I70" i="16" s="1"/>
  <c r="F27" i="16"/>
  <c r="G27" i="16" s="1"/>
  <c r="I27" i="16" s="1"/>
  <c r="F218" i="16"/>
  <c r="G218" i="16" s="1"/>
  <c r="F175" i="16"/>
  <c r="G175" i="16" s="1"/>
  <c r="F132" i="16"/>
  <c r="G132" i="16" s="1"/>
  <c r="F90" i="16"/>
  <c r="G90" i="16" s="1"/>
  <c r="I90" i="16" s="1"/>
  <c r="F47" i="16"/>
  <c r="G47" i="16" s="1"/>
  <c r="I47" i="16" s="1"/>
  <c r="F243" i="16"/>
  <c r="G243" i="16" s="1"/>
  <c r="F222" i="16"/>
  <c r="G222" i="16" s="1"/>
  <c r="F200" i="16"/>
  <c r="G200" i="16" s="1"/>
  <c r="F179" i="16"/>
  <c r="G179" i="16" s="1"/>
  <c r="F158" i="16"/>
  <c r="G158" i="16" s="1"/>
  <c r="F136" i="16"/>
  <c r="G136" i="16" s="1"/>
  <c r="F115" i="16"/>
  <c r="G115" i="16" s="1"/>
  <c r="F94" i="16"/>
  <c r="G94" i="16" s="1"/>
  <c r="I94" i="16" s="1"/>
  <c r="F72" i="16"/>
  <c r="G72" i="16" s="1"/>
  <c r="I72" i="16" s="1"/>
  <c r="F51" i="16"/>
  <c r="G51" i="16" s="1"/>
  <c r="F30" i="16"/>
  <c r="G30" i="16" s="1"/>
  <c r="I30" i="16" s="1"/>
  <c r="F8" i="16"/>
  <c r="G8" i="16" s="1"/>
  <c r="I8" i="16" s="1"/>
  <c r="F226" i="16"/>
  <c r="G226" i="16" s="1"/>
  <c r="F204" i="16"/>
  <c r="G204" i="16" s="1"/>
  <c r="F183" i="16"/>
  <c r="G183" i="16" s="1"/>
  <c r="F162" i="16"/>
  <c r="G162" i="16" s="1"/>
  <c r="F140" i="16"/>
  <c r="G140" i="16" s="1"/>
  <c r="F119" i="16"/>
  <c r="G119" i="16" s="1"/>
  <c r="F98" i="16"/>
  <c r="G98" i="16" s="1"/>
  <c r="I98" i="16" s="1"/>
  <c r="F76" i="16"/>
  <c r="G76" i="16" s="1"/>
  <c r="I76" i="16" s="1"/>
  <c r="F55" i="16"/>
  <c r="G55" i="16" s="1"/>
  <c r="I55" i="16" s="1"/>
  <c r="F34" i="16"/>
  <c r="G34" i="16" s="1"/>
  <c r="I34" i="16" s="1"/>
  <c r="F12" i="16"/>
  <c r="G12" i="16" s="1"/>
  <c r="I12" i="16" s="1"/>
  <c r="F233" i="16"/>
  <c r="G233" i="16" s="1"/>
  <c r="F217" i="16"/>
  <c r="G217" i="16" s="1"/>
  <c r="F201" i="16"/>
  <c r="G201" i="16" s="1"/>
  <c r="F185" i="16"/>
  <c r="G185" i="16" s="1"/>
  <c r="F169" i="16"/>
  <c r="G169" i="16" s="1"/>
  <c r="F153" i="16"/>
  <c r="G153" i="16" s="1"/>
  <c r="F137" i="16"/>
  <c r="G137" i="16" s="1"/>
  <c r="F121" i="16"/>
  <c r="G121" i="16" s="1"/>
  <c r="F105" i="16"/>
  <c r="G105" i="16" s="1"/>
  <c r="F89" i="16"/>
  <c r="G89" i="16" s="1"/>
  <c r="I89" i="16" s="1"/>
  <c r="F73" i="16"/>
  <c r="G73" i="16" s="1"/>
  <c r="I73" i="16" s="1"/>
  <c r="F57" i="16"/>
  <c r="G57" i="16" s="1"/>
  <c r="I57" i="16" s="1"/>
  <c r="F41" i="16"/>
  <c r="G41" i="16" s="1"/>
  <c r="I41" i="16" s="1"/>
  <c r="F25" i="16"/>
  <c r="G25" i="16" s="1"/>
  <c r="I25" i="16" s="1"/>
  <c r="F9" i="16"/>
  <c r="G9" i="16" s="1"/>
  <c r="I9" i="16" s="1"/>
  <c r="F198" i="15"/>
  <c r="F214" i="15"/>
  <c r="F174" i="15"/>
  <c r="F134" i="15"/>
  <c r="F102" i="15"/>
  <c r="F70" i="15"/>
  <c r="F38" i="15"/>
  <c r="F6" i="15"/>
  <c r="G6" i="15" s="1"/>
  <c r="I6" i="15" s="1"/>
  <c r="F5" i="15"/>
  <c r="G5" i="15" s="1"/>
  <c r="I5" i="15" s="1"/>
  <c r="F213" i="15"/>
  <c r="F181" i="15"/>
  <c r="F149" i="15"/>
  <c r="F117" i="15"/>
  <c r="F85" i="15"/>
  <c r="F53" i="15"/>
  <c r="F21" i="15"/>
  <c r="F226" i="15"/>
  <c r="F194" i="15"/>
  <c r="F162" i="15"/>
  <c r="F130" i="15"/>
  <c r="F98" i="15"/>
  <c r="F66" i="15"/>
  <c r="F34" i="15"/>
  <c r="F241" i="15"/>
  <c r="F209" i="15"/>
  <c r="F177" i="15"/>
  <c r="F145" i="15"/>
  <c r="F113" i="15"/>
  <c r="F81" i="15"/>
  <c r="F49" i="15"/>
  <c r="F17" i="15"/>
  <c r="F236" i="15"/>
  <c r="F220" i="15"/>
  <c r="F204" i="15"/>
  <c r="F188" i="15"/>
  <c r="F172" i="15"/>
  <c r="F156" i="15"/>
  <c r="F140" i="15"/>
  <c r="F124" i="15"/>
  <c r="F108" i="15"/>
  <c r="F92" i="15"/>
  <c r="F76" i="15"/>
  <c r="F60" i="15"/>
  <c r="F44" i="15"/>
  <c r="F28" i="15"/>
  <c r="F12" i="15"/>
  <c r="F235" i="15"/>
  <c r="F219" i="15"/>
  <c r="F203" i="15"/>
  <c r="F187" i="15"/>
  <c r="F171" i="15"/>
  <c r="F155" i="15"/>
  <c r="F139" i="15"/>
  <c r="F123" i="15"/>
  <c r="F107" i="15"/>
  <c r="F91" i="15"/>
  <c r="F75" i="15"/>
  <c r="F59" i="15"/>
  <c r="F43" i="15"/>
  <c r="F27" i="15"/>
  <c r="F11" i="15"/>
  <c r="F214" i="16"/>
  <c r="G214" i="16" s="1"/>
  <c r="F128" i="16"/>
  <c r="G128" i="16" s="1"/>
  <c r="F159" i="16"/>
  <c r="G159" i="16" s="1"/>
  <c r="F74" i="16"/>
  <c r="G74" i="16" s="1"/>
  <c r="I74" i="16" s="1"/>
  <c r="F230" i="16"/>
  <c r="G230" i="16" s="1"/>
  <c r="F144" i="16"/>
  <c r="G144" i="16" s="1"/>
  <c r="F59" i="16"/>
  <c r="G59" i="16" s="1"/>
  <c r="I59" i="16" s="1"/>
  <c r="F207" i="16"/>
  <c r="G207" i="16" s="1"/>
  <c r="F122" i="16"/>
  <c r="G122" i="16" s="1"/>
  <c r="F36" i="16"/>
  <c r="G36" i="16" s="1"/>
  <c r="I36" i="16" s="1"/>
  <c r="F216" i="16"/>
  <c r="G216" i="16" s="1"/>
  <c r="F174" i="16"/>
  <c r="G174" i="16" s="1"/>
  <c r="F131" i="16"/>
  <c r="G131" i="16" s="1"/>
  <c r="F110" i="16"/>
  <c r="G110" i="16" s="1"/>
  <c r="F67" i="16"/>
  <c r="G67" i="16" s="1"/>
  <c r="I67" i="16" s="1"/>
  <c r="F24" i="16"/>
  <c r="G24" i="16" s="1"/>
  <c r="I24" i="16" s="1"/>
  <c r="F220" i="16"/>
  <c r="G220" i="16" s="1"/>
  <c r="F199" i="16"/>
  <c r="G199" i="16" s="1"/>
  <c r="F178" i="16"/>
  <c r="G178" i="16" s="1"/>
  <c r="F156" i="16"/>
  <c r="G156" i="16" s="1"/>
  <c r="F135" i="16"/>
  <c r="G135" i="16" s="1"/>
  <c r="F114" i="16"/>
  <c r="G114" i="16" s="1"/>
  <c r="F71" i="16"/>
  <c r="G71" i="16" s="1"/>
  <c r="I71" i="16" s="1"/>
  <c r="F50" i="16"/>
  <c r="G50" i="16" s="1"/>
  <c r="I50" i="16" s="1"/>
  <c r="F28" i="16"/>
  <c r="G28" i="16" s="1"/>
  <c r="I28" i="16" s="1"/>
  <c r="F7" i="16"/>
  <c r="G7" i="16" s="1"/>
  <c r="I7" i="16" s="1"/>
  <c r="F229" i="16"/>
  <c r="G229" i="16" s="1"/>
  <c r="F213" i="16"/>
  <c r="G213" i="16" s="1"/>
  <c r="F197" i="16"/>
  <c r="G197" i="16" s="1"/>
  <c r="F181" i="16"/>
  <c r="G181" i="16" s="1"/>
  <c r="F165" i="16"/>
  <c r="G165" i="16" s="1"/>
  <c r="F149" i="16"/>
  <c r="G149" i="16" s="1"/>
  <c r="F133" i="16"/>
  <c r="G133" i="16" s="1"/>
  <c r="F117" i="16"/>
  <c r="G117" i="16" s="1"/>
  <c r="F101" i="16"/>
  <c r="G101" i="16" s="1"/>
  <c r="I101" i="16" s="1"/>
  <c r="F85" i="16"/>
  <c r="G85" i="16" s="1"/>
  <c r="I85" i="16" s="1"/>
  <c r="F69" i="16"/>
  <c r="G69" i="16" s="1"/>
  <c r="I69" i="16" s="1"/>
  <c r="F53" i="16"/>
  <c r="G53" i="16" s="1"/>
  <c r="I53" i="16" s="1"/>
  <c r="F37" i="16"/>
  <c r="G37" i="16" s="1"/>
  <c r="I37" i="16" s="1"/>
  <c r="F21" i="16"/>
  <c r="G21" i="16" s="1"/>
  <c r="I21" i="16" s="1"/>
  <c r="F166" i="15"/>
  <c r="F182" i="15"/>
  <c r="F158" i="15"/>
  <c r="F126" i="15"/>
  <c r="F94" i="15"/>
  <c r="F62" i="15"/>
  <c r="F30" i="15"/>
  <c r="F237" i="15"/>
  <c r="F205" i="15"/>
  <c r="F173" i="15"/>
  <c r="F141" i="15"/>
  <c r="F109" i="15"/>
  <c r="F77" i="15"/>
  <c r="F45" i="15"/>
  <c r="F13" i="15"/>
  <c r="F218" i="15"/>
  <c r="F186" i="15"/>
  <c r="F154" i="15"/>
  <c r="F122" i="15"/>
  <c r="F90" i="15"/>
  <c r="F58" i="15"/>
  <c r="F26" i="15"/>
  <c r="F233" i="15"/>
  <c r="F201" i="15"/>
  <c r="F169" i="15"/>
  <c r="F137" i="15"/>
  <c r="F105" i="15"/>
  <c r="F73" i="15"/>
  <c r="F41" i="15"/>
  <c r="F9" i="15"/>
  <c r="F232" i="15"/>
  <c r="F216" i="15"/>
  <c r="F200" i="15"/>
  <c r="F184" i="15"/>
  <c r="F168" i="15"/>
  <c r="F152" i="15"/>
  <c r="F136" i="15"/>
  <c r="F120" i="15"/>
  <c r="F104" i="15"/>
  <c r="F88" i="15"/>
  <c r="F72" i="15"/>
  <c r="F56" i="15"/>
  <c r="F40" i="15"/>
  <c r="F24" i="15"/>
  <c r="F8" i="15"/>
  <c r="G8" i="15" s="1"/>
  <c r="I8" i="15" s="1"/>
  <c r="F231" i="15"/>
  <c r="F215" i="15"/>
  <c r="F199" i="15"/>
  <c r="F183" i="15"/>
  <c r="F167" i="15"/>
  <c r="F151" i="15"/>
  <c r="F135" i="15"/>
  <c r="F119" i="15"/>
  <c r="F103" i="15"/>
  <c r="F87" i="15"/>
  <c r="F71" i="15"/>
  <c r="F55" i="15"/>
  <c r="F39" i="15"/>
  <c r="F23" i="15"/>
  <c r="F7" i="15"/>
  <c r="G7" i="15" s="1"/>
  <c r="I7" i="15" s="1"/>
  <c r="G3" i="15"/>
  <c r="N27" i="24"/>
  <c r="F11" i="42"/>
  <c r="E13" i="42"/>
  <c r="A14" i="42"/>
  <c r="B13" i="42"/>
  <c r="D12" i="42"/>
  <c r="C12" i="42"/>
  <c r="H3" i="15"/>
  <c r="A18" i="11"/>
  <c r="A19" i="11"/>
  <c r="A20" i="11"/>
  <c r="A21" i="11"/>
  <c r="A22" i="11"/>
  <c r="A23" i="11"/>
  <c r="A17" i="11"/>
  <c r="B17" i="11"/>
  <c r="B18" i="11"/>
  <c r="B19" i="11"/>
  <c r="B20" i="11"/>
  <c r="B21" i="11"/>
  <c r="B22" i="11"/>
  <c r="H103" i="28" l="1"/>
  <c r="G44" i="15"/>
  <c r="I44" i="15" s="1"/>
  <c r="G108" i="15"/>
  <c r="G172" i="15"/>
  <c r="G236" i="15"/>
  <c r="G38" i="15"/>
  <c r="I38" i="15" s="1"/>
  <c r="G102" i="15"/>
  <c r="G25" i="15"/>
  <c r="I25" i="15" s="1"/>
  <c r="G153" i="15"/>
  <c r="G42" i="15"/>
  <c r="I42" i="15" s="1"/>
  <c r="G170" i="15"/>
  <c r="G61" i="15"/>
  <c r="I61" i="15" s="1"/>
  <c r="G78" i="15"/>
  <c r="I78" i="15" s="1"/>
  <c r="G190" i="15"/>
  <c r="G114" i="15"/>
  <c r="G129" i="15"/>
  <c r="G18" i="15"/>
  <c r="I18" i="15" s="1"/>
  <c r="G146" i="15"/>
  <c r="G37" i="15"/>
  <c r="I37" i="15" s="1"/>
  <c r="G165" i="15"/>
  <c r="G238" i="15"/>
  <c r="G87" i="15"/>
  <c r="I87" i="15" s="1"/>
  <c r="G214" i="15"/>
  <c r="G200" i="15"/>
  <c r="G26" i="15"/>
  <c r="I26" i="15" s="1"/>
  <c r="G76" i="15"/>
  <c r="I76" i="15" s="1"/>
  <c r="G30" i="15"/>
  <c r="I30" i="15" s="1"/>
  <c r="G94" i="15"/>
  <c r="I94" i="15" s="1"/>
  <c r="G158" i="15"/>
  <c r="G166" i="15"/>
  <c r="G139" i="15"/>
  <c r="G241" i="15"/>
  <c r="G46" i="15"/>
  <c r="I46" i="15" s="1"/>
  <c r="G79" i="15"/>
  <c r="I79" i="15" s="1"/>
  <c r="G127" i="15"/>
  <c r="G175" i="15"/>
  <c r="G207" i="15"/>
  <c r="G239" i="15"/>
  <c r="G64" i="15"/>
  <c r="I64" i="15" s="1"/>
  <c r="G128" i="15"/>
  <c r="G192" i="15"/>
  <c r="G189" i="15"/>
  <c r="G50" i="15"/>
  <c r="I50" i="15" s="1"/>
  <c r="G83" i="15"/>
  <c r="I83" i="15" s="1"/>
  <c r="G131" i="15"/>
  <c r="G178" i="15"/>
  <c r="G211" i="15"/>
  <c r="G36" i="15"/>
  <c r="I36" i="15" s="1"/>
  <c r="G100" i="15"/>
  <c r="G164" i="15"/>
  <c r="G228" i="15"/>
  <c r="G41" i="15"/>
  <c r="I41" i="15" s="1"/>
  <c r="G185" i="15"/>
  <c r="G204" i="15"/>
  <c r="G187" i="15"/>
  <c r="G176" i="15"/>
  <c r="G130" i="15"/>
  <c r="G21" i="15"/>
  <c r="I21" i="15" s="1"/>
  <c r="G149" i="15"/>
  <c r="G70" i="15"/>
  <c r="I70" i="15" s="1"/>
  <c r="G134" i="15"/>
  <c r="G167" i="15"/>
  <c r="G215" i="15"/>
  <c r="G24" i="15"/>
  <c r="I24" i="15" s="1"/>
  <c r="G88" i="15"/>
  <c r="I88" i="15" s="1"/>
  <c r="G152" i="15"/>
  <c r="G216" i="15"/>
  <c r="G73" i="15"/>
  <c r="I73" i="15" s="1"/>
  <c r="G201" i="15"/>
  <c r="G57" i="15"/>
  <c r="I57" i="15" s="1"/>
  <c r="G122" i="15"/>
  <c r="G186" i="15"/>
  <c r="G13" i="15"/>
  <c r="I13" i="15" s="1"/>
  <c r="G77" i="15"/>
  <c r="I77" i="15" s="1"/>
  <c r="G141" i="15"/>
  <c r="G205" i="15"/>
  <c r="G125" i="15"/>
  <c r="G181" i="15"/>
  <c r="G11" i="15"/>
  <c r="I11" i="15" s="1"/>
  <c r="G59" i="15"/>
  <c r="I59" i="15" s="1"/>
  <c r="G106" i="15"/>
  <c r="G155" i="15"/>
  <c r="G202" i="15"/>
  <c r="G235" i="15"/>
  <c r="G60" i="15"/>
  <c r="I60" i="15" s="1"/>
  <c r="G124" i="15"/>
  <c r="G188" i="15"/>
  <c r="G17" i="15"/>
  <c r="I17" i="15" s="1"/>
  <c r="G112" i="15"/>
  <c r="G177" i="15"/>
  <c r="G33" i="15"/>
  <c r="I33" i="15" s="1"/>
  <c r="G97" i="15"/>
  <c r="I97" i="15" s="1"/>
  <c r="G161" i="15"/>
  <c r="G225" i="15"/>
  <c r="G52" i="15"/>
  <c r="I52" i="15" s="1"/>
  <c r="G116" i="15"/>
  <c r="G180" i="15"/>
  <c r="G69" i="15"/>
  <c r="I69" i="15" s="1"/>
  <c r="G133" i="15"/>
  <c r="G197" i="15"/>
  <c r="G14" i="15"/>
  <c r="I14" i="15" s="1"/>
  <c r="G47" i="15"/>
  <c r="I47" i="15" s="1"/>
  <c r="G95" i="15"/>
  <c r="I95" i="15" s="1"/>
  <c r="G142" i="15"/>
  <c r="G222" i="15"/>
  <c r="G16" i="15"/>
  <c r="I16" i="15" s="1"/>
  <c r="G80" i="15"/>
  <c r="I80" i="15" s="1"/>
  <c r="G144" i="15"/>
  <c r="G208" i="15"/>
  <c r="G221" i="15"/>
  <c r="G51" i="15"/>
  <c r="I51" i="15" s="1"/>
  <c r="G99" i="15"/>
  <c r="G179" i="15"/>
  <c r="G227" i="15"/>
  <c r="G23" i="15"/>
  <c r="I23" i="15" s="1"/>
  <c r="G119" i="15"/>
  <c r="G72" i="15"/>
  <c r="I72" i="15" s="1"/>
  <c r="G169" i="15"/>
  <c r="G12" i="15"/>
  <c r="I12" i="15" s="1"/>
  <c r="G140" i="15"/>
  <c r="G91" i="15"/>
  <c r="I91" i="15" s="1"/>
  <c r="G234" i="15"/>
  <c r="G66" i="15"/>
  <c r="I66" i="15" s="1"/>
  <c r="G194" i="15"/>
  <c r="G85" i="15"/>
  <c r="I85" i="15" s="1"/>
  <c r="G213" i="15"/>
  <c r="G39" i="15"/>
  <c r="I39" i="15" s="1"/>
  <c r="G71" i="15"/>
  <c r="I71" i="15" s="1"/>
  <c r="G103" i="15"/>
  <c r="G135" i="15"/>
  <c r="G183" i="15"/>
  <c r="G230" i="15"/>
  <c r="G40" i="15"/>
  <c r="I40" i="15" s="1"/>
  <c r="G104" i="15"/>
  <c r="G168" i="15"/>
  <c r="G232" i="15"/>
  <c r="G105" i="15"/>
  <c r="G233" i="15"/>
  <c r="G58" i="15"/>
  <c r="I58" i="15" s="1"/>
  <c r="G217" i="15"/>
  <c r="G62" i="15"/>
  <c r="I62" i="15" s="1"/>
  <c r="G126" i="15"/>
  <c r="G182" i="15"/>
  <c r="G27" i="15"/>
  <c r="I27" i="15" s="1"/>
  <c r="G74" i="15"/>
  <c r="I74" i="15" s="1"/>
  <c r="G107" i="15"/>
  <c r="G203" i="15"/>
  <c r="G48" i="15"/>
  <c r="I48" i="15" s="1"/>
  <c r="G113" i="15"/>
  <c r="G209" i="15"/>
  <c r="G34" i="15"/>
  <c r="I34" i="15" s="1"/>
  <c r="G98" i="15"/>
  <c r="G162" i="15"/>
  <c r="G226" i="15"/>
  <c r="G53" i="15"/>
  <c r="I53" i="15" s="1"/>
  <c r="G117" i="15"/>
  <c r="G198" i="15"/>
  <c r="G15" i="15"/>
  <c r="I15" i="15" s="1"/>
  <c r="G63" i="15"/>
  <c r="I63" i="15" s="1"/>
  <c r="G110" i="15"/>
  <c r="G143" i="15"/>
  <c r="G191" i="15"/>
  <c r="G223" i="15"/>
  <c r="G32" i="15"/>
  <c r="I32" i="15" s="1"/>
  <c r="G96" i="15"/>
  <c r="I96" i="15" s="1"/>
  <c r="G160" i="15"/>
  <c r="G224" i="15"/>
  <c r="G19" i="15"/>
  <c r="I19" i="15" s="1"/>
  <c r="G67" i="15"/>
  <c r="I67" i="15" s="1"/>
  <c r="G147" i="15"/>
  <c r="G195" i="15"/>
  <c r="G243" i="15"/>
  <c r="G68" i="15"/>
  <c r="I68" i="15" s="1"/>
  <c r="G132" i="15"/>
  <c r="G196" i="15"/>
  <c r="G229" i="15"/>
  <c r="G55" i="15"/>
  <c r="I55" i="15" s="1"/>
  <c r="G151" i="15"/>
  <c r="G136" i="15"/>
  <c r="G90" i="15"/>
  <c r="I90" i="15" s="1"/>
  <c r="G43" i="15"/>
  <c r="I43" i="15" s="1"/>
  <c r="G81" i="15"/>
  <c r="I81" i="15" s="1"/>
  <c r="G22" i="15"/>
  <c r="I22" i="15" s="1"/>
  <c r="G54" i="15"/>
  <c r="I54" i="15" s="1"/>
  <c r="G86" i="15"/>
  <c r="I86" i="15" s="1"/>
  <c r="G118" i="15"/>
  <c r="G150" i="15"/>
  <c r="G199" i="15"/>
  <c r="G231" i="15"/>
  <c r="G56" i="15"/>
  <c r="I56" i="15" s="1"/>
  <c r="G120" i="15"/>
  <c r="G184" i="15"/>
  <c r="G9" i="15"/>
  <c r="I9" i="15" s="1"/>
  <c r="G137" i="15"/>
  <c r="G89" i="15"/>
  <c r="I89" i="15" s="1"/>
  <c r="G154" i="15"/>
  <c r="G218" i="15"/>
  <c r="G45" i="15"/>
  <c r="I45" i="15" s="1"/>
  <c r="G109" i="15"/>
  <c r="G173" i="15"/>
  <c r="G237" i="15"/>
  <c r="G93" i="15"/>
  <c r="I93" i="15" s="1"/>
  <c r="G157" i="15"/>
  <c r="G75" i="15"/>
  <c r="I75" i="15" s="1"/>
  <c r="G123" i="15"/>
  <c r="G171" i="15"/>
  <c r="G219" i="15"/>
  <c r="G28" i="15"/>
  <c r="I28" i="15" s="1"/>
  <c r="G92" i="15"/>
  <c r="I92" i="15" s="1"/>
  <c r="G156" i="15"/>
  <c r="G220" i="15"/>
  <c r="G49" i="15"/>
  <c r="I49" i="15" s="1"/>
  <c r="G145" i="15"/>
  <c r="G240" i="15"/>
  <c r="G65" i="15"/>
  <c r="I65" i="15" s="1"/>
  <c r="G193" i="15"/>
  <c r="G20" i="15"/>
  <c r="I20" i="15" s="1"/>
  <c r="G84" i="15"/>
  <c r="I84" i="15" s="1"/>
  <c r="G148" i="15"/>
  <c r="G212" i="15"/>
  <c r="G101" i="15"/>
  <c r="G174" i="15"/>
  <c r="G31" i="15"/>
  <c r="I31" i="15" s="1"/>
  <c r="G111" i="15"/>
  <c r="G159" i="15"/>
  <c r="G206" i="15"/>
  <c r="G121" i="15"/>
  <c r="G10" i="15"/>
  <c r="I10" i="15" s="1"/>
  <c r="G138" i="15"/>
  <c r="G29" i="15"/>
  <c r="I29" i="15" s="1"/>
  <c r="G35" i="15"/>
  <c r="I35" i="15" s="1"/>
  <c r="G82" i="15"/>
  <c r="I82" i="15" s="1"/>
  <c r="G115" i="15"/>
  <c r="G163" i="15"/>
  <c r="G210" i="15"/>
  <c r="G242" i="15"/>
  <c r="H8" i="15"/>
  <c r="H7" i="15"/>
  <c r="H7" i="16"/>
  <c r="H6" i="15"/>
  <c r="H6" i="16"/>
  <c r="H5" i="16"/>
  <c r="H5" i="15"/>
  <c r="H8" i="16"/>
  <c r="H10" i="16"/>
  <c r="H9" i="16"/>
  <c r="F12" i="42"/>
  <c r="D13" i="42"/>
  <c r="C13" i="42"/>
  <c r="E14" i="42"/>
  <c r="A15" i="42"/>
  <c r="B14" i="42"/>
  <c r="F87" i="8" l="1"/>
  <c r="F79" i="8"/>
  <c r="F71" i="8"/>
  <c r="F63" i="8"/>
  <c r="F190" i="8"/>
  <c r="F126" i="8"/>
  <c r="F62" i="8"/>
  <c r="F235" i="8"/>
  <c r="F171" i="8"/>
  <c r="F107" i="8"/>
  <c r="F43" i="8"/>
  <c r="F218" i="8"/>
  <c r="F154" i="8"/>
  <c r="F26" i="8"/>
  <c r="F225" i="8"/>
  <c r="F193" i="8"/>
  <c r="F145" i="8"/>
  <c r="F113" i="8"/>
  <c r="F81" i="8"/>
  <c r="F49" i="8"/>
  <c r="F17" i="8"/>
  <c r="F224" i="8"/>
  <c r="F192" i="8"/>
  <c r="F160" i="8"/>
  <c r="F144" i="8"/>
  <c r="F128" i="8"/>
  <c r="F112" i="8"/>
  <c r="F96" i="8"/>
  <c r="F80" i="8"/>
  <c r="F64" i="8"/>
  <c r="F32" i="8"/>
  <c r="F16" i="8"/>
  <c r="F215" i="8"/>
  <c r="F207" i="8"/>
  <c r="F199" i="8"/>
  <c r="F191" i="8"/>
  <c r="F222" i="8"/>
  <c r="F158" i="8"/>
  <c r="F94" i="8"/>
  <c r="F30" i="8"/>
  <c r="F203" i="8"/>
  <c r="F139" i="8"/>
  <c r="F75" i="8"/>
  <c r="F11" i="8"/>
  <c r="F186" i="8"/>
  <c r="F122" i="8"/>
  <c r="F58" i="8"/>
  <c r="F241" i="8"/>
  <c r="F209" i="8"/>
  <c r="F177" i="8"/>
  <c r="F161" i="8"/>
  <c r="F129" i="8"/>
  <c r="F97" i="8"/>
  <c r="F65" i="8"/>
  <c r="F33" i="8"/>
  <c r="F240" i="8"/>
  <c r="F208" i="8"/>
  <c r="F176" i="8"/>
  <c r="F48" i="8"/>
  <c r="F183" i="8"/>
  <c r="F55" i="8"/>
  <c r="F175" i="8"/>
  <c r="F47" i="8"/>
  <c r="F167" i="8"/>
  <c r="F39" i="8"/>
  <c r="F159" i="8"/>
  <c r="F31" i="8"/>
  <c r="F214" i="8"/>
  <c r="F182" i="8"/>
  <c r="F150" i="8"/>
  <c r="F118" i="8"/>
  <c r="F86" i="8"/>
  <c r="F54" i="8"/>
  <c r="F22" i="8"/>
  <c r="F227" i="8"/>
  <c r="F195" i="8"/>
  <c r="F163" i="8"/>
  <c r="F131" i="8"/>
  <c r="F99" i="8"/>
  <c r="F67" i="8"/>
  <c r="F35" i="8"/>
  <c r="F242" i="8"/>
  <c r="F210" i="8"/>
  <c r="F178" i="8"/>
  <c r="F146" i="8"/>
  <c r="F114" i="8"/>
  <c r="F82" i="8"/>
  <c r="F50" i="8"/>
  <c r="F18" i="8"/>
  <c r="F237" i="8"/>
  <c r="F221" i="8"/>
  <c r="F205" i="8"/>
  <c r="F189" i="8"/>
  <c r="F173" i="8"/>
  <c r="F157" i="8"/>
  <c r="F141" i="8"/>
  <c r="F125" i="8"/>
  <c r="F109" i="8"/>
  <c r="F77" i="8"/>
  <c r="F61" i="8"/>
  <c r="F45" i="8"/>
  <c r="F29" i="8"/>
  <c r="F13" i="8"/>
  <c r="F236" i="8"/>
  <c r="F220" i="8"/>
  <c r="F204" i="8"/>
  <c r="F188" i="8"/>
  <c r="F172" i="8"/>
  <c r="F156" i="8"/>
  <c r="F140" i="8"/>
  <c r="F124" i="8"/>
  <c r="F108" i="8"/>
  <c r="F76" i="8"/>
  <c r="F60" i="8"/>
  <c r="F44" i="8"/>
  <c r="F28" i="8"/>
  <c r="F12" i="8"/>
  <c r="F151" i="8"/>
  <c r="F23" i="8"/>
  <c r="F143" i="8"/>
  <c r="F15" i="8"/>
  <c r="F135" i="8"/>
  <c r="F7" i="8"/>
  <c r="F127" i="8"/>
  <c r="F238" i="8"/>
  <c r="F206" i="8"/>
  <c r="F174" i="8"/>
  <c r="F142" i="8"/>
  <c r="F110" i="8"/>
  <c r="F78" i="8"/>
  <c r="F46" i="8"/>
  <c r="F14" i="8"/>
  <c r="F219" i="8"/>
  <c r="F187" i="8"/>
  <c r="F155" i="8"/>
  <c r="F123" i="8"/>
  <c r="F59" i="8"/>
  <c r="F27" i="8"/>
  <c r="F234" i="8"/>
  <c r="F202" i="8"/>
  <c r="F170" i="8"/>
  <c r="F138" i="8"/>
  <c r="F106" i="8"/>
  <c r="F74" i="8"/>
  <c r="F42" i="8"/>
  <c r="F10" i="8"/>
  <c r="F233" i="8"/>
  <c r="F217" i="8"/>
  <c r="F201" i="8"/>
  <c r="F185" i="8"/>
  <c r="F169" i="8"/>
  <c r="F153" i="8"/>
  <c r="F137" i="8"/>
  <c r="F121" i="8"/>
  <c r="F105" i="8"/>
  <c r="F89" i="8"/>
  <c r="F73" i="8"/>
  <c r="F57" i="8"/>
  <c r="F41" i="8"/>
  <c r="F25" i="8"/>
  <c r="F9" i="8"/>
  <c r="F232" i="8"/>
  <c r="F216" i="8"/>
  <c r="F200" i="8"/>
  <c r="F184" i="8"/>
  <c r="F168" i="8"/>
  <c r="F152" i="8"/>
  <c r="F136" i="8"/>
  <c r="F120" i="8"/>
  <c r="F104" i="8"/>
  <c r="F88" i="8"/>
  <c r="F72" i="8"/>
  <c r="F56" i="8"/>
  <c r="F40" i="8"/>
  <c r="F24" i="8"/>
  <c r="F8" i="8"/>
  <c r="F119" i="8"/>
  <c r="F239" i="8"/>
  <c r="F111" i="8"/>
  <c r="F231" i="8"/>
  <c r="F103" i="8"/>
  <c r="F223" i="8"/>
  <c r="F95" i="8"/>
  <c r="F230" i="8"/>
  <c r="F198" i="8"/>
  <c r="F166" i="8"/>
  <c r="F134" i="8"/>
  <c r="F102" i="8"/>
  <c r="F70" i="8"/>
  <c r="F38" i="8"/>
  <c r="F211" i="8"/>
  <c r="F179" i="8"/>
  <c r="F147" i="8"/>
  <c r="F115" i="8"/>
  <c r="F83" i="8"/>
  <c r="F51" i="8"/>
  <c r="F19" i="8"/>
  <c r="F226" i="8"/>
  <c r="F194" i="8"/>
  <c r="F162" i="8"/>
  <c r="F130" i="8"/>
  <c r="F98" i="8"/>
  <c r="F66" i="8"/>
  <c r="F34" i="8"/>
  <c r="F6" i="8"/>
  <c r="G6" i="8" s="1"/>
  <c r="I6" i="8" s="1"/>
  <c r="F5" i="8"/>
  <c r="G5" i="8" s="1"/>
  <c r="I5" i="8" s="1"/>
  <c r="F229" i="8"/>
  <c r="F213" i="8"/>
  <c r="F197" i="8"/>
  <c r="F181" i="8"/>
  <c r="F165" i="8"/>
  <c r="F149" i="8"/>
  <c r="F133" i="8"/>
  <c r="F117" i="8"/>
  <c r="F101" i="8"/>
  <c r="F85" i="8"/>
  <c r="F69" i="8"/>
  <c r="F53" i="8"/>
  <c r="F37" i="8"/>
  <c r="F21" i="8"/>
  <c r="F228" i="8"/>
  <c r="F212" i="8"/>
  <c r="F196" i="8"/>
  <c r="F180" i="8"/>
  <c r="F164" i="8"/>
  <c r="F148" i="8"/>
  <c r="F132" i="8"/>
  <c r="F116" i="8"/>
  <c r="F100" i="8"/>
  <c r="F84" i="8"/>
  <c r="F68" i="8"/>
  <c r="F52" i="8"/>
  <c r="F36" i="8"/>
  <c r="F20" i="8"/>
  <c r="F13" i="42"/>
  <c r="E15" i="42"/>
  <c r="B15" i="42"/>
  <c r="A16" i="42"/>
  <c r="D14" i="42"/>
  <c r="C14" i="42"/>
  <c r="G8" i="8" l="1"/>
  <c r="I8" i="8" s="1"/>
  <c r="G36" i="8"/>
  <c r="I36" i="8" s="1"/>
  <c r="G100" i="8"/>
  <c r="G132" i="8"/>
  <c r="G196" i="8"/>
  <c r="G228" i="8"/>
  <c r="G69" i="8"/>
  <c r="I69" i="8" s="1"/>
  <c r="G133" i="8"/>
  <c r="G197" i="8"/>
  <c r="G66" i="8"/>
  <c r="I66" i="8" s="1"/>
  <c r="G130" i="8"/>
  <c r="G194" i="8"/>
  <c r="G70" i="8"/>
  <c r="I70" i="8" s="1"/>
  <c r="G198" i="8"/>
  <c r="G222" i="8"/>
  <c r="G110" i="8"/>
  <c r="G118" i="8"/>
  <c r="G23" i="8"/>
  <c r="I23" i="8" s="1"/>
  <c r="G55" i="8"/>
  <c r="I55" i="8" s="1"/>
  <c r="G87" i="8"/>
  <c r="I87" i="8" s="1"/>
  <c r="G135" i="8"/>
  <c r="G167" i="8"/>
  <c r="G199" i="8"/>
  <c r="G232" i="8"/>
  <c r="G41" i="8"/>
  <c r="I41" i="8" s="1"/>
  <c r="G105" i="8"/>
  <c r="G169" i="8"/>
  <c r="G233" i="8"/>
  <c r="G106" i="8"/>
  <c r="G234" i="8"/>
  <c r="G59" i="8"/>
  <c r="I59" i="8" s="1"/>
  <c r="G123" i="8"/>
  <c r="G187" i="8"/>
  <c r="G14" i="8"/>
  <c r="I14" i="8" s="1"/>
  <c r="G78" i="8"/>
  <c r="I78" i="8" s="1"/>
  <c r="G142" i="8"/>
  <c r="G206" i="8"/>
  <c r="G127" i="8"/>
  <c r="G143" i="8"/>
  <c r="G11" i="8"/>
  <c r="I11" i="8" s="1"/>
  <c r="G44" i="8"/>
  <c r="I44" i="8" s="1"/>
  <c r="G140" i="8"/>
  <c r="G188" i="8"/>
  <c r="G235" i="8"/>
  <c r="G145" i="8"/>
  <c r="G150" i="8"/>
  <c r="G159" i="8"/>
  <c r="G175" i="8"/>
  <c r="G176" i="8"/>
  <c r="G128" i="8"/>
  <c r="G177" i="8"/>
  <c r="G139" i="8"/>
  <c r="G158" i="8"/>
  <c r="G207" i="8"/>
  <c r="G63" i="8"/>
  <c r="I63" i="8" s="1"/>
  <c r="G112" i="8"/>
  <c r="G192" i="8"/>
  <c r="G19" i="8"/>
  <c r="I19" i="8" s="1"/>
  <c r="G51" i="8"/>
  <c r="I51" i="8" s="1"/>
  <c r="G83" i="8"/>
  <c r="I83" i="8" s="1"/>
  <c r="G115" i="8"/>
  <c r="G147" i="8"/>
  <c r="G179" i="8"/>
  <c r="G211" i="8"/>
  <c r="G21" i="8"/>
  <c r="I21" i="8" s="1"/>
  <c r="G85" i="8"/>
  <c r="I85" i="8" s="1"/>
  <c r="G149" i="8"/>
  <c r="G213" i="8"/>
  <c r="G33" i="8"/>
  <c r="I33" i="8" s="1"/>
  <c r="G97" i="8"/>
  <c r="G161" i="8"/>
  <c r="G225" i="8"/>
  <c r="G50" i="8"/>
  <c r="I50" i="8" s="1"/>
  <c r="G114" i="8"/>
  <c r="G178" i="8"/>
  <c r="G242" i="8"/>
  <c r="G102" i="8"/>
  <c r="G230" i="8"/>
  <c r="G223" i="8"/>
  <c r="G111" i="8"/>
  <c r="G119" i="8"/>
  <c r="G24" i="8"/>
  <c r="I24" i="8" s="1"/>
  <c r="G56" i="8"/>
  <c r="I56" i="8" s="1"/>
  <c r="G88" i="8"/>
  <c r="I88" i="8" s="1"/>
  <c r="G136" i="8"/>
  <c r="G168" i="8"/>
  <c r="G200" i="8"/>
  <c r="G57" i="8"/>
  <c r="I57" i="8" s="1"/>
  <c r="G121" i="8"/>
  <c r="G185" i="8"/>
  <c r="G10" i="8"/>
  <c r="I10" i="8" s="1"/>
  <c r="G138" i="8"/>
  <c r="G26" i="8"/>
  <c r="I26" i="8" s="1"/>
  <c r="G154" i="8"/>
  <c r="G218" i="8"/>
  <c r="G45" i="8"/>
  <c r="I45" i="8" s="1"/>
  <c r="G109" i="8"/>
  <c r="G173" i="8"/>
  <c r="G237" i="8"/>
  <c r="G22" i="8"/>
  <c r="I22" i="8" s="1"/>
  <c r="G12" i="8"/>
  <c r="I12" i="8" s="1"/>
  <c r="G60" i="8"/>
  <c r="I60" i="8" s="1"/>
  <c r="G107" i="8"/>
  <c r="G156" i="8"/>
  <c r="G203" i="8"/>
  <c r="G236" i="8"/>
  <c r="G61" i="8"/>
  <c r="I61" i="8" s="1"/>
  <c r="G125" i="8"/>
  <c r="G189" i="8"/>
  <c r="G17" i="8"/>
  <c r="I17" i="8" s="1"/>
  <c r="G81" i="8"/>
  <c r="I81" i="8" s="1"/>
  <c r="G54" i="8"/>
  <c r="I54" i="8" s="1"/>
  <c r="G182" i="8"/>
  <c r="G208" i="8"/>
  <c r="G209" i="8"/>
  <c r="G64" i="8"/>
  <c r="I64" i="8" s="1"/>
  <c r="G224" i="8"/>
  <c r="G113" i="8"/>
  <c r="G62" i="8"/>
  <c r="I62" i="8" s="1"/>
  <c r="G68" i="8"/>
  <c r="I68" i="8" s="1"/>
  <c r="G164" i="8"/>
  <c r="G20" i="8"/>
  <c r="I20" i="8" s="1"/>
  <c r="G52" i="8"/>
  <c r="I52" i="8" s="1"/>
  <c r="G84" i="8"/>
  <c r="I84" i="8" s="1"/>
  <c r="G116" i="8"/>
  <c r="G148" i="8"/>
  <c r="G180" i="8"/>
  <c r="G212" i="8"/>
  <c r="G37" i="8"/>
  <c r="I37" i="8" s="1"/>
  <c r="G101" i="8"/>
  <c r="G165" i="8"/>
  <c r="G229" i="8"/>
  <c r="G34" i="8"/>
  <c r="I34" i="8" s="1"/>
  <c r="G98" i="8"/>
  <c r="G162" i="8"/>
  <c r="G226" i="8"/>
  <c r="G134" i="8"/>
  <c r="G94" i="8"/>
  <c r="G103" i="8"/>
  <c r="G238" i="8"/>
  <c r="G7" i="8"/>
  <c r="I7" i="8" s="1"/>
  <c r="G39" i="8"/>
  <c r="I39" i="8" s="1"/>
  <c r="G71" i="8"/>
  <c r="I71" i="8" s="1"/>
  <c r="G104" i="8"/>
  <c r="G151" i="8"/>
  <c r="G183" i="8"/>
  <c r="G215" i="8"/>
  <c r="G9" i="8"/>
  <c r="I9" i="8" s="1"/>
  <c r="G73" i="8"/>
  <c r="I73" i="8" s="1"/>
  <c r="G137" i="8"/>
  <c r="G201" i="8"/>
  <c r="G42" i="8"/>
  <c r="I42" i="8" s="1"/>
  <c r="G170" i="8"/>
  <c r="G27" i="8"/>
  <c r="I27" i="8" s="1"/>
  <c r="G155" i="8"/>
  <c r="G219" i="8"/>
  <c r="G46" i="8"/>
  <c r="I46" i="8" s="1"/>
  <c r="G174" i="8"/>
  <c r="G28" i="8"/>
  <c r="I28" i="8" s="1"/>
  <c r="G75" i="8"/>
  <c r="I75" i="8" s="1"/>
  <c r="G108" i="8"/>
  <c r="G171" i="8"/>
  <c r="G204" i="8"/>
  <c r="G86" i="8"/>
  <c r="I86" i="8" s="1"/>
  <c r="G214" i="8"/>
  <c r="G240" i="8"/>
  <c r="G96" i="8"/>
  <c r="G160" i="8"/>
  <c r="G241" i="8"/>
  <c r="G30" i="8"/>
  <c r="I30" i="8" s="1"/>
  <c r="G191" i="8"/>
  <c r="G16" i="8"/>
  <c r="I16" i="8" s="1"/>
  <c r="G80" i="8"/>
  <c r="I80" i="8" s="1"/>
  <c r="G144" i="8"/>
  <c r="G79" i="8"/>
  <c r="I79" i="8" s="1"/>
  <c r="G35" i="8"/>
  <c r="I35" i="8" s="1"/>
  <c r="G67" i="8"/>
  <c r="I67" i="8" s="1"/>
  <c r="G99" i="8"/>
  <c r="G131" i="8"/>
  <c r="G163" i="8"/>
  <c r="G195" i="8"/>
  <c r="G227" i="8"/>
  <c r="G53" i="8"/>
  <c r="I53" i="8" s="1"/>
  <c r="G117" i="8"/>
  <c r="G181" i="8"/>
  <c r="G65" i="8"/>
  <c r="I65" i="8" s="1"/>
  <c r="G129" i="8"/>
  <c r="G193" i="8"/>
  <c r="G18" i="8"/>
  <c r="I18" i="8" s="1"/>
  <c r="G82" i="8"/>
  <c r="I82" i="8" s="1"/>
  <c r="G146" i="8"/>
  <c r="G210" i="8"/>
  <c r="G38" i="8"/>
  <c r="I38" i="8" s="1"/>
  <c r="G166" i="8"/>
  <c r="G95" i="8"/>
  <c r="G231" i="8"/>
  <c r="G239" i="8"/>
  <c r="G40" i="8"/>
  <c r="I40" i="8" s="1"/>
  <c r="G72" i="8"/>
  <c r="I72" i="8" s="1"/>
  <c r="G120" i="8"/>
  <c r="G152" i="8"/>
  <c r="G184" i="8"/>
  <c r="G216" i="8"/>
  <c r="G25" i="8"/>
  <c r="I25" i="8" s="1"/>
  <c r="G89" i="8"/>
  <c r="I89" i="8" s="1"/>
  <c r="G153" i="8"/>
  <c r="G217" i="8"/>
  <c r="G74" i="8"/>
  <c r="I74" i="8" s="1"/>
  <c r="G202" i="8"/>
  <c r="G58" i="8"/>
  <c r="I58" i="8" s="1"/>
  <c r="G122" i="8"/>
  <c r="G186" i="8"/>
  <c r="G13" i="8"/>
  <c r="I13" i="8" s="1"/>
  <c r="G77" i="8"/>
  <c r="I77" i="8" s="1"/>
  <c r="G141" i="8"/>
  <c r="G205" i="8"/>
  <c r="G126" i="8"/>
  <c r="G15" i="8"/>
  <c r="I15" i="8" s="1"/>
  <c r="G43" i="8"/>
  <c r="I43" i="8" s="1"/>
  <c r="G76" i="8"/>
  <c r="I76" i="8" s="1"/>
  <c r="G124" i="8"/>
  <c r="G172" i="8"/>
  <c r="G220" i="8"/>
  <c r="G29" i="8"/>
  <c r="I29" i="8" s="1"/>
  <c r="G157" i="8"/>
  <c r="G221" i="8"/>
  <c r="G49" i="8"/>
  <c r="I49" i="8" s="1"/>
  <c r="G31" i="8"/>
  <c r="I31" i="8" s="1"/>
  <c r="G47" i="8"/>
  <c r="I47" i="8" s="1"/>
  <c r="G48" i="8"/>
  <c r="I48" i="8" s="1"/>
  <c r="G32" i="8"/>
  <c r="I32" i="8" s="1"/>
  <c r="G190" i="8"/>
  <c r="H6" i="8"/>
  <c r="H5" i="8"/>
  <c r="F14" i="42"/>
  <c r="E16" i="42"/>
  <c r="A17" i="42"/>
  <c r="B16" i="42"/>
  <c r="D15" i="42"/>
  <c r="C15" i="42"/>
  <c r="H4" i="20"/>
  <c r="F15" i="42" l="1"/>
  <c r="D16" i="42"/>
  <c r="C16" i="42"/>
  <c r="E17" i="42"/>
  <c r="A18" i="42"/>
  <c r="B17" i="42"/>
  <c r="E18" i="42" l="1"/>
  <c r="A19" i="42"/>
  <c r="B18" i="42"/>
  <c r="F16" i="42"/>
  <c r="D17" i="42"/>
  <c r="C17" i="42"/>
  <c r="K61" i="14"/>
  <c r="L61" i="14"/>
  <c r="M61" i="14"/>
  <c r="K75" i="14"/>
  <c r="K78" i="14" s="1"/>
  <c r="L75" i="14"/>
  <c r="L78" i="14" s="1"/>
  <c r="M75" i="14"/>
  <c r="M78" i="14" s="1"/>
  <c r="J75" i="14"/>
  <c r="J78" i="14" s="1"/>
  <c r="I75" i="14"/>
  <c r="I78" i="14" s="1"/>
  <c r="H75" i="14"/>
  <c r="H78" i="14" s="1"/>
  <c r="G75" i="14"/>
  <c r="G78" i="14" s="1"/>
  <c r="F75" i="14"/>
  <c r="F78" i="14" s="1"/>
  <c r="E75" i="14"/>
  <c r="J61" i="14"/>
  <c r="I61" i="14"/>
  <c r="H61" i="14"/>
  <c r="G61" i="14"/>
  <c r="F61" i="14"/>
  <c r="E61" i="14"/>
  <c r="E78" i="14" l="1"/>
  <c r="D18" i="42"/>
  <c r="C18" i="42"/>
  <c r="F17" i="42"/>
  <c r="E19" i="42"/>
  <c r="A20" i="42"/>
  <c r="B19" i="42"/>
  <c r="D61" i="14"/>
  <c r="D75" i="14"/>
  <c r="D78" i="14" s="1"/>
  <c r="R14" i="14"/>
  <c r="A12" i="36" l="1"/>
  <c r="AQ10" i="36" s="1"/>
  <c r="H35" i="14"/>
  <c r="M35" i="14"/>
  <c r="N35" i="14"/>
  <c r="K35" i="14"/>
  <c r="AQ9" i="36" s="1"/>
  <c r="O35" i="14"/>
  <c r="L35" i="14"/>
  <c r="F18" i="42"/>
  <c r="D19" i="42"/>
  <c r="C19" i="42"/>
  <c r="E20" i="42"/>
  <c r="A21" i="42"/>
  <c r="B20" i="42"/>
  <c r="K50" i="14"/>
  <c r="O50" i="14"/>
  <c r="L50" i="14"/>
  <c r="M50" i="14"/>
  <c r="N50" i="14"/>
  <c r="H3" i="20"/>
  <c r="I3" i="20" s="1"/>
  <c r="M34" i="14"/>
  <c r="N34" i="14"/>
  <c r="K34" i="14"/>
  <c r="O34" i="14"/>
  <c r="L34" i="14"/>
  <c r="E35" i="14"/>
  <c r="F35" i="14"/>
  <c r="AL9" i="36" s="1"/>
  <c r="G35" i="14"/>
  <c r="AM9" i="36" s="1"/>
  <c r="H34" i="14"/>
  <c r="I35" i="14"/>
  <c r="AO9" i="36" s="1"/>
  <c r="J35" i="14"/>
  <c r="AP9" i="36" s="1"/>
  <c r="E23" i="14"/>
  <c r="F23" i="14"/>
  <c r="G23" i="14"/>
  <c r="H23" i="14"/>
  <c r="I23" i="14"/>
  <c r="J23" i="14"/>
  <c r="N5" i="36"/>
  <c r="X5" i="36"/>
  <c r="AH5" i="36"/>
  <c r="AR5" i="36"/>
  <c r="BB5" i="36"/>
  <c r="AO10" i="36" l="1"/>
  <c r="AM10" i="36"/>
  <c r="AL10" i="36"/>
  <c r="J10" i="36"/>
  <c r="AP10" i="36"/>
  <c r="W10" i="36"/>
  <c r="S10" i="36"/>
  <c r="AI10" i="36"/>
  <c r="AA10" i="36"/>
  <c r="K10" i="36"/>
  <c r="Z10" i="36"/>
  <c r="Y10" i="36"/>
  <c r="X10" i="36"/>
  <c r="AC5" i="36"/>
  <c r="S5" i="36"/>
  <c r="AW5" i="36"/>
  <c r="J34" i="14"/>
  <c r="J36" i="14" s="1"/>
  <c r="I34" i="14"/>
  <c r="I36" i="14" s="1"/>
  <c r="BG5" i="36"/>
  <c r="M36" i="14"/>
  <c r="O36" i="14"/>
  <c r="N36" i="14"/>
  <c r="K36" i="14"/>
  <c r="L36" i="14"/>
  <c r="F19" i="42"/>
  <c r="E34" i="14"/>
  <c r="G34" i="14"/>
  <c r="E21" i="42"/>
  <c r="A22" i="42"/>
  <c r="B21" i="42"/>
  <c r="D20" i="42"/>
  <c r="C20" i="42"/>
  <c r="R15" i="14"/>
  <c r="K52" i="14"/>
  <c r="K51" i="14"/>
  <c r="M52" i="14"/>
  <c r="M51" i="14"/>
  <c r="L52" i="14"/>
  <c r="L51" i="14"/>
  <c r="O52" i="14"/>
  <c r="O51" i="14"/>
  <c r="N52" i="14"/>
  <c r="N51" i="14"/>
  <c r="F34" i="14"/>
  <c r="E8" i="11"/>
  <c r="C8" i="11"/>
  <c r="D8" i="11"/>
  <c r="F8" i="11"/>
  <c r="J8" i="11" s="1"/>
  <c r="C9" i="11"/>
  <c r="D9" i="11"/>
  <c r="E9" i="11"/>
  <c r="F9" i="11"/>
  <c r="J9" i="11" s="1"/>
  <c r="C10" i="11"/>
  <c r="D10" i="11"/>
  <c r="E10" i="11"/>
  <c r="F10" i="11"/>
  <c r="J10" i="11" s="1"/>
  <c r="C11" i="11"/>
  <c r="D11" i="11"/>
  <c r="E11" i="11"/>
  <c r="F11" i="11"/>
  <c r="J11" i="11" s="1"/>
  <c r="C12" i="11"/>
  <c r="D12" i="11"/>
  <c r="E12" i="11"/>
  <c r="F12" i="11"/>
  <c r="J12" i="11" s="1"/>
  <c r="C13" i="11"/>
  <c r="D13" i="11"/>
  <c r="E13" i="11"/>
  <c r="F13" i="11"/>
  <c r="J13" i="11" s="1"/>
  <c r="C14" i="11"/>
  <c r="D14" i="11"/>
  <c r="E14" i="11"/>
  <c r="F14" i="11"/>
  <c r="J14" i="11" s="1"/>
  <c r="D7" i="11"/>
  <c r="E7" i="11"/>
  <c r="F7" i="11"/>
  <c r="J7" i="11" s="1"/>
  <c r="C7" i="11"/>
  <c r="AN9" i="36" l="1"/>
  <c r="AN10" i="36" s="1"/>
  <c r="H36" i="14"/>
  <c r="AM5" i="36"/>
  <c r="F36" i="14"/>
  <c r="F20" i="42"/>
  <c r="E36" i="14"/>
  <c r="G36" i="14"/>
  <c r="D21" i="42"/>
  <c r="C21" i="42"/>
  <c r="E22" i="42"/>
  <c r="A23" i="42"/>
  <c r="B22" i="42"/>
  <c r="G14" i="11"/>
  <c r="H14" i="11"/>
  <c r="G13" i="11"/>
  <c r="H13" i="11"/>
  <c r="G12" i="11"/>
  <c r="H12" i="11"/>
  <c r="G10" i="11"/>
  <c r="H10" i="11"/>
  <c r="G11" i="11"/>
  <c r="H11" i="11"/>
  <c r="G9" i="11"/>
  <c r="H9" i="11"/>
  <c r="G8" i="11"/>
  <c r="H8" i="11"/>
  <c r="G7" i="11"/>
  <c r="H7" i="11"/>
  <c r="F21" i="42" l="1"/>
  <c r="E23" i="42"/>
  <c r="A24" i="42"/>
  <c r="B23" i="42"/>
  <c r="D22" i="42"/>
  <c r="C22" i="42"/>
  <c r="D11" i="14"/>
  <c r="H243" i="16"/>
  <c r="H242" i="16"/>
  <c r="H241" i="16"/>
  <c r="H240" i="16"/>
  <c r="H239" i="16"/>
  <c r="H238" i="16"/>
  <c r="H237" i="16"/>
  <c r="H236" i="16"/>
  <c r="H235" i="16"/>
  <c r="H234" i="16"/>
  <c r="H233" i="16"/>
  <c r="H232" i="16"/>
  <c r="H231" i="16"/>
  <c r="H230" i="16"/>
  <c r="H229" i="16"/>
  <c r="H228" i="16"/>
  <c r="H227" i="16"/>
  <c r="H226" i="16"/>
  <c r="H225" i="16"/>
  <c r="H224" i="16"/>
  <c r="H223" i="16"/>
  <c r="H222" i="16"/>
  <c r="H221" i="16"/>
  <c r="H220" i="16"/>
  <c r="H219" i="16"/>
  <c r="H218" i="16"/>
  <c r="H217" i="16"/>
  <c r="H216" i="16"/>
  <c r="H215" i="16"/>
  <c r="H214" i="16"/>
  <c r="H213" i="16"/>
  <c r="H212" i="16"/>
  <c r="H211" i="16"/>
  <c r="H210" i="16"/>
  <c r="H209" i="16"/>
  <c r="H208" i="16"/>
  <c r="H207" i="16"/>
  <c r="H206" i="16"/>
  <c r="H205" i="16"/>
  <c r="H204" i="16"/>
  <c r="H203" i="16"/>
  <c r="H202" i="16"/>
  <c r="H201" i="16"/>
  <c r="H200" i="16"/>
  <c r="H199" i="16"/>
  <c r="H198" i="16"/>
  <c r="H197" i="16"/>
  <c r="H196" i="16"/>
  <c r="H195" i="16"/>
  <c r="H194" i="16"/>
  <c r="H193" i="16"/>
  <c r="H192" i="16"/>
  <c r="H191" i="16"/>
  <c r="H190" i="16"/>
  <c r="H189" i="16"/>
  <c r="H188" i="16"/>
  <c r="H187" i="16"/>
  <c r="H186" i="16"/>
  <c r="H185" i="16"/>
  <c r="H184" i="16"/>
  <c r="H183" i="16"/>
  <c r="H182" i="16"/>
  <c r="H181" i="16"/>
  <c r="H180" i="16"/>
  <c r="H179" i="16"/>
  <c r="H178" i="16"/>
  <c r="H177" i="16"/>
  <c r="H176" i="16"/>
  <c r="H175" i="16"/>
  <c r="H174" i="16"/>
  <c r="H173" i="16"/>
  <c r="H172" i="16"/>
  <c r="H171" i="16"/>
  <c r="H170" i="16"/>
  <c r="H169" i="16"/>
  <c r="H168" i="16"/>
  <c r="H167" i="16"/>
  <c r="H166" i="16"/>
  <c r="H165" i="16"/>
  <c r="H164" i="16"/>
  <c r="H163" i="16"/>
  <c r="H162" i="16"/>
  <c r="H161" i="16"/>
  <c r="H160" i="16"/>
  <c r="H159" i="16"/>
  <c r="H158" i="16"/>
  <c r="H157" i="16"/>
  <c r="H156" i="16"/>
  <c r="H155" i="16"/>
  <c r="H154" i="16"/>
  <c r="H153" i="16"/>
  <c r="H152" i="16"/>
  <c r="H151" i="16"/>
  <c r="H150" i="16"/>
  <c r="H149" i="16"/>
  <c r="H148" i="16"/>
  <c r="H147" i="16"/>
  <c r="H146" i="16"/>
  <c r="H145" i="16"/>
  <c r="H144" i="16"/>
  <c r="H143" i="16"/>
  <c r="H142" i="16"/>
  <c r="H141" i="16"/>
  <c r="H140" i="16"/>
  <c r="H139" i="16"/>
  <c r="H138" i="16"/>
  <c r="H137" i="16"/>
  <c r="H136" i="16"/>
  <c r="H135" i="16"/>
  <c r="H134" i="16"/>
  <c r="H133" i="16"/>
  <c r="H132" i="16"/>
  <c r="H131" i="16"/>
  <c r="H130" i="16"/>
  <c r="H129" i="16"/>
  <c r="H128" i="16"/>
  <c r="H127" i="16"/>
  <c r="H126" i="16"/>
  <c r="H125" i="16"/>
  <c r="H124" i="16"/>
  <c r="H123" i="16"/>
  <c r="H122" i="16"/>
  <c r="H121" i="16"/>
  <c r="H120" i="16"/>
  <c r="H119" i="16"/>
  <c r="H118" i="16"/>
  <c r="H117" i="16"/>
  <c r="H116" i="16"/>
  <c r="H115" i="16"/>
  <c r="H114" i="16"/>
  <c r="H113" i="16"/>
  <c r="H112" i="16"/>
  <c r="H111" i="16"/>
  <c r="H110" i="16"/>
  <c r="H109" i="16"/>
  <c r="H108" i="16"/>
  <c r="H107" i="16"/>
  <c r="H106" i="16"/>
  <c r="H105" i="16"/>
  <c r="H104" i="16"/>
  <c r="H103" i="16"/>
  <c r="H102" i="16"/>
  <c r="H101" i="16"/>
  <c r="H100" i="16"/>
  <c r="H99" i="16"/>
  <c r="H98" i="16"/>
  <c r="H97" i="16"/>
  <c r="H96" i="16"/>
  <c r="H95" i="16"/>
  <c r="H94" i="16"/>
  <c r="H93" i="16"/>
  <c r="H92" i="16"/>
  <c r="H91" i="16"/>
  <c r="H90" i="16"/>
  <c r="H89" i="16"/>
  <c r="H88" i="16"/>
  <c r="H87" i="16"/>
  <c r="H86" i="16"/>
  <c r="H85" i="16"/>
  <c r="H84" i="16"/>
  <c r="H83" i="16"/>
  <c r="H82" i="16"/>
  <c r="H81" i="16"/>
  <c r="H80" i="16"/>
  <c r="H79" i="16"/>
  <c r="H78" i="16"/>
  <c r="H77" i="16"/>
  <c r="H76" i="16"/>
  <c r="H75" i="16"/>
  <c r="H74" i="16"/>
  <c r="H73" i="16"/>
  <c r="H72" i="16"/>
  <c r="H71" i="16"/>
  <c r="H70" i="16"/>
  <c r="H69" i="16"/>
  <c r="H68" i="16"/>
  <c r="H67" i="16"/>
  <c r="H66" i="16"/>
  <c r="H65" i="16"/>
  <c r="H64" i="16"/>
  <c r="H63" i="16"/>
  <c r="H62" i="16"/>
  <c r="H61" i="16"/>
  <c r="H60" i="16"/>
  <c r="H59" i="16"/>
  <c r="H58" i="16"/>
  <c r="H57" i="16"/>
  <c r="H56" i="16"/>
  <c r="H55" i="16"/>
  <c r="H54" i="16"/>
  <c r="H53" i="16"/>
  <c r="H52" i="16"/>
  <c r="H51" i="16"/>
  <c r="H50" i="16"/>
  <c r="H49" i="16"/>
  <c r="H48" i="16"/>
  <c r="H47" i="16"/>
  <c r="H46" i="16"/>
  <c r="H45" i="16"/>
  <c r="H44" i="16"/>
  <c r="H43" i="16"/>
  <c r="H42" i="16"/>
  <c r="H41" i="16"/>
  <c r="H40" i="16"/>
  <c r="H39" i="16"/>
  <c r="H38" i="16"/>
  <c r="H37" i="16"/>
  <c r="H36" i="16"/>
  <c r="H35" i="16"/>
  <c r="H34" i="16"/>
  <c r="H33" i="16"/>
  <c r="H32" i="16"/>
  <c r="H31" i="16"/>
  <c r="H30" i="16"/>
  <c r="H29" i="16"/>
  <c r="H28" i="16"/>
  <c r="H27" i="16"/>
  <c r="H26" i="16"/>
  <c r="H25" i="16"/>
  <c r="H24" i="16"/>
  <c r="H23" i="16"/>
  <c r="H22" i="16"/>
  <c r="H21" i="16"/>
  <c r="H20" i="16"/>
  <c r="H19" i="16"/>
  <c r="H18" i="16"/>
  <c r="H17" i="16"/>
  <c r="H16" i="16"/>
  <c r="H15" i="16"/>
  <c r="H14" i="16"/>
  <c r="H13" i="16"/>
  <c r="H12" i="16"/>
  <c r="H11" i="16"/>
  <c r="H243" i="15"/>
  <c r="H242" i="15"/>
  <c r="H241" i="15"/>
  <c r="H240" i="15"/>
  <c r="H239" i="15"/>
  <c r="H238" i="15"/>
  <c r="H237" i="15"/>
  <c r="H236" i="15"/>
  <c r="H235" i="15"/>
  <c r="H234" i="15"/>
  <c r="H233" i="15"/>
  <c r="H232" i="15"/>
  <c r="H231" i="15"/>
  <c r="H230" i="15"/>
  <c r="H229" i="15"/>
  <c r="H228" i="15"/>
  <c r="H227" i="15"/>
  <c r="H226" i="15"/>
  <c r="H225" i="15"/>
  <c r="H224" i="15"/>
  <c r="H223" i="15"/>
  <c r="H222" i="15"/>
  <c r="H221" i="15"/>
  <c r="H220" i="15"/>
  <c r="H219" i="15"/>
  <c r="H218" i="15"/>
  <c r="H217" i="15"/>
  <c r="H216" i="15"/>
  <c r="H215" i="15"/>
  <c r="H214" i="15"/>
  <c r="H213" i="15"/>
  <c r="H212" i="15"/>
  <c r="H211" i="15"/>
  <c r="H210" i="15"/>
  <c r="H209" i="15"/>
  <c r="H208" i="15"/>
  <c r="H207" i="15"/>
  <c r="H206" i="15"/>
  <c r="H205" i="15"/>
  <c r="H204" i="15"/>
  <c r="H203" i="15"/>
  <c r="H202" i="15"/>
  <c r="H201" i="15"/>
  <c r="H200" i="15"/>
  <c r="H199" i="15"/>
  <c r="H198" i="15"/>
  <c r="H197" i="15"/>
  <c r="H196" i="15"/>
  <c r="H195" i="15"/>
  <c r="H194" i="15"/>
  <c r="H193" i="15"/>
  <c r="H192" i="15"/>
  <c r="H191" i="15"/>
  <c r="H190" i="15"/>
  <c r="H189" i="15"/>
  <c r="H188" i="15"/>
  <c r="H187" i="15"/>
  <c r="H186" i="15"/>
  <c r="H185" i="15"/>
  <c r="H184" i="15"/>
  <c r="H183" i="15"/>
  <c r="H182" i="15"/>
  <c r="H181" i="15"/>
  <c r="H180" i="15"/>
  <c r="H179" i="15"/>
  <c r="H178" i="15"/>
  <c r="H177" i="15"/>
  <c r="H176" i="15"/>
  <c r="H175" i="15"/>
  <c r="H174" i="15"/>
  <c r="H173" i="15"/>
  <c r="H172" i="15"/>
  <c r="H171" i="15"/>
  <c r="H170" i="15"/>
  <c r="H169" i="15"/>
  <c r="H168" i="15"/>
  <c r="H167" i="15"/>
  <c r="H166" i="15"/>
  <c r="H165" i="15"/>
  <c r="H164" i="15"/>
  <c r="H163" i="15"/>
  <c r="H162" i="15"/>
  <c r="H161" i="15"/>
  <c r="H160" i="15"/>
  <c r="H159" i="15"/>
  <c r="H158" i="15"/>
  <c r="H157" i="15"/>
  <c r="H156" i="15"/>
  <c r="H155" i="15"/>
  <c r="H154" i="15"/>
  <c r="H153" i="15"/>
  <c r="H152" i="15"/>
  <c r="H151" i="15"/>
  <c r="H150" i="15"/>
  <c r="H149" i="15"/>
  <c r="H148" i="15"/>
  <c r="H147" i="15"/>
  <c r="H146" i="15"/>
  <c r="H145" i="15"/>
  <c r="H144" i="15"/>
  <c r="H143" i="15"/>
  <c r="H142" i="15"/>
  <c r="H141" i="15"/>
  <c r="H140" i="15"/>
  <c r="H139" i="15"/>
  <c r="H138" i="15"/>
  <c r="H137" i="15"/>
  <c r="H136" i="15"/>
  <c r="H135" i="15"/>
  <c r="H134" i="15"/>
  <c r="H133" i="15"/>
  <c r="H132" i="15"/>
  <c r="H131" i="15"/>
  <c r="H130" i="15"/>
  <c r="H129" i="15"/>
  <c r="H128" i="15"/>
  <c r="H127" i="15"/>
  <c r="H126" i="15"/>
  <c r="H125" i="15"/>
  <c r="H124" i="15"/>
  <c r="H123" i="15"/>
  <c r="H122" i="15"/>
  <c r="H121" i="15"/>
  <c r="H120" i="15"/>
  <c r="H119" i="15"/>
  <c r="H118" i="15"/>
  <c r="H117" i="15"/>
  <c r="H116" i="15"/>
  <c r="H115" i="15"/>
  <c r="H114" i="15"/>
  <c r="H113" i="15"/>
  <c r="H112" i="15"/>
  <c r="H111" i="15"/>
  <c r="H110" i="15"/>
  <c r="H109" i="15"/>
  <c r="H108" i="15"/>
  <c r="H107" i="15"/>
  <c r="H106" i="15"/>
  <c r="H105" i="15"/>
  <c r="H104" i="15"/>
  <c r="H103" i="15"/>
  <c r="H102" i="15"/>
  <c r="H101" i="15"/>
  <c r="H100" i="15"/>
  <c r="H99" i="15"/>
  <c r="H98" i="15"/>
  <c r="H97" i="15"/>
  <c r="H96" i="15"/>
  <c r="H95" i="15"/>
  <c r="H94" i="15"/>
  <c r="H93" i="15"/>
  <c r="H92" i="15"/>
  <c r="H91" i="15"/>
  <c r="H90" i="15"/>
  <c r="H89" i="15"/>
  <c r="H88" i="15"/>
  <c r="H87" i="15"/>
  <c r="H86" i="15"/>
  <c r="H85" i="15"/>
  <c r="H84" i="15"/>
  <c r="H83" i="15"/>
  <c r="H82" i="15"/>
  <c r="H81" i="15"/>
  <c r="H80" i="15"/>
  <c r="H79" i="15"/>
  <c r="H78" i="15"/>
  <c r="H77" i="15"/>
  <c r="H76" i="15"/>
  <c r="H75" i="15"/>
  <c r="H74" i="15"/>
  <c r="H73" i="15"/>
  <c r="H72" i="15"/>
  <c r="H71" i="15"/>
  <c r="H70" i="15"/>
  <c r="H69" i="15"/>
  <c r="H68" i="15"/>
  <c r="H67" i="15"/>
  <c r="H66" i="15"/>
  <c r="H65" i="15"/>
  <c r="H64" i="15"/>
  <c r="H63" i="15"/>
  <c r="H62" i="15"/>
  <c r="H61" i="15"/>
  <c r="H60" i="15"/>
  <c r="H59" i="15"/>
  <c r="H58" i="15"/>
  <c r="H57" i="15"/>
  <c r="H56" i="15"/>
  <c r="H55" i="15"/>
  <c r="H54" i="15"/>
  <c r="H53" i="15"/>
  <c r="H52" i="15"/>
  <c r="H51" i="15"/>
  <c r="H50" i="15"/>
  <c r="H49" i="15"/>
  <c r="H48" i="15"/>
  <c r="H47" i="15"/>
  <c r="H46" i="15"/>
  <c r="H45" i="15"/>
  <c r="H44" i="15"/>
  <c r="H43" i="15"/>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11" i="15"/>
  <c r="H10" i="15"/>
  <c r="H9" i="15"/>
  <c r="H193" i="8"/>
  <c r="H197" i="8"/>
  <c r="H201" i="8"/>
  <c r="H205" i="8"/>
  <c r="H209" i="8"/>
  <c r="H213" i="8"/>
  <c r="H217" i="8"/>
  <c r="H221" i="8"/>
  <c r="H225" i="8"/>
  <c r="H226" i="8"/>
  <c r="H229" i="8"/>
  <c r="H230" i="8"/>
  <c r="H231" i="8"/>
  <c r="H232" i="8"/>
  <c r="H233" i="8"/>
  <c r="H234" i="8"/>
  <c r="H235" i="8"/>
  <c r="H236" i="8"/>
  <c r="H237" i="8"/>
  <c r="H238" i="8"/>
  <c r="H239" i="8"/>
  <c r="H240" i="8"/>
  <c r="H241" i="8"/>
  <c r="H242" i="8"/>
  <c r="D25" i="14"/>
  <c r="D32" i="14" l="1"/>
  <c r="D18" i="14"/>
  <c r="D5" i="36" s="1"/>
  <c r="C10" i="36"/>
  <c r="U7" i="36" s="1"/>
  <c r="C5" i="36"/>
  <c r="F22" i="42"/>
  <c r="D23" i="42"/>
  <c r="C23" i="42"/>
  <c r="E24" i="42"/>
  <c r="A25" i="42"/>
  <c r="B24" i="42"/>
  <c r="D83" i="14"/>
  <c r="D48" i="14"/>
  <c r="D23" i="14"/>
  <c r="D16" i="14"/>
  <c r="F243" i="8"/>
  <c r="G243" i="8" s="1"/>
  <c r="H185" i="8"/>
  <c r="H173" i="8"/>
  <c r="H169" i="8"/>
  <c r="H153" i="8"/>
  <c r="H137" i="8"/>
  <c r="H117" i="8"/>
  <c r="H227" i="8"/>
  <c r="H223" i="8"/>
  <c r="H219" i="8"/>
  <c r="H215" i="8"/>
  <c r="H211" i="8"/>
  <c r="H207" i="8"/>
  <c r="H203" i="8"/>
  <c r="H199" i="8"/>
  <c r="H195" i="8"/>
  <c r="H191" i="8"/>
  <c r="H187" i="8"/>
  <c r="H183" i="8"/>
  <c r="H179" i="8"/>
  <c r="H175" i="8"/>
  <c r="H171" i="8"/>
  <c r="H167" i="8"/>
  <c r="H163" i="8"/>
  <c r="H159" i="8"/>
  <c r="H155" i="8"/>
  <c r="H151" i="8"/>
  <c r="H147" i="8"/>
  <c r="H143" i="8"/>
  <c r="H139" i="8"/>
  <c r="H135" i="8"/>
  <c r="H131" i="8"/>
  <c r="H127" i="8"/>
  <c r="H123" i="8"/>
  <c r="H119" i="8"/>
  <c r="H115" i="8"/>
  <c r="H111" i="8"/>
  <c r="H181" i="8"/>
  <c r="H161" i="8"/>
  <c r="H149" i="8"/>
  <c r="H141" i="8"/>
  <c r="H129" i="8"/>
  <c r="H121" i="8"/>
  <c r="H222" i="8"/>
  <c r="H218" i="8"/>
  <c r="H214" i="8"/>
  <c r="H210" i="8"/>
  <c r="H206" i="8"/>
  <c r="H202" i="8"/>
  <c r="H198" i="8"/>
  <c r="H194" i="8"/>
  <c r="H190" i="8"/>
  <c r="H186" i="8"/>
  <c r="H182" i="8"/>
  <c r="H178" i="8"/>
  <c r="H174" i="8"/>
  <c r="H170" i="8"/>
  <c r="H166" i="8"/>
  <c r="H162" i="8"/>
  <c r="H158" i="8"/>
  <c r="H154" i="8"/>
  <c r="H150" i="8"/>
  <c r="H146" i="8"/>
  <c r="H142" i="8"/>
  <c r="H138" i="8"/>
  <c r="H134" i="8"/>
  <c r="H130" i="8"/>
  <c r="H126" i="8"/>
  <c r="H122" i="8"/>
  <c r="H118" i="8"/>
  <c r="H114" i="8"/>
  <c r="H110" i="8"/>
  <c r="H189" i="8"/>
  <c r="H177" i="8"/>
  <c r="H165" i="8"/>
  <c r="H157" i="8"/>
  <c r="H145" i="8"/>
  <c r="H133" i="8"/>
  <c r="H125" i="8"/>
  <c r="H113" i="8"/>
  <c r="H228" i="8"/>
  <c r="H224" i="8"/>
  <c r="H220" i="8"/>
  <c r="H216" i="8"/>
  <c r="H212" i="8"/>
  <c r="H208" i="8"/>
  <c r="H204" i="8"/>
  <c r="H200" i="8"/>
  <c r="H196" i="8"/>
  <c r="H192" i="8"/>
  <c r="H188" i="8"/>
  <c r="H184" i="8"/>
  <c r="H180" i="8"/>
  <c r="H176" i="8"/>
  <c r="H172" i="8"/>
  <c r="H168" i="8"/>
  <c r="H164" i="8"/>
  <c r="H160" i="8"/>
  <c r="H156" i="8"/>
  <c r="H152" i="8"/>
  <c r="H148" i="8"/>
  <c r="H144" i="8"/>
  <c r="H140" i="8"/>
  <c r="H136" i="8"/>
  <c r="H132" i="8"/>
  <c r="H128" i="8"/>
  <c r="H124" i="8"/>
  <c r="H120" i="8"/>
  <c r="H116" i="8"/>
  <c r="H112" i="8"/>
  <c r="H57" i="14"/>
  <c r="M73" i="14"/>
  <c r="M57" i="14"/>
  <c r="L73" i="14"/>
  <c r="H73" i="14"/>
  <c r="G73" i="14"/>
  <c r="I73" i="14"/>
  <c r="E73" i="14"/>
  <c r="F57" i="14"/>
  <c r="J57" i="14"/>
  <c r="K57" i="14"/>
  <c r="F73" i="14"/>
  <c r="J73" i="14"/>
  <c r="G57" i="14"/>
  <c r="D77" i="14"/>
  <c r="D79" i="14" s="1"/>
  <c r="L57" i="14"/>
  <c r="D67" i="14"/>
  <c r="K73" i="14"/>
  <c r="E57" i="14"/>
  <c r="I57" i="14"/>
  <c r="H14" i="14"/>
  <c r="P9" i="36" s="1"/>
  <c r="I14" i="14"/>
  <c r="Q9" i="36" s="1"/>
  <c r="E14" i="14"/>
  <c r="G14" i="14"/>
  <c r="O9" i="36" s="1"/>
  <c r="J14" i="14"/>
  <c r="R9" i="36" s="1"/>
  <c r="R10" i="36" s="1"/>
  <c r="F14" i="14"/>
  <c r="N9" i="36" s="1"/>
  <c r="O14" i="14"/>
  <c r="O33" i="14" s="1"/>
  <c r="K14" i="14"/>
  <c r="L14" i="14"/>
  <c r="L33" i="14" s="1"/>
  <c r="N14" i="14"/>
  <c r="N33" i="14" s="1"/>
  <c r="M14" i="14"/>
  <c r="M33" i="14" s="1"/>
  <c r="D13" i="14"/>
  <c r="D26" i="14"/>
  <c r="D20" i="14"/>
  <c r="D28" i="14"/>
  <c r="D40" i="14"/>
  <c r="D12" i="14"/>
  <c r="D29" i="14"/>
  <c r="D27" i="14"/>
  <c r="V9" i="36" l="1"/>
  <c r="V10" i="36" s="1"/>
  <c r="U9" i="36"/>
  <c r="S9" i="36"/>
  <c r="K33" i="14"/>
  <c r="M39" i="14"/>
  <c r="L39" i="14"/>
  <c r="E67" i="14"/>
  <c r="E81" i="14" s="1"/>
  <c r="P10" i="36"/>
  <c r="O10" i="36"/>
  <c r="N10" i="36"/>
  <c r="P5" i="36"/>
  <c r="J33" i="14"/>
  <c r="I33" i="14"/>
  <c r="AY5" i="36" s="1"/>
  <c r="Q10" i="36"/>
  <c r="M67" i="14"/>
  <c r="M81" i="14" s="1"/>
  <c r="K24" i="14"/>
  <c r="K38" i="14" s="1"/>
  <c r="K19" i="14"/>
  <c r="K37" i="14" s="1"/>
  <c r="J24" i="14"/>
  <c r="J38" i="14" s="1"/>
  <c r="H24" i="14"/>
  <c r="H38" i="14" s="1"/>
  <c r="D81" i="14"/>
  <c r="F67" i="14"/>
  <c r="F81" i="14" s="1"/>
  <c r="H67" i="14"/>
  <c r="H81" i="14" s="1"/>
  <c r="N19" i="14"/>
  <c r="N37" i="14" s="1"/>
  <c r="N39" i="14" s="1"/>
  <c r="N24" i="14"/>
  <c r="N38" i="14" s="1"/>
  <c r="E24" i="14"/>
  <c r="E38" i="14" s="1"/>
  <c r="K67" i="14"/>
  <c r="K81" i="14" s="1"/>
  <c r="M19" i="14"/>
  <c r="M37" i="14" s="1"/>
  <c r="M24" i="14"/>
  <c r="M38" i="14" s="1"/>
  <c r="O24" i="14"/>
  <c r="O38" i="14" s="1"/>
  <c r="O19" i="14"/>
  <c r="O37" i="14" s="1"/>
  <c r="O39" i="14" s="1"/>
  <c r="G24" i="14"/>
  <c r="G38" i="14" s="1"/>
  <c r="I67" i="14"/>
  <c r="I81" i="14" s="1"/>
  <c r="L67" i="14"/>
  <c r="L81" i="14" s="1"/>
  <c r="L24" i="14"/>
  <c r="L38" i="14" s="1"/>
  <c r="L19" i="14"/>
  <c r="L37" i="14" s="1"/>
  <c r="F24" i="14"/>
  <c r="F38" i="14" s="1"/>
  <c r="I24" i="14"/>
  <c r="I38" i="14" s="1"/>
  <c r="G67" i="14"/>
  <c r="G81" i="14" s="1"/>
  <c r="J67" i="14"/>
  <c r="J81" i="14" s="1"/>
  <c r="E76" i="14"/>
  <c r="G76" i="14"/>
  <c r="J76" i="14"/>
  <c r="K76" i="14"/>
  <c r="M76" i="14"/>
  <c r="AJ5" i="36"/>
  <c r="F76" i="14"/>
  <c r="H76" i="14"/>
  <c r="Z5" i="36"/>
  <c r="I76" i="14"/>
  <c r="L76" i="14"/>
  <c r="AT5" i="36"/>
  <c r="BD5" i="36"/>
  <c r="H33" i="14"/>
  <c r="AO5" i="36" s="1"/>
  <c r="F23" i="42"/>
  <c r="E25" i="42"/>
  <c r="A26" i="42"/>
  <c r="B25" i="42"/>
  <c r="D24" i="42"/>
  <c r="C24" i="42"/>
  <c r="G33" i="14"/>
  <c r="AE5" i="36" s="1"/>
  <c r="F33" i="14"/>
  <c r="U5" i="36" s="1"/>
  <c r="E33" i="14"/>
  <c r="F77" i="14"/>
  <c r="F79" i="14" s="1"/>
  <c r="E77" i="14"/>
  <c r="E79" i="14" s="1"/>
  <c r="L77" i="14"/>
  <c r="L79" i="14" s="1"/>
  <c r="K77" i="14"/>
  <c r="K79" i="14" s="1"/>
  <c r="G77" i="14"/>
  <c r="G79" i="14" s="1"/>
  <c r="M77" i="14"/>
  <c r="M79" i="14" s="1"/>
  <c r="I77" i="14"/>
  <c r="I79" i="14" s="1"/>
  <c r="D76" i="14"/>
  <c r="J77" i="14"/>
  <c r="J79" i="14" s="1"/>
  <c r="H77" i="14"/>
  <c r="H79" i="14" s="1"/>
  <c r="H243" i="8"/>
  <c r="H109" i="8"/>
  <c r="AI9" i="36" l="1"/>
  <c r="K39" i="14"/>
  <c r="BI5" i="36"/>
  <c r="R19" i="14"/>
  <c r="D25" i="42"/>
  <c r="C25" i="42"/>
  <c r="E26" i="42"/>
  <c r="A27" i="42"/>
  <c r="B26" i="42"/>
  <c r="F24" i="42"/>
  <c r="N31" i="14"/>
  <c r="M31" i="14"/>
  <c r="L31" i="14"/>
  <c r="O31" i="14"/>
  <c r="K31" i="14"/>
  <c r="H108" i="8"/>
  <c r="H10" i="36" l="1"/>
  <c r="F10" i="36"/>
  <c r="G10" i="36"/>
  <c r="F25" i="42"/>
  <c r="E27" i="42"/>
  <c r="A28" i="42"/>
  <c r="B27" i="42"/>
  <c r="D26" i="42"/>
  <c r="C26" i="42"/>
  <c r="H107" i="8"/>
  <c r="I10" i="36" l="1"/>
  <c r="F26" i="42"/>
  <c r="D27" i="42"/>
  <c r="C27" i="42"/>
  <c r="E28" i="42"/>
  <c r="A29" i="42"/>
  <c r="B28" i="42"/>
  <c r="H106" i="8"/>
  <c r="F27" i="42" l="1"/>
  <c r="D28" i="42"/>
  <c r="C28" i="42"/>
  <c r="E29" i="42"/>
  <c r="A30" i="42"/>
  <c r="B29" i="42"/>
  <c r="H105" i="8"/>
  <c r="F28" i="42" l="1"/>
  <c r="E30" i="42"/>
  <c r="A31" i="42"/>
  <c r="B30" i="42"/>
  <c r="D29" i="42"/>
  <c r="C29" i="42"/>
  <c r="H104" i="8"/>
  <c r="F29" i="42" l="1"/>
  <c r="D30" i="42"/>
  <c r="C30" i="42"/>
  <c r="E31" i="42"/>
  <c r="A32" i="42"/>
  <c r="B31" i="42"/>
  <c r="H103" i="8"/>
  <c r="F30" i="42" l="1"/>
  <c r="E32" i="42"/>
  <c r="A33" i="42"/>
  <c r="B32" i="42"/>
  <c r="D31" i="42"/>
  <c r="C31" i="42"/>
  <c r="H102" i="8"/>
  <c r="F31" i="42" l="1"/>
  <c r="D32" i="42"/>
  <c r="C32" i="42"/>
  <c r="E33" i="42"/>
  <c r="A34" i="42"/>
  <c r="B33" i="42"/>
  <c r="H101" i="8"/>
  <c r="F32" i="42" l="1"/>
  <c r="D33" i="42"/>
  <c r="C33" i="42"/>
  <c r="E34" i="42"/>
  <c r="A35" i="42"/>
  <c r="B34" i="42"/>
  <c r="H100" i="8"/>
  <c r="F33" i="42" l="1"/>
  <c r="E35" i="42"/>
  <c r="A36" i="42"/>
  <c r="B35" i="42"/>
  <c r="D34" i="42"/>
  <c r="C34" i="42"/>
  <c r="H99" i="8"/>
  <c r="F34" i="42" l="1"/>
  <c r="D35" i="42"/>
  <c r="C35" i="42"/>
  <c r="E36" i="42"/>
  <c r="A37" i="42"/>
  <c r="B36" i="42"/>
  <c r="H98" i="8"/>
  <c r="F35" i="42" l="1"/>
  <c r="E37" i="42"/>
  <c r="A38" i="42"/>
  <c r="B37" i="42"/>
  <c r="D36" i="42"/>
  <c r="C36" i="42"/>
  <c r="H97" i="8"/>
  <c r="D37" i="42" l="1"/>
  <c r="C37" i="42"/>
  <c r="E38" i="42"/>
  <c r="A39" i="42"/>
  <c r="B38" i="42"/>
  <c r="F36" i="42"/>
  <c r="H96" i="8"/>
  <c r="F37" i="42" l="1"/>
  <c r="E39" i="42"/>
  <c r="A40" i="42"/>
  <c r="B39" i="42"/>
  <c r="D38" i="42"/>
  <c r="C38" i="42"/>
  <c r="H95" i="8"/>
  <c r="F38" i="42" l="1"/>
  <c r="D39" i="42"/>
  <c r="C39" i="42"/>
  <c r="E40" i="42"/>
  <c r="A41" i="42"/>
  <c r="B40" i="42"/>
  <c r="H94" i="8"/>
  <c r="F39" i="42" l="1"/>
  <c r="E41" i="42"/>
  <c r="A42" i="42"/>
  <c r="B41" i="42"/>
  <c r="D40" i="42"/>
  <c r="C40" i="42"/>
  <c r="D41" i="42" l="1"/>
  <c r="C41" i="42"/>
  <c r="E42" i="42"/>
  <c r="B42" i="42"/>
  <c r="A43" i="42"/>
  <c r="F40" i="42"/>
  <c r="F41" i="42" l="1"/>
  <c r="D42" i="42"/>
  <c r="C42" i="42"/>
  <c r="E43" i="42"/>
  <c r="A44" i="42"/>
  <c r="B43" i="42"/>
  <c r="F42" i="42" l="1"/>
  <c r="E44" i="42"/>
  <c r="A45" i="42"/>
  <c r="B44" i="42"/>
  <c r="D43" i="42"/>
  <c r="C43" i="42"/>
  <c r="C35" i="14" l="1"/>
  <c r="D35" i="14"/>
  <c r="AK9" i="36" s="1"/>
  <c r="AK10" i="36" s="1"/>
  <c r="D30" i="14"/>
  <c r="D14" i="14"/>
  <c r="F43" i="42"/>
  <c r="D44" i="42"/>
  <c r="C44" i="42"/>
  <c r="E45" i="42"/>
  <c r="A46" i="42"/>
  <c r="B45" i="42"/>
  <c r="H89" i="8"/>
  <c r="E5" i="36" l="1"/>
  <c r="I5" i="36"/>
  <c r="D34" i="14"/>
  <c r="D36" i="14" s="1"/>
  <c r="D33" i="14"/>
  <c r="K5" i="36" s="1"/>
  <c r="F5" i="36"/>
  <c r="M9" i="36"/>
  <c r="M10" i="36" s="1"/>
  <c r="E9" i="36"/>
  <c r="E10" i="36" s="1"/>
  <c r="F44" i="42"/>
  <c r="D45" i="42"/>
  <c r="C45" i="42"/>
  <c r="E46" i="42"/>
  <c r="A47" i="42"/>
  <c r="B46" i="42"/>
  <c r="H88" i="8"/>
  <c r="F45" i="42" l="1"/>
  <c r="E47" i="42"/>
  <c r="A48" i="42"/>
  <c r="B47" i="42"/>
  <c r="D46" i="42"/>
  <c r="C46" i="42"/>
  <c r="H87" i="8"/>
  <c r="F46" i="42" l="1"/>
  <c r="D47" i="42"/>
  <c r="C47" i="42"/>
  <c r="E48" i="42"/>
  <c r="A49" i="42"/>
  <c r="B48" i="42"/>
  <c r="H86" i="8"/>
  <c r="J58" i="14"/>
  <c r="M58" i="14"/>
  <c r="G15" i="14"/>
  <c r="F58" i="14"/>
  <c r="I58" i="14"/>
  <c r="D21" i="14"/>
  <c r="G5" i="36"/>
  <c r="E58" i="14"/>
  <c r="F15" i="14"/>
  <c r="G58" i="14"/>
  <c r="K58" i="14"/>
  <c r="D58" i="14"/>
  <c r="H15" i="14"/>
  <c r="J15" i="14"/>
  <c r="H58" i="14"/>
  <c r="D15" i="14"/>
  <c r="L58" i="14"/>
  <c r="E15" i="14"/>
  <c r="I15" i="14"/>
  <c r="H6" i="60" l="1"/>
  <c r="F6" i="60"/>
  <c r="I6" i="60"/>
  <c r="E6" i="60"/>
  <c r="G6" i="60"/>
  <c r="J50" i="14"/>
  <c r="K62" i="14"/>
  <c r="K80" i="14" s="1"/>
  <c r="K82" i="14" s="1"/>
  <c r="K86" i="14"/>
  <c r="J62" i="14"/>
  <c r="J80" i="14" s="1"/>
  <c r="J82" i="14" s="1"/>
  <c r="J86" i="14"/>
  <c r="L86" i="14"/>
  <c r="L62" i="14"/>
  <c r="L80" i="14" s="1"/>
  <c r="L82" i="14" s="1"/>
  <c r="L5" i="36"/>
  <c r="E86" i="14"/>
  <c r="E62" i="14"/>
  <c r="E80" i="14" s="1"/>
  <c r="E82" i="14" s="1"/>
  <c r="J19" i="14"/>
  <c r="F62" i="14"/>
  <c r="F80" i="14" s="1"/>
  <c r="F82" i="14" s="1"/>
  <c r="F86" i="14"/>
  <c r="D24" i="14"/>
  <c r="U10" i="36"/>
  <c r="I50" i="14"/>
  <c r="I19" i="14"/>
  <c r="G50" i="14"/>
  <c r="G19" i="14"/>
  <c r="F19" i="14"/>
  <c r="F50" i="14"/>
  <c r="E19" i="14"/>
  <c r="E50" i="14"/>
  <c r="D86" i="14"/>
  <c r="D62" i="14"/>
  <c r="D80" i="14" s="1"/>
  <c r="D82" i="14" s="1"/>
  <c r="H62" i="14"/>
  <c r="H80" i="14" s="1"/>
  <c r="H82" i="14" s="1"/>
  <c r="H86" i="14"/>
  <c r="M62" i="14"/>
  <c r="M80" i="14" s="1"/>
  <c r="M82" i="14" s="1"/>
  <c r="M86" i="14"/>
  <c r="H19" i="14"/>
  <c r="H50" i="14"/>
  <c r="I62" i="14"/>
  <c r="I80" i="14" s="1"/>
  <c r="I82" i="14" s="1"/>
  <c r="I86" i="14"/>
  <c r="G62" i="14"/>
  <c r="G80" i="14" s="1"/>
  <c r="G82" i="14" s="1"/>
  <c r="G86" i="14"/>
  <c r="D50" i="14"/>
  <c r="D19" i="14"/>
  <c r="D37" i="14" s="1"/>
  <c r="F47" i="42"/>
  <c r="E49" i="42"/>
  <c r="A50" i="42"/>
  <c r="B49" i="42"/>
  <c r="D48" i="42"/>
  <c r="C48" i="42"/>
  <c r="H85" i="8"/>
  <c r="D63" i="10" l="1"/>
  <c r="J31" i="14"/>
  <c r="J37" i="14"/>
  <c r="AH9" i="36" s="1"/>
  <c r="J52" i="14"/>
  <c r="J51" i="14"/>
  <c r="D88" i="14"/>
  <c r="D87" i="14"/>
  <c r="F31" i="14"/>
  <c r="F37" i="14"/>
  <c r="AD9" i="36" s="1"/>
  <c r="D38" i="14"/>
  <c r="H5" i="36" s="1"/>
  <c r="D31" i="14"/>
  <c r="D52" i="14"/>
  <c r="D51" i="14"/>
  <c r="I52" i="14"/>
  <c r="I51" i="14"/>
  <c r="M88" i="14"/>
  <c r="M87" i="14"/>
  <c r="F88" i="14"/>
  <c r="F87" i="14"/>
  <c r="H88" i="14"/>
  <c r="H87" i="14"/>
  <c r="E51" i="14"/>
  <c r="E52" i="14"/>
  <c r="G31" i="14"/>
  <c r="G37" i="14"/>
  <c r="AE9" i="36" s="1"/>
  <c r="G87" i="14"/>
  <c r="G88" i="14"/>
  <c r="H52" i="14"/>
  <c r="H51" i="14"/>
  <c r="E37" i="14"/>
  <c r="E39" i="14" s="1"/>
  <c r="E31" i="14"/>
  <c r="G52" i="14"/>
  <c r="G51" i="14"/>
  <c r="I87" i="14"/>
  <c r="I88" i="14"/>
  <c r="F51" i="14"/>
  <c r="F52" i="14"/>
  <c r="H37" i="14"/>
  <c r="AF9" i="36" s="1"/>
  <c r="H31" i="14"/>
  <c r="L87" i="14"/>
  <c r="L88" i="14"/>
  <c r="J88" i="14"/>
  <c r="J87" i="14"/>
  <c r="K88" i="14"/>
  <c r="K87" i="14"/>
  <c r="E88" i="14"/>
  <c r="E87" i="14"/>
  <c r="I31" i="14"/>
  <c r="I37" i="14"/>
  <c r="AG9" i="36" s="1"/>
  <c r="F48" i="42"/>
  <c r="D49" i="42"/>
  <c r="C49" i="42"/>
  <c r="E50" i="42"/>
  <c r="A51" i="42"/>
  <c r="B50" i="42"/>
  <c r="H84" i="8"/>
  <c r="AC9" i="36" l="1"/>
  <c r="AC10" i="36" s="1"/>
  <c r="J39" i="14"/>
  <c r="AH10" i="36"/>
  <c r="BH5" i="36"/>
  <c r="BF5" i="36"/>
  <c r="AX5" i="36"/>
  <c r="AV5" i="36"/>
  <c r="R18" i="14"/>
  <c r="AG10" i="36"/>
  <c r="I39" i="14"/>
  <c r="D39" i="14"/>
  <c r="R8" i="14" s="1"/>
  <c r="J5" i="36"/>
  <c r="H39" i="14"/>
  <c r="AN5" i="36"/>
  <c r="AL5" i="36"/>
  <c r="AF10" i="36"/>
  <c r="G39" i="14"/>
  <c r="AD5" i="36"/>
  <c r="AB5" i="36"/>
  <c r="AE10" i="36"/>
  <c r="R5" i="36"/>
  <c r="AD10" i="36"/>
  <c r="F39" i="14"/>
  <c r="T5" i="36"/>
  <c r="F49" i="42"/>
  <c r="E51" i="42"/>
  <c r="A52" i="42"/>
  <c r="B51" i="42"/>
  <c r="D50" i="42"/>
  <c r="C50" i="42"/>
  <c r="H83" i="8"/>
  <c r="R20" i="14" l="1"/>
  <c r="R21" i="14" s="1"/>
  <c r="R10" i="14"/>
  <c r="L46" i="14"/>
  <c r="L47" i="14" s="1"/>
  <c r="D44" i="14"/>
  <c r="R9" i="14"/>
  <c r="F46" i="14"/>
  <c r="F47" i="14" s="1"/>
  <c r="E44" i="14"/>
  <c r="G46" i="14"/>
  <c r="G47" i="14" s="1"/>
  <c r="I46" i="14"/>
  <c r="I47" i="14" s="1"/>
  <c r="K46" i="14"/>
  <c r="K47" i="14" s="1"/>
  <c r="O46" i="14"/>
  <c r="O47" i="14" s="1"/>
  <c r="M46" i="14"/>
  <c r="M47" i="14" s="1"/>
  <c r="J46" i="14"/>
  <c r="J47" i="14" s="1"/>
  <c r="N46" i="14"/>
  <c r="N47" i="14" s="1"/>
  <c r="R11" i="14"/>
  <c r="H46" i="14"/>
  <c r="H47" i="14" s="1"/>
  <c r="E46" i="14"/>
  <c r="E47" i="14" s="1"/>
  <c r="D46" i="14"/>
  <c r="D47" i="14" s="1"/>
  <c r="F50" i="42"/>
  <c r="D51" i="42"/>
  <c r="C51" i="42"/>
  <c r="E52" i="42"/>
  <c r="A53" i="42"/>
  <c r="B52" i="42"/>
  <c r="H82" i="8"/>
  <c r="E45" i="14" l="1"/>
  <c r="D45" i="14" s="1"/>
  <c r="E43" i="14"/>
  <c r="D43" i="14" s="1"/>
  <c r="J44" i="14"/>
  <c r="F42" i="14"/>
  <c r="N44" i="14"/>
  <c r="L44" i="14"/>
  <c r="G42" i="14"/>
  <c r="G44" i="14"/>
  <c r="M44" i="14"/>
  <c r="K42" i="14"/>
  <c r="H42" i="14"/>
  <c r="D42" i="14"/>
  <c r="O44" i="14"/>
  <c r="I44" i="14"/>
  <c r="H44" i="14"/>
  <c r="J42" i="14"/>
  <c r="K44" i="14"/>
  <c r="F44" i="14"/>
  <c r="L42" i="14"/>
  <c r="M42" i="14"/>
  <c r="O42" i="14"/>
  <c r="E42" i="14"/>
  <c r="N42" i="14"/>
  <c r="I42" i="14"/>
  <c r="F51" i="42"/>
  <c r="E53" i="42"/>
  <c r="A54" i="42"/>
  <c r="B53" i="42"/>
  <c r="D52" i="42"/>
  <c r="C52" i="42"/>
  <c r="H81" i="8"/>
  <c r="O43" i="14" l="1"/>
  <c r="O45" i="14"/>
  <c r="F45" i="14"/>
  <c r="F43" i="14"/>
  <c r="K45" i="14"/>
  <c r="K43" i="14"/>
  <c r="J45" i="14"/>
  <c r="J43" i="14"/>
  <c r="H43" i="14"/>
  <c r="H45" i="14"/>
  <c r="I43" i="14"/>
  <c r="I45" i="14"/>
  <c r="M45" i="14"/>
  <c r="M43" i="14"/>
  <c r="G43" i="14"/>
  <c r="G45" i="14"/>
  <c r="L45" i="14"/>
  <c r="L43" i="14"/>
  <c r="N43" i="14"/>
  <c r="N45" i="14"/>
  <c r="F52" i="42"/>
  <c r="D53" i="42"/>
  <c r="C53" i="42"/>
  <c r="E54" i="42"/>
  <c r="A55" i="42"/>
  <c r="B54" i="42"/>
  <c r="H80" i="8"/>
  <c r="F53" i="42" l="1"/>
  <c r="E55" i="42"/>
  <c r="A56" i="42"/>
  <c r="B55" i="42"/>
  <c r="D54" i="42"/>
  <c r="C54" i="42"/>
  <c r="H79" i="8"/>
  <c r="F54" i="42" l="1"/>
  <c r="D55" i="42"/>
  <c r="C55" i="42"/>
  <c r="E56" i="42"/>
  <c r="A57" i="42"/>
  <c r="B56" i="42"/>
  <c r="H78" i="8"/>
  <c r="F55" i="42" l="1"/>
  <c r="E57" i="42"/>
  <c r="A58" i="42"/>
  <c r="B57" i="42"/>
  <c r="D56" i="42"/>
  <c r="C56" i="42"/>
  <c r="H77" i="8"/>
  <c r="F56" i="42" l="1"/>
  <c r="D57" i="42"/>
  <c r="C57" i="42"/>
  <c r="E58" i="42"/>
  <c r="A59" i="42"/>
  <c r="B58" i="42"/>
  <c r="H76" i="8"/>
  <c r="F57" i="42" l="1"/>
  <c r="E59" i="42"/>
  <c r="A60" i="42"/>
  <c r="B59" i="42"/>
  <c r="D58" i="42"/>
  <c r="C58" i="42"/>
  <c r="H75" i="8"/>
  <c r="F58" i="42" l="1"/>
  <c r="D59" i="42"/>
  <c r="C59" i="42"/>
  <c r="E60" i="42"/>
  <c r="A61" i="42"/>
  <c r="B60" i="42"/>
  <c r="H74" i="8"/>
  <c r="F59" i="42" l="1"/>
  <c r="E61" i="42"/>
  <c r="A62" i="42"/>
  <c r="B61" i="42"/>
  <c r="D60" i="42"/>
  <c r="C60" i="42"/>
  <c r="H73" i="8"/>
  <c r="F60" i="42" l="1"/>
  <c r="D61" i="42"/>
  <c r="C61" i="42"/>
  <c r="E62" i="42"/>
  <c r="A63" i="42"/>
  <c r="B62" i="42"/>
  <c r="H72" i="8"/>
  <c r="F61" i="42" l="1"/>
  <c r="E63" i="42"/>
  <c r="A64" i="42"/>
  <c r="B63" i="42"/>
  <c r="D62" i="42"/>
  <c r="C62" i="42"/>
  <c r="H71" i="8"/>
  <c r="F62" i="42" l="1"/>
  <c r="D63" i="42"/>
  <c r="C63" i="42"/>
  <c r="E64" i="42"/>
  <c r="A65" i="42"/>
  <c r="B64" i="42"/>
  <c r="H70" i="8"/>
  <c r="F63" i="42" l="1"/>
  <c r="E65" i="42"/>
  <c r="A66" i="42"/>
  <c r="B65" i="42"/>
  <c r="D64" i="42"/>
  <c r="C64" i="42"/>
  <c r="H69" i="8"/>
  <c r="F64" i="42" l="1"/>
  <c r="D65" i="42"/>
  <c r="C65" i="42"/>
  <c r="E66" i="42"/>
  <c r="A67" i="42"/>
  <c r="B66" i="42"/>
  <c r="H68" i="8"/>
  <c r="F65" i="42" l="1"/>
  <c r="E67" i="42"/>
  <c r="A68" i="42"/>
  <c r="B67" i="42"/>
  <c r="D66" i="42"/>
  <c r="C66" i="42"/>
  <c r="H67" i="8"/>
  <c r="F66" i="42" l="1"/>
  <c r="D67" i="42"/>
  <c r="C67" i="42"/>
  <c r="E68" i="42"/>
  <c r="A69" i="42"/>
  <c r="B68" i="42"/>
  <c r="H66" i="8"/>
  <c r="F67" i="42" l="1"/>
  <c r="E69" i="42"/>
  <c r="A70" i="42"/>
  <c r="B69" i="42"/>
  <c r="D68" i="42"/>
  <c r="C68" i="42"/>
  <c r="H65" i="8"/>
  <c r="F68" i="42" l="1"/>
  <c r="D69" i="42"/>
  <c r="C69" i="42"/>
  <c r="E70" i="42"/>
  <c r="A71" i="42"/>
  <c r="B70" i="42"/>
  <c r="H64" i="8"/>
  <c r="F69" i="42" l="1"/>
  <c r="E71" i="42"/>
  <c r="A72" i="42"/>
  <c r="B71" i="42"/>
  <c r="D70" i="42"/>
  <c r="C70" i="42"/>
  <c r="H63" i="8"/>
  <c r="F70" i="42" l="1"/>
  <c r="D71" i="42"/>
  <c r="C71" i="42"/>
  <c r="E72" i="42"/>
  <c r="A73" i="42"/>
  <c r="B72" i="42"/>
  <c r="H62" i="8"/>
  <c r="F71" i="42" l="1"/>
  <c r="E73" i="42"/>
  <c r="A74" i="42"/>
  <c r="B73" i="42"/>
  <c r="D72" i="42"/>
  <c r="C72" i="42"/>
  <c r="H61" i="8"/>
  <c r="F72" i="42" l="1"/>
  <c r="D73" i="42"/>
  <c r="C73" i="42"/>
  <c r="E74" i="42"/>
  <c r="A75" i="42"/>
  <c r="B74" i="42"/>
  <c r="H60" i="8"/>
  <c r="F73" i="42" l="1"/>
  <c r="E75" i="42"/>
  <c r="A76" i="42"/>
  <c r="B75" i="42"/>
  <c r="D74" i="42"/>
  <c r="C74" i="42"/>
  <c r="H59" i="8"/>
  <c r="F74" i="42" l="1"/>
  <c r="D75" i="42"/>
  <c r="C75" i="42"/>
  <c r="E76" i="42"/>
  <c r="A77" i="42"/>
  <c r="B76" i="42"/>
  <c r="H58" i="8"/>
  <c r="F75" i="42" l="1"/>
  <c r="E77" i="42"/>
  <c r="A78" i="42"/>
  <c r="B77" i="42"/>
  <c r="D76" i="42"/>
  <c r="C76" i="42"/>
  <c r="H57" i="8"/>
  <c r="F76" i="42" l="1"/>
  <c r="D77" i="42"/>
  <c r="C77" i="42"/>
  <c r="E78" i="42"/>
  <c r="A79" i="42"/>
  <c r="B78" i="42"/>
  <c r="H56" i="8"/>
  <c r="F77" i="42" l="1"/>
  <c r="E79" i="42"/>
  <c r="A80" i="42"/>
  <c r="B79" i="42"/>
  <c r="D78" i="42"/>
  <c r="C78" i="42"/>
  <c r="H55" i="8"/>
  <c r="F78" i="42" l="1"/>
  <c r="D79" i="42"/>
  <c r="C79" i="42"/>
  <c r="E80" i="42"/>
  <c r="B80" i="42"/>
  <c r="A81" i="42"/>
  <c r="H54" i="8"/>
  <c r="F79" i="42" l="1"/>
  <c r="D80" i="42"/>
  <c r="C80" i="42"/>
  <c r="E81" i="42"/>
  <c r="A82" i="42"/>
  <c r="B81" i="42"/>
  <c r="H53" i="8"/>
  <c r="F80" i="42" l="1"/>
  <c r="E82" i="42"/>
  <c r="A83" i="42"/>
  <c r="B82" i="42"/>
  <c r="D81" i="42"/>
  <c r="C81" i="42"/>
  <c r="H52" i="8"/>
  <c r="F81" i="42" l="1"/>
  <c r="D82" i="42"/>
  <c r="C82" i="42"/>
  <c r="E83" i="42"/>
  <c r="A84" i="42"/>
  <c r="B83" i="42"/>
  <c r="H51" i="8"/>
  <c r="F82" i="42" l="1"/>
  <c r="E84" i="42"/>
  <c r="A85" i="42"/>
  <c r="B84" i="42"/>
  <c r="D83" i="42"/>
  <c r="C83" i="42"/>
  <c r="H50" i="8"/>
  <c r="F83" i="42" l="1"/>
  <c r="D84" i="42"/>
  <c r="C84" i="42"/>
  <c r="E85" i="42"/>
  <c r="A86" i="42"/>
  <c r="B85" i="42"/>
  <c r="H49" i="8"/>
  <c r="F84" i="42" l="1"/>
  <c r="E86" i="42"/>
  <c r="A87" i="42"/>
  <c r="B86" i="42"/>
  <c r="D85" i="42"/>
  <c r="C85" i="42"/>
  <c r="H48" i="8"/>
  <c r="F85" i="42" l="1"/>
  <c r="D86" i="42"/>
  <c r="C86" i="42"/>
  <c r="E87" i="42"/>
  <c r="A88" i="42"/>
  <c r="B87" i="42"/>
  <c r="H47" i="8"/>
  <c r="F86" i="42" l="1"/>
  <c r="E88" i="42"/>
  <c r="A89" i="42"/>
  <c r="B88" i="42"/>
  <c r="D87" i="42"/>
  <c r="C87" i="42"/>
  <c r="H46" i="8"/>
  <c r="F87" i="42" l="1"/>
  <c r="D88" i="42"/>
  <c r="C88" i="42"/>
  <c r="E89" i="42"/>
  <c r="A90" i="42"/>
  <c r="B89" i="42"/>
  <c r="H45" i="8"/>
  <c r="F88" i="42" l="1"/>
  <c r="E90" i="42"/>
  <c r="A91" i="42"/>
  <c r="B90" i="42"/>
  <c r="D89" i="42"/>
  <c r="C89" i="42"/>
  <c r="H44" i="8"/>
  <c r="F89" i="42" l="1"/>
  <c r="D90" i="42"/>
  <c r="C90" i="42"/>
  <c r="E91" i="42"/>
  <c r="A92" i="42"/>
  <c r="B91" i="42"/>
  <c r="H43" i="8"/>
  <c r="F90" i="42" l="1"/>
  <c r="E92" i="42"/>
  <c r="A93" i="42"/>
  <c r="B92" i="42"/>
  <c r="D91" i="42"/>
  <c r="C91" i="42"/>
  <c r="H42" i="8"/>
  <c r="F91" i="42" l="1"/>
  <c r="D92" i="42"/>
  <c r="C92" i="42"/>
  <c r="E93" i="42"/>
  <c r="A94" i="42"/>
  <c r="B93" i="42"/>
  <c r="H41" i="8"/>
  <c r="F92" i="42" l="1"/>
  <c r="E94" i="42"/>
  <c r="A95" i="42"/>
  <c r="B94" i="42"/>
  <c r="D93" i="42"/>
  <c r="C93" i="42"/>
  <c r="H40" i="8"/>
  <c r="F93" i="42" l="1"/>
  <c r="D94" i="42"/>
  <c r="C94" i="42"/>
  <c r="E95" i="42"/>
  <c r="A96" i="42"/>
  <c r="B95" i="42"/>
  <c r="H39" i="8"/>
  <c r="F94" i="42" l="1"/>
  <c r="E96" i="42"/>
  <c r="A97" i="42"/>
  <c r="B96" i="42"/>
  <c r="D95" i="42"/>
  <c r="C95" i="42"/>
  <c r="H38" i="8"/>
  <c r="F95" i="42" l="1"/>
  <c r="D96" i="42"/>
  <c r="C96" i="42"/>
  <c r="E97" i="42"/>
  <c r="A98" i="42"/>
  <c r="B97" i="42"/>
  <c r="H37" i="8"/>
  <c r="F96" i="42" l="1"/>
  <c r="E98" i="42"/>
  <c r="A99" i="42"/>
  <c r="B98" i="42"/>
  <c r="D97" i="42"/>
  <c r="C97" i="42"/>
  <c r="H36" i="8"/>
  <c r="F97" i="42" l="1"/>
  <c r="D98" i="42"/>
  <c r="C98" i="42"/>
  <c r="E99" i="42"/>
  <c r="A100" i="42"/>
  <c r="B99" i="42"/>
  <c r="H35" i="8"/>
  <c r="F98" i="42" l="1"/>
  <c r="E100" i="42"/>
  <c r="A101" i="42"/>
  <c r="B100" i="42"/>
  <c r="D99" i="42"/>
  <c r="C99" i="42"/>
  <c r="H34" i="8"/>
  <c r="F99" i="42" l="1"/>
  <c r="D100" i="42"/>
  <c r="C100" i="42"/>
  <c r="E101" i="42"/>
  <c r="A102" i="42"/>
  <c r="B101" i="42"/>
  <c r="H33" i="8"/>
  <c r="F100" i="42" l="1"/>
  <c r="E102" i="42"/>
  <c r="B102" i="42"/>
  <c r="A103" i="42"/>
  <c r="D101" i="42"/>
  <c r="C101" i="42"/>
  <c r="H32" i="8"/>
  <c r="F101" i="42" l="1"/>
  <c r="E103" i="42"/>
  <c r="A104" i="42"/>
  <c r="B103" i="42"/>
  <c r="D102" i="42"/>
  <c r="C102" i="42"/>
  <c r="H31" i="8"/>
  <c r="F102" i="42" l="1"/>
  <c r="D103" i="42"/>
  <c r="C103" i="42"/>
  <c r="E104" i="42"/>
  <c r="B104" i="42"/>
  <c r="A105" i="42"/>
  <c r="H30" i="8"/>
  <c r="F103" i="42" l="1"/>
  <c r="D104" i="42"/>
  <c r="C104" i="42"/>
  <c r="E105" i="42"/>
  <c r="A106" i="42"/>
  <c r="B105" i="42"/>
  <c r="H29" i="8"/>
  <c r="F104" i="42" l="1"/>
  <c r="E106" i="42"/>
  <c r="B106" i="42"/>
  <c r="A107" i="42"/>
  <c r="D105" i="42"/>
  <c r="C105" i="42"/>
  <c r="H28" i="8"/>
  <c r="F105" i="42" l="1"/>
  <c r="E107" i="42"/>
  <c r="A108" i="42"/>
  <c r="B107" i="42"/>
  <c r="D106" i="42"/>
  <c r="C106" i="42"/>
  <c r="H27" i="8"/>
  <c r="F106" i="42" l="1"/>
  <c r="D107" i="42"/>
  <c r="C107" i="42"/>
  <c r="E108" i="42"/>
  <c r="A109" i="42"/>
  <c r="B108" i="42"/>
  <c r="H26" i="8"/>
  <c r="F107" i="42" l="1"/>
  <c r="E109" i="42"/>
  <c r="A110" i="42"/>
  <c r="B109" i="42"/>
  <c r="D108" i="42"/>
  <c r="C108" i="42"/>
  <c r="H25" i="8"/>
  <c r="F108" i="42" l="1"/>
  <c r="D109" i="42"/>
  <c r="C109" i="42"/>
  <c r="E110" i="42"/>
  <c r="A111" i="42"/>
  <c r="B110" i="42"/>
  <c r="H24" i="8"/>
  <c r="F109" i="42" l="1"/>
  <c r="E111" i="42"/>
  <c r="A112" i="42"/>
  <c r="B111" i="42"/>
  <c r="D110" i="42"/>
  <c r="C110" i="42"/>
  <c r="H23" i="8"/>
  <c r="F110" i="42" l="1"/>
  <c r="D111" i="42"/>
  <c r="C111" i="42"/>
  <c r="E112" i="42"/>
  <c r="A113" i="42"/>
  <c r="B112" i="42"/>
  <c r="H22" i="8"/>
  <c r="F111" i="42" l="1"/>
  <c r="E113" i="42"/>
  <c r="A114" i="42"/>
  <c r="B113" i="42"/>
  <c r="D112" i="42"/>
  <c r="C112" i="42"/>
  <c r="H21" i="8"/>
  <c r="F112" i="42" l="1"/>
  <c r="D113" i="42"/>
  <c r="C113" i="42"/>
  <c r="E114" i="42"/>
  <c r="A115" i="42"/>
  <c r="B114" i="42"/>
  <c r="H20" i="8"/>
  <c r="F113" i="42" l="1"/>
  <c r="E115" i="42"/>
  <c r="A116" i="42"/>
  <c r="B115" i="42"/>
  <c r="D114" i="42"/>
  <c r="C114" i="42"/>
  <c r="H19" i="8"/>
  <c r="F114" i="42" l="1"/>
  <c r="E116" i="42"/>
  <c r="A117" i="42"/>
  <c r="B116" i="42"/>
  <c r="D115" i="42"/>
  <c r="C115" i="42"/>
  <c r="H18" i="8"/>
  <c r="F115" i="42" l="1"/>
  <c r="D116" i="42"/>
  <c r="C116" i="42"/>
  <c r="E117" i="42"/>
  <c r="A118" i="42"/>
  <c r="B117" i="42"/>
  <c r="H17" i="8"/>
  <c r="F116" i="42" l="1"/>
  <c r="E118" i="42"/>
  <c r="A119" i="42"/>
  <c r="B118" i="42"/>
  <c r="D117" i="42"/>
  <c r="C117" i="42"/>
  <c r="H16" i="8"/>
  <c r="F117" i="42" l="1"/>
  <c r="D118" i="42"/>
  <c r="C118" i="42"/>
  <c r="E119" i="42"/>
  <c r="A120" i="42"/>
  <c r="B119" i="42"/>
  <c r="H15" i="8"/>
  <c r="F118" i="42" l="1"/>
  <c r="E120" i="42"/>
  <c r="A121" i="42"/>
  <c r="B120" i="42"/>
  <c r="D119" i="42"/>
  <c r="C119" i="42"/>
  <c r="H14" i="8"/>
  <c r="F119" i="42" l="1"/>
  <c r="D120" i="42"/>
  <c r="C120" i="42"/>
  <c r="E121" i="42"/>
  <c r="A122" i="42"/>
  <c r="B121" i="42"/>
  <c r="H13" i="8"/>
  <c r="F120" i="42" l="1"/>
  <c r="E122" i="42"/>
  <c r="A123" i="42"/>
  <c r="B122" i="42"/>
  <c r="D121" i="42"/>
  <c r="C121" i="42"/>
  <c r="H12" i="8"/>
  <c r="F121" i="42" l="1"/>
  <c r="D122" i="42"/>
  <c r="C122" i="42"/>
  <c r="E123" i="42"/>
  <c r="A124" i="42"/>
  <c r="B123" i="42"/>
  <c r="H11" i="8"/>
  <c r="F122" i="42" l="1"/>
  <c r="E124" i="42"/>
  <c r="A125" i="42"/>
  <c r="B124" i="42"/>
  <c r="D123" i="42"/>
  <c r="C123" i="42"/>
  <c r="H10" i="8"/>
  <c r="F123" i="42" l="1"/>
  <c r="D124" i="42"/>
  <c r="C124" i="42"/>
  <c r="E125" i="42"/>
  <c r="A126" i="42"/>
  <c r="B125" i="42"/>
  <c r="H9" i="8"/>
  <c r="F124" i="42" l="1"/>
  <c r="E126" i="42"/>
  <c r="A127" i="42"/>
  <c r="B126" i="42"/>
  <c r="D125" i="42"/>
  <c r="C125" i="42"/>
  <c r="H8" i="8"/>
  <c r="F125" i="42" l="1"/>
  <c r="D126" i="42"/>
  <c r="C126" i="42"/>
  <c r="E127" i="42"/>
  <c r="A128" i="42"/>
  <c r="B127" i="42"/>
  <c r="H7" i="8"/>
  <c r="F126" i="42" l="1"/>
  <c r="E128" i="42"/>
  <c r="A129" i="42"/>
  <c r="B128" i="42"/>
  <c r="D127" i="42"/>
  <c r="C127" i="42"/>
  <c r="F127" i="42" l="1"/>
  <c r="D128" i="42"/>
  <c r="C128" i="42"/>
  <c r="E129" i="42"/>
  <c r="A130" i="42"/>
  <c r="B129" i="42"/>
  <c r="F128" i="42" l="1"/>
  <c r="E130" i="42"/>
  <c r="A131" i="42"/>
  <c r="B130" i="42"/>
  <c r="D129" i="42"/>
  <c r="C129" i="42"/>
  <c r="F129" i="42" l="1"/>
  <c r="D130" i="42"/>
  <c r="C130" i="42"/>
  <c r="E131" i="42"/>
  <c r="A132" i="42"/>
  <c r="B131" i="42"/>
  <c r="F130" i="42" l="1"/>
  <c r="E132" i="42"/>
  <c r="A133" i="42"/>
  <c r="B132" i="42"/>
  <c r="D131" i="42"/>
  <c r="C131" i="42"/>
  <c r="F131" i="42" l="1"/>
  <c r="D132" i="42"/>
  <c r="C132" i="42"/>
  <c r="E133" i="42"/>
  <c r="A134" i="42"/>
  <c r="B133" i="42"/>
  <c r="F132" i="42" l="1"/>
  <c r="E134" i="42"/>
  <c r="A135" i="42"/>
  <c r="B134" i="42"/>
  <c r="D133" i="42"/>
  <c r="C133" i="42"/>
  <c r="F133" i="42" l="1"/>
  <c r="E135" i="42"/>
  <c r="A136" i="42"/>
  <c r="B135" i="42"/>
  <c r="D134" i="42"/>
  <c r="C134" i="42"/>
  <c r="F134" i="42" l="1"/>
  <c r="D135" i="42"/>
  <c r="C135" i="42"/>
  <c r="E136" i="42"/>
  <c r="A137" i="42"/>
  <c r="B136" i="42"/>
  <c r="F135" i="42" l="1"/>
  <c r="E137" i="42"/>
  <c r="A138" i="42"/>
  <c r="B137" i="42"/>
  <c r="D136" i="42"/>
  <c r="C136" i="42"/>
  <c r="F136" i="42" l="1"/>
  <c r="D137" i="42"/>
  <c r="C137" i="42"/>
  <c r="E138" i="42"/>
  <c r="A139" i="42"/>
  <c r="B138" i="42"/>
  <c r="F137" i="42" l="1"/>
  <c r="E139" i="42"/>
  <c r="A140" i="42"/>
  <c r="B139" i="42"/>
  <c r="D138" i="42"/>
  <c r="C138" i="42"/>
  <c r="F138" i="42" l="1"/>
  <c r="D139" i="42"/>
  <c r="C139" i="42"/>
  <c r="E140" i="42"/>
  <c r="A141" i="42"/>
  <c r="B140" i="42"/>
  <c r="F139" i="42" l="1"/>
  <c r="E141" i="42"/>
  <c r="A142" i="42"/>
  <c r="B141" i="42"/>
  <c r="D140" i="42"/>
  <c r="C140" i="42"/>
  <c r="F140" i="42" l="1"/>
  <c r="D141" i="42"/>
  <c r="C141" i="42"/>
  <c r="E142" i="42"/>
  <c r="A143" i="42"/>
  <c r="B142" i="42"/>
  <c r="F141" i="42" l="1"/>
  <c r="E143" i="42"/>
  <c r="A144" i="42"/>
  <c r="B143" i="42"/>
  <c r="D142" i="42"/>
  <c r="C142" i="42"/>
  <c r="F142" i="42" l="1"/>
  <c r="D143" i="42"/>
  <c r="C143" i="42"/>
  <c r="E144" i="42"/>
  <c r="A145" i="42"/>
  <c r="B144" i="42"/>
  <c r="F143" i="42" l="1"/>
  <c r="E145" i="42"/>
  <c r="A146" i="42"/>
  <c r="B145" i="42"/>
  <c r="D144" i="42"/>
  <c r="C144" i="42"/>
  <c r="F144" i="42" l="1"/>
  <c r="D145" i="42"/>
  <c r="C145" i="42"/>
  <c r="E146" i="42"/>
  <c r="A147" i="42"/>
  <c r="B146" i="42"/>
  <c r="F145" i="42" l="1"/>
  <c r="E147" i="42"/>
  <c r="A148" i="42"/>
  <c r="B147" i="42"/>
  <c r="D146" i="42"/>
  <c r="C146" i="42"/>
  <c r="F146" i="42" l="1"/>
  <c r="D147" i="42"/>
  <c r="C147" i="42"/>
  <c r="E148" i="42"/>
  <c r="A149" i="42"/>
  <c r="B148" i="42"/>
  <c r="F147" i="42" l="1"/>
  <c r="E149" i="42"/>
  <c r="A150" i="42"/>
  <c r="B149" i="42"/>
  <c r="D148" i="42"/>
  <c r="C148" i="42"/>
  <c r="F148" i="42" l="1"/>
  <c r="D149" i="42"/>
  <c r="C149" i="42"/>
  <c r="E150" i="42"/>
  <c r="A151" i="42"/>
  <c r="B150" i="42"/>
  <c r="F149" i="42" l="1"/>
  <c r="E151" i="42"/>
  <c r="A152" i="42"/>
  <c r="B151" i="42"/>
  <c r="D150" i="42"/>
  <c r="C150" i="42"/>
  <c r="F150" i="42" l="1"/>
  <c r="D151" i="42"/>
  <c r="C151" i="42"/>
  <c r="E152" i="42"/>
  <c r="A153" i="42"/>
  <c r="B152" i="42"/>
  <c r="F151" i="42" l="1"/>
  <c r="E153" i="42"/>
  <c r="A154" i="42"/>
  <c r="B153" i="42"/>
  <c r="D152" i="42"/>
  <c r="C152" i="42"/>
  <c r="F152" i="42" l="1"/>
  <c r="D153" i="42"/>
  <c r="C153" i="42"/>
  <c r="E154" i="42"/>
  <c r="A155" i="42"/>
  <c r="B154" i="42"/>
  <c r="F153" i="42" l="1"/>
  <c r="E155" i="42"/>
  <c r="A156" i="42"/>
  <c r="B155" i="42"/>
  <c r="D154" i="42"/>
  <c r="C154" i="42"/>
  <c r="F154" i="42" l="1"/>
  <c r="D155" i="42"/>
  <c r="C155" i="42"/>
  <c r="E156" i="42"/>
  <c r="B156" i="42"/>
  <c r="A157" i="42"/>
  <c r="F155" i="42" l="1"/>
  <c r="D156" i="42"/>
  <c r="C156" i="42"/>
  <c r="E157" i="42"/>
  <c r="A158" i="42"/>
  <c r="B157" i="42"/>
  <c r="F156" i="42" l="1"/>
  <c r="E158" i="42"/>
  <c r="A159" i="42"/>
  <c r="B158" i="42"/>
  <c r="D157" i="42"/>
  <c r="C157" i="42"/>
  <c r="F157" i="42" l="1"/>
  <c r="D158" i="42"/>
  <c r="C158" i="42"/>
  <c r="E159" i="42"/>
  <c r="A160" i="42"/>
  <c r="B159" i="42"/>
  <c r="E160" i="42" l="1"/>
  <c r="A161" i="42"/>
  <c r="B160" i="42"/>
  <c r="F158" i="42"/>
  <c r="D159" i="42"/>
  <c r="C159" i="42"/>
  <c r="D160" i="42" l="1"/>
  <c r="C160" i="42"/>
  <c r="F159" i="42"/>
  <c r="E161" i="42"/>
  <c r="A162" i="42"/>
  <c r="B161" i="42"/>
  <c r="F160" i="42" l="1"/>
  <c r="D161" i="42"/>
  <c r="C161" i="42"/>
  <c r="E162" i="42"/>
  <c r="B162" i="42"/>
  <c r="A163" i="42"/>
  <c r="F161" i="42" l="1"/>
  <c r="D162" i="42"/>
  <c r="C162" i="42"/>
  <c r="E163" i="42"/>
  <c r="A164" i="42"/>
  <c r="B163" i="42"/>
  <c r="F162" i="42" l="1"/>
  <c r="E164" i="42"/>
  <c r="A165" i="42"/>
  <c r="B164" i="42"/>
  <c r="D163" i="42"/>
  <c r="C163" i="42"/>
  <c r="F163" i="42" l="1"/>
  <c r="D164" i="42"/>
  <c r="C164" i="42"/>
  <c r="E165" i="42"/>
  <c r="A166" i="42"/>
  <c r="B165" i="42"/>
  <c r="F164" i="42" l="1"/>
  <c r="E166" i="42"/>
  <c r="A167" i="42"/>
  <c r="B166" i="42"/>
  <c r="D165" i="42"/>
  <c r="C165" i="42"/>
  <c r="F165" i="42" l="1"/>
  <c r="D166" i="42"/>
  <c r="C166" i="42"/>
  <c r="E167" i="42"/>
  <c r="A168" i="42"/>
  <c r="B167" i="42"/>
  <c r="F166" i="42" l="1"/>
  <c r="E168" i="42"/>
  <c r="A169" i="42"/>
  <c r="B168" i="42"/>
  <c r="D167" i="42"/>
  <c r="C167" i="42"/>
  <c r="F167" i="42" l="1"/>
  <c r="D168" i="42"/>
  <c r="C168" i="42"/>
  <c r="E169" i="42"/>
  <c r="A170" i="42"/>
  <c r="B169" i="42"/>
  <c r="F168" i="42" l="1"/>
  <c r="E170" i="42"/>
  <c r="A171" i="42"/>
  <c r="B170" i="42"/>
  <c r="D169" i="42"/>
  <c r="C169" i="42"/>
  <c r="F169" i="42" l="1"/>
  <c r="D170" i="42"/>
  <c r="C170" i="42"/>
  <c r="E171" i="42"/>
  <c r="A172" i="42"/>
  <c r="B171" i="42"/>
  <c r="F170" i="42" l="1"/>
  <c r="E172" i="42"/>
  <c r="A173" i="42"/>
  <c r="B172" i="42"/>
  <c r="D171" i="42"/>
  <c r="C171" i="42"/>
  <c r="F171" i="42" l="1"/>
  <c r="D172" i="42"/>
  <c r="C172" i="42"/>
  <c r="E173" i="42"/>
  <c r="A174" i="42"/>
  <c r="B173" i="42"/>
  <c r="F172" i="42" l="1"/>
  <c r="E174" i="42"/>
  <c r="A175" i="42"/>
  <c r="B174" i="42"/>
  <c r="D173" i="42"/>
  <c r="C173" i="42"/>
  <c r="F173" i="42" l="1"/>
  <c r="D174" i="42"/>
  <c r="C174" i="42"/>
  <c r="E175" i="42"/>
  <c r="A176" i="42"/>
  <c r="B175" i="42"/>
  <c r="F174" i="42" l="1"/>
  <c r="E176" i="42"/>
  <c r="A177" i="42"/>
  <c r="B176" i="42"/>
  <c r="D175" i="42"/>
  <c r="C175" i="42"/>
  <c r="F175" i="42" l="1"/>
  <c r="D176" i="42"/>
  <c r="C176" i="42"/>
  <c r="E177" i="42"/>
  <c r="A178" i="42"/>
  <c r="B177" i="42"/>
  <c r="F176" i="42" l="1"/>
  <c r="E178" i="42"/>
  <c r="A179" i="42"/>
  <c r="B178" i="42"/>
  <c r="D177" i="42"/>
  <c r="C177" i="42"/>
  <c r="F177" i="42" l="1"/>
  <c r="D178" i="42"/>
  <c r="C178" i="42"/>
  <c r="E179" i="42"/>
  <c r="A180" i="42"/>
  <c r="B179" i="42"/>
  <c r="F178" i="42" l="1"/>
  <c r="E180" i="42"/>
  <c r="A181" i="42"/>
  <c r="B180" i="42"/>
  <c r="D179" i="42"/>
  <c r="C179" i="42"/>
  <c r="F179" i="42" l="1"/>
  <c r="D180" i="42"/>
  <c r="C180" i="42"/>
  <c r="E181" i="42"/>
  <c r="A182" i="42"/>
  <c r="B181" i="42"/>
  <c r="F180" i="42" l="1"/>
  <c r="E182" i="42"/>
  <c r="A183" i="42"/>
  <c r="B182" i="42"/>
  <c r="D181" i="42"/>
  <c r="C181" i="42"/>
  <c r="F181" i="42" l="1"/>
  <c r="D182" i="42"/>
  <c r="C182" i="42"/>
  <c r="E183" i="42"/>
  <c r="A184" i="42"/>
  <c r="B183" i="42"/>
  <c r="F182" i="42" l="1"/>
  <c r="E184" i="42"/>
  <c r="A185" i="42"/>
  <c r="B184" i="42"/>
  <c r="D183" i="42"/>
  <c r="C183" i="42"/>
  <c r="F183" i="42" l="1"/>
  <c r="D184" i="42"/>
  <c r="C184" i="42"/>
  <c r="E185" i="42"/>
  <c r="A186" i="42"/>
  <c r="B185" i="42"/>
  <c r="F184" i="42" l="1"/>
  <c r="E186" i="42"/>
  <c r="A187" i="42"/>
  <c r="B186" i="42"/>
  <c r="D185" i="42"/>
  <c r="C185" i="42"/>
  <c r="F185" i="42" l="1"/>
  <c r="D186" i="42"/>
  <c r="C186" i="42"/>
  <c r="E187" i="42"/>
  <c r="A188" i="42"/>
  <c r="B187" i="42"/>
  <c r="F186" i="42" l="1"/>
  <c r="E188" i="42"/>
  <c r="A189" i="42"/>
  <c r="B188" i="42"/>
  <c r="D187" i="42"/>
  <c r="C187" i="42"/>
  <c r="F187" i="42" l="1"/>
  <c r="D188" i="42"/>
  <c r="C188" i="42"/>
  <c r="E189" i="42"/>
  <c r="A190" i="42"/>
  <c r="B189" i="42"/>
  <c r="F188" i="42" l="1"/>
  <c r="E190" i="42"/>
  <c r="A191" i="42"/>
  <c r="B190" i="42"/>
  <c r="D189" i="42"/>
  <c r="C189" i="42"/>
  <c r="F189" i="42" l="1"/>
  <c r="D190" i="42"/>
  <c r="C190" i="42"/>
  <c r="E191" i="42"/>
  <c r="A192" i="42"/>
  <c r="B191" i="42"/>
  <c r="F190" i="42" l="1"/>
  <c r="E192" i="42"/>
  <c r="A193" i="42"/>
  <c r="B192" i="42"/>
  <c r="D191" i="42"/>
  <c r="C191" i="42"/>
  <c r="F191" i="42" l="1"/>
  <c r="D192" i="42"/>
  <c r="C192" i="42"/>
  <c r="E193" i="42"/>
  <c r="A194" i="42"/>
  <c r="B193" i="42"/>
  <c r="F192" i="42" l="1"/>
  <c r="E194" i="42"/>
  <c r="A195" i="42"/>
  <c r="B194" i="42"/>
  <c r="D193" i="42"/>
  <c r="C193" i="42"/>
  <c r="F193" i="42" l="1"/>
  <c r="D194" i="42"/>
  <c r="C194" i="42"/>
  <c r="E195" i="42"/>
  <c r="A196" i="42"/>
  <c r="B195" i="42"/>
  <c r="F194" i="42" l="1"/>
  <c r="E196" i="42"/>
  <c r="A197" i="42"/>
  <c r="B196" i="42"/>
  <c r="D195" i="42"/>
  <c r="C195" i="42"/>
  <c r="F195" i="42" l="1"/>
  <c r="D196" i="42"/>
  <c r="C196" i="42"/>
  <c r="E197" i="42"/>
  <c r="A198" i="42"/>
  <c r="B197" i="42"/>
  <c r="F196" i="42" l="1"/>
  <c r="E198" i="42"/>
  <c r="A199" i="42"/>
  <c r="B198" i="42"/>
  <c r="D197" i="42"/>
  <c r="C197" i="42"/>
  <c r="F197" i="42" l="1"/>
  <c r="D198" i="42"/>
  <c r="C198" i="42"/>
  <c r="E199" i="42"/>
  <c r="A200" i="42"/>
  <c r="B199" i="42"/>
  <c r="F198" i="42" l="1"/>
  <c r="E200" i="42"/>
  <c r="A201" i="42"/>
  <c r="B200" i="42"/>
  <c r="D199" i="42"/>
  <c r="C199" i="42"/>
  <c r="F199" i="42" l="1"/>
  <c r="D200" i="42"/>
  <c r="C200" i="42"/>
  <c r="E201" i="42"/>
  <c r="A202" i="42"/>
  <c r="B201" i="42"/>
  <c r="F200" i="42" l="1"/>
  <c r="E202" i="42"/>
  <c r="A203" i="42"/>
  <c r="B202" i="42"/>
  <c r="D201" i="42"/>
  <c r="C201" i="42"/>
  <c r="F201" i="42" l="1"/>
  <c r="D202" i="42"/>
  <c r="C202" i="42"/>
  <c r="E203" i="42"/>
  <c r="A204" i="42"/>
  <c r="B203" i="42"/>
  <c r="F202" i="42" l="1"/>
  <c r="E204" i="42"/>
  <c r="A205" i="42"/>
  <c r="B204" i="42"/>
  <c r="D203" i="42"/>
  <c r="C203" i="42"/>
  <c r="F203" i="42" l="1"/>
  <c r="D204" i="42"/>
  <c r="C204" i="42"/>
  <c r="E205" i="42"/>
  <c r="A206" i="42"/>
  <c r="B205" i="42"/>
  <c r="F204" i="42" l="1"/>
  <c r="E206" i="42"/>
  <c r="B206" i="42"/>
  <c r="A207" i="42"/>
  <c r="D205" i="42"/>
  <c r="C205" i="42"/>
  <c r="F4" i="2"/>
  <c r="G4" i="2" s="1"/>
  <c r="I4" i="2" s="1"/>
  <c r="B3" i="2"/>
  <c r="F205" i="42" l="1"/>
  <c r="E207" i="42"/>
  <c r="A208" i="42"/>
  <c r="B207" i="42"/>
  <c r="D206" i="42"/>
  <c r="C206" i="42"/>
  <c r="F3" i="2"/>
  <c r="H4" i="2"/>
  <c r="F232" i="2" l="1"/>
  <c r="G232" i="2" s="1"/>
  <c r="F216" i="2"/>
  <c r="G216" i="2" s="1"/>
  <c r="F200" i="2"/>
  <c r="G200" i="2" s="1"/>
  <c r="F184" i="2"/>
  <c r="G184" i="2" s="1"/>
  <c r="F168" i="2"/>
  <c r="G168" i="2" s="1"/>
  <c r="F152" i="2"/>
  <c r="G152" i="2" s="1"/>
  <c r="I152" i="2" s="1"/>
  <c r="F136" i="2"/>
  <c r="G136" i="2" s="1"/>
  <c r="I136" i="2" s="1"/>
  <c r="F231" i="2"/>
  <c r="G231" i="2" s="1"/>
  <c r="F215" i="2"/>
  <c r="G215" i="2" s="1"/>
  <c r="F199" i="2"/>
  <c r="G199" i="2" s="1"/>
  <c r="F183" i="2"/>
  <c r="G183" i="2" s="1"/>
  <c r="F167" i="2"/>
  <c r="G167" i="2" s="1"/>
  <c r="F151" i="2"/>
  <c r="G151" i="2" s="1"/>
  <c r="F135" i="2"/>
  <c r="G135" i="2" s="1"/>
  <c r="F230" i="2"/>
  <c r="G230" i="2" s="1"/>
  <c r="F214" i="2"/>
  <c r="G214" i="2" s="1"/>
  <c r="F198" i="2"/>
  <c r="G198" i="2" s="1"/>
  <c r="F182" i="2"/>
  <c r="G182" i="2" s="1"/>
  <c r="F166" i="2"/>
  <c r="G166" i="2" s="1"/>
  <c r="F150" i="2"/>
  <c r="G150" i="2" s="1"/>
  <c r="I150" i="2" s="1"/>
  <c r="F134" i="2"/>
  <c r="G134" i="2" s="1"/>
  <c r="F5" i="2"/>
  <c r="G5" i="2" s="1"/>
  <c r="I5" i="2" s="1"/>
  <c r="F229" i="2"/>
  <c r="G229" i="2" s="1"/>
  <c r="F213" i="2"/>
  <c r="G213" i="2" s="1"/>
  <c r="F197" i="2"/>
  <c r="G197" i="2" s="1"/>
  <c r="F181" i="2"/>
  <c r="G181" i="2" s="1"/>
  <c r="F165" i="2"/>
  <c r="G165" i="2" s="1"/>
  <c r="F149" i="2"/>
  <c r="G149" i="2" s="1"/>
  <c r="I149" i="2" s="1"/>
  <c r="F133" i="2"/>
  <c r="G133" i="2" s="1"/>
  <c r="F228" i="2"/>
  <c r="G228" i="2" s="1"/>
  <c r="F212" i="2"/>
  <c r="G212" i="2" s="1"/>
  <c r="F196" i="2"/>
  <c r="G196" i="2" s="1"/>
  <c r="F180" i="2"/>
  <c r="G180" i="2" s="1"/>
  <c r="F164" i="2"/>
  <c r="G164" i="2" s="1"/>
  <c r="F148" i="2"/>
  <c r="G148" i="2" s="1"/>
  <c r="I148" i="2" s="1"/>
  <c r="F132" i="2"/>
  <c r="G132" i="2" s="1"/>
  <c r="F243" i="2"/>
  <c r="G243" i="2" s="1"/>
  <c r="F227" i="2"/>
  <c r="G227" i="2" s="1"/>
  <c r="F211" i="2"/>
  <c r="G211" i="2" s="1"/>
  <c r="F195" i="2"/>
  <c r="G195" i="2" s="1"/>
  <c r="F179" i="2"/>
  <c r="G179" i="2" s="1"/>
  <c r="F163" i="2"/>
  <c r="G163" i="2" s="1"/>
  <c r="F147" i="2"/>
  <c r="G147" i="2" s="1"/>
  <c r="F131" i="2"/>
  <c r="G131" i="2" s="1"/>
  <c r="F242" i="2"/>
  <c r="G242" i="2" s="1"/>
  <c r="F226" i="2"/>
  <c r="G226" i="2" s="1"/>
  <c r="F210" i="2"/>
  <c r="G210" i="2" s="1"/>
  <c r="F194" i="2"/>
  <c r="G194" i="2" s="1"/>
  <c r="F178" i="2"/>
  <c r="G178" i="2" s="1"/>
  <c r="F162" i="2"/>
  <c r="G162" i="2" s="1"/>
  <c r="F146" i="2"/>
  <c r="G146" i="2" s="1"/>
  <c r="F130" i="2"/>
  <c r="G130" i="2" s="1"/>
  <c r="F241" i="2"/>
  <c r="G241" i="2" s="1"/>
  <c r="F225" i="2"/>
  <c r="G225" i="2" s="1"/>
  <c r="F209" i="2"/>
  <c r="G209" i="2" s="1"/>
  <c r="F193" i="2"/>
  <c r="G193" i="2" s="1"/>
  <c r="F177" i="2"/>
  <c r="G177" i="2" s="1"/>
  <c r="F161" i="2"/>
  <c r="G161" i="2" s="1"/>
  <c r="F145" i="2"/>
  <c r="G145" i="2" s="1"/>
  <c r="F129" i="2"/>
  <c r="G129" i="2" s="1"/>
  <c r="F240" i="2"/>
  <c r="G240" i="2" s="1"/>
  <c r="F224" i="2"/>
  <c r="G224" i="2" s="1"/>
  <c r="F208" i="2"/>
  <c r="G208" i="2" s="1"/>
  <c r="F192" i="2"/>
  <c r="G192" i="2" s="1"/>
  <c r="F176" i="2"/>
  <c r="G176" i="2" s="1"/>
  <c r="F160" i="2"/>
  <c r="G160" i="2" s="1"/>
  <c r="F144" i="2"/>
  <c r="G144" i="2" s="1"/>
  <c r="F128" i="2"/>
  <c r="G128" i="2" s="1"/>
  <c r="F239" i="2"/>
  <c r="G239" i="2" s="1"/>
  <c r="F223" i="2"/>
  <c r="G223" i="2" s="1"/>
  <c r="F207" i="2"/>
  <c r="G207" i="2" s="1"/>
  <c r="F191" i="2"/>
  <c r="G191" i="2" s="1"/>
  <c r="F175" i="2"/>
  <c r="G175" i="2" s="1"/>
  <c r="F159" i="2"/>
  <c r="G159" i="2" s="1"/>
  <c r="F143" i="2"/>
  <c r="G143" i="2" s="1"/>
  <c r="F127" i="2"/>
  <c r="G127" i="2" s="1"/>
  <c r="F238" i="2"/>
  <c r="G238" i="2" s="1"/>
  <c r="F222" i="2"/>
  <c r="G222" i="2" s="1"/>
  <c r="F206" i="2"/>
  <c r="G206" i="2" s="1"/>
  <c r="F190" i="2"/>
  <c r="G190" i="2" s="1"/>
  <c r="F174" i="2"/>
  <c r="G174" i="2" s="1"/>
  <c r="F158" i="2"/>
  <c r="G158" i="2" s="1"/>
  <c r="F142" i="2"/>
  <c r="G142" i="2" s="1"/>
  <c r="F237" i="2"/>
  <c r="G237" i="2" s="1"/>
  <c r="F221" i="2"/>
  <c r="G221" i="2" s="1"/>
  <c r="F205" i="2"/>
  <c r="G205" i="2" s="1"/>
  <c r="F189" i="2"/>
  <c r="G189" i="2" s="1"/>
  <c r="F173" i="2"/>
  <c r="G173" i="2" s="1"/>
  <c r="F157" i="2"/>
  <c r="G157" i="2" s="1"/>
  <c r="F141" i="2"/>
  <c r="G141" i="2" s="1"/>
  <c r="F236" i="2"/>
  <c r="G236" i="2" s="1"/>
  <c r="F220" i="2"/>
  <c r="G220" i="2" s="1"/>
  <c r="F204" i="2"/>
  <c r="G204" i="2" s="1"/>
  <c r="F188" i="2"/>
  <c r="G188" i="2" s="1"/>
  <c r="F172" i="2"/>
  <c r="G172" i="2" s="1"/>
  <c r="F156" i="2"/>
  <c r="G156" i="2" s="1"/>
  <c r="F140" i="2"/>
  <c r="G140" i="2" s="1"/>
  <c r="I140" i="2" s="1"/>
  <c r="F235" i="2"/>
  <c r="G235" i="2" s="1"/>
  <c r="F219" i="2"/>
  <c r="G219" i="2" s="1"/>
  <c r="F203" i="2"/>
  <c r="G203" i="2" s="1"/>
  <c r="F187" i="2"/>
  <c r="G187" i="2" s="1"/>
  <c r="F171" i="2"/>
  <c r="G171" i="2" s="1"/>
  <c r="F155" i="2"/>
  <c r="G155" i="2" s="1"/>
  <c r="F139" i="2"/>
  <c r="G139" i="2" s="1"/>
  <c r="I139" i="2" s="1"/>
  <c r="F234" i="2"/>
  <c r="G234" i="2" s="1"/>
  <c r="F218" i="2"/>
  <c r="G218" i="2" s="1"/>
  <c r="F202" i="2"/>
  <c r="G202" i="2" s="1"/>
  <c r="F186" i="2"/>
  <c r="G186" i="2" s="1"/>
  <c r="F170" i="2"/>
  <c r="G170" i="2" s="1"/>
  <c r="F154" i="2"/>
  <c r="G154" i="2" s="1"/>
  <c r="F138" i="2"/>
  <c r="G138" i="2" s="1"/>
  <c r="I138" i="2" s="1"/>
  <c r="F233" i="2"/>
  <c r="G233" i="2" s="1"/>
  <c r="F217" i="2"/>
  <c r="G217" i="2" s="1"/>
  <c r="F201" i="2"/>
  <c r="G201" i="2" s="1"/>
  <c r="F185" i="2"/>
  <c r="G185" i="2" s="1"/>
  <c r="F169" i="2"/>
  <c r="G169" i="2" s="1"/>
  <c r="F153" i="2"/>
  <c r="G153" i="2" s="1"/>
  <c r="F137" i="2"/>
  <c r="G137" i="2" s="1"/>
  <c r="I137" i="2" s="1"/>
  <c r="F206" i="42"/>
  <c r="D207" i="42"/>
  <c r="C207" i="42"/>
  <c r="E208" i="42"/>
  <c r="A209" i="42"/>
  <c r="B208" i="42"/>
  <c r="F91" i="2" l="1"/>
  <c r="G91" i="2" s="1"/>
  <c r="F76" i="2"/>
  <c r="G76" i="2" s="1"/>
  <c r="I76" i="2" s="1"/>
  <c r="F46" i="2"/>
  <c r="G46" i="2" s="1"/>
  <c r="F16" i="2"/>
  <c r="G16" i="2" s="1"/>
  <c r="I16" i="2" s="1"/>
  <c r="F122" i="2"/>
  <c r="G122" i="2" s="1"/>
  <c r="F92" i="2"/>
  <c r="G92" i="2" s="1"/>
  <c r="F62" i="2"/>
  <c r="G62" i="2" s="1"/>
  <c r="F47" i="2"/>
  <c r="F17" i="2"/>
  <c r="G17" i="2" s="1"/>
  <c r="I17" i="2" s="1"/>
  <c r="F123" i="2"/>
  <c r="F78" i="2"/>
  <c r="G78" i="2" s="1"/>
  <c r="F33" i="2"/>
  <c r="G33" i="2" s="1"/>
  <c r="I33" i="2" s="1"/>
  <c r="F124" i="2"/>
  <c r="G124" i="2" s="1"/>
  <c r="I124" i="2" s="1"/>
  <c r="F94" i="2"/>
  <c r="G94" i="2" s="1"/>
  <c r="F64" i="2"/>
  <c r="G64" i="2" s="1"/>
  <c r="I64" i="2" s="1"/>
  <c r="F49" i="2"/>
  <c r="G49" i="2" s="1"/>
  <c r="F19" i="2"/>
  <c r="F125" i="2"/>
  <c r="G125" i="2" s="1"/>
  <c r="F110" i="2"/>
  <c r="G110" i="2" s="1"/>
  <c r="F95" i="2"/>
  <c r="G95" i="2" s="1"/>
  <c r="F80" i="2"/>
  <c r="G80" i="2" s="1"/>
  <c r="F65" i="2"/>
  <c r="F50" i="2"/>
  <c r="F35" i="2"/>
  <c r="G35" i="2" s="1"/>
  <c r="I35" i="2" s="1"/>
  <c r="F20" i="2"/>
  <c r="G20" i="2" s="1"/>
  <c r="I20" i="2" s="1"/>
  <c r="F21" i="2"/>
  <c r="G21" i="2" s="1"/>
  <c r="I21" i="2" s="1"/>
  <c r="F96" i="2"/>
  <c r="G96" i="2" s="1"/>
  <c r="F97" i="2"/>
  <c r="G97" i="2" s="1"/>
  <c r="F67" i="2"/>
  <c r="G67" i="2" s="1"/>
  <c r="F22" i="2"/>
  <c r="G22" i="2" s="1"/>
  <c r="I22" i="2" s="1"/>
  <c r="F25" i="2"/>
  <c r="G25" i="2" s="1"/>
  <c r="I25" i="2" s="1"/>
  <c r="F113" i="2"/>
  <c r="G113" i="2" s="1"/>
  <c r="F83" i="2"/>
  <c r="G83" i="2" s="1"/>
  <c r="F68" i="2"/>
  <c r="G68" i="2" s="1"/>
  <c r="F38" i="2"/>
  <c r="F23" i="2"/>
  <c r="G23" i="2" s="1"/>
  <c r="I23" i="2" s="1"/>
  <c r="F8" i="2"/>
  <c r="G8" i="2" s="1"/>
  <c r="I8" i="2" s="1"/>
  <c r="F41" i="2"/>
  <c r="G41" i="2" s="1"/>
  <c r="I41" i="2" s="1"/>
  <c r="F99" i="2"/>
  <c r="F57" i="2"/>
  <c r="G57" i="2" s="1"/>
  <c r="F26" i="2"/>
  <c r="G26" i="2" s="1"/>
  <c r="I26" i="2" s="1"/>
  <c r="F100" i="2"/>
  <c r="G100" i="2" s="1"/>
  <c r="I100" i="2" s="1"/>
  <c r="F70" i="2"/>
  <c r="G70" i="2" s="1"/>
  <c r="F55" i="2"/>
  <c r="G55" i="2" s="1"/>
  <c r="F73" i="2"/>
  <c r="F27" i="2"/>
  <c r="G27" i="2" s="1"/>
  <c r="I27" i="2" s="1"/>
  <c r="F12" i="2"/>
  <c r="F116" i="2"/>
  <c r="G116" i="2" s="1"/>
  <c r="F86" i="2"/>
  <c r="G86" i="2" s="1"/>
  <c r="F71" i="2"/>
  <c r="G71" i="2" s="1"/>
  <c r="F56" i="2"/>
  <c r="G56" i="2" s="1"/>
  <c r="F89" i="2"/>
  <c r="G89" i="2" s="1"/>
  <c r="F58" i="2"/>
  <c r="F43" i="2"/>
  <c r="G43" i="2" s="1"/>
  <c r="I43" i="2" s="1"/>
  <c r="F13" i="2"/>
  <c r="G13" i="2" s="1"/>
  <c r="I13" i="2" s="1"/>
  <c r="F87" i="2"/>
  <c r="G87" i="2" s="1"/>
  <c r="F72" i="2"/>
  <c r="G72" i="2" s="1"/>
  <c r="F105" i="2"/>
  <c r="G105" i="2" s="1"/>
  <c r="F74" i="2"/>
  <c r="G74" i="2" s="1"/>
  <c r="F59" i="2"/>
  <c r="F44" i="2"/>
  <c r="G44" i="2" s="1"/>
  <c r="F29" i="2"/>
  <c r="G29" i="2" s="1"/>
  <c r="I29" i="2" s="1"/>
  <c r="F14" i="2"/>
  <c r="G14" i="2" s="1"/>
  <c r="I14" i="2" s="1"/>
  <c r="F118" i="2"/>
  <c r="G118" i="2" s="1"/>
  <c r="F103" i="2"/>
  <c r="F88" i="2"/>
  <c r="G88" i="2" s="1"/>
  <c r="I88" i="2" s="1"/>
  <c r="F106" i="2"/>
  <c r="G106" i="2" s="1"/>
  <c r="F61" i="2"/>
  <c r="G61" i="2" s="1"/>
  <c r="F31" i="2"/>
  <c r="G31" i="2" s="1"/>
  <c r="I31" i="2" s="1"/>
  <c r="F120" i="2"/>
  <c r="G120" i="2" s="1"/>
  <c r="F107" i="2"/>
  <c r="F77" i="2"/>
  <c r="G77" i="2" s="1"/>
  <c r="F32" i="2"/>
  <c r="G32" i="2" s="1"/>
  <c r="I32" i="2" s="1"/>
  <c r="F108" i="2"/>
  <c r="G108" i="2" s="1"/>
  <c r="F93" i="2"/>
  <c r="G93" i="2" s="1"/>
  <c r="F63" i="2"/>
  <c r="G63" i="2" s="1"/>
  <c r="F48" i="2"/>
  <c r="G48" i="2" s="1"/>
  <c r="F18" i="2"/>
  <c r="G18" i="2" s="1"/>
  <c r="I18" i="2" s="1"/>
  <c r="F109" i="2"/>
  <c r="G109" i="2" s="1"/>
  <c r="F79" i="2"/>
  <c r="G79" i="2" s="1"/>
  <c r="F34" i="2"/>
  <c r="G34" i="2" s="1"/>
  <c r="I34" i="2" s="1"/>
  <c r="F126" i="2"/>
  <c r="G126" i="2" s="1"/>
  <c r="F111" i="2"/>
  <c r="G111" i="2" s="1"/>
  <c r="F81" i="2"/>
  <c r="G81" i="2" s="1"/>
  <c r="F66" i="2"/>
  <c r="F51" i="2"/>
  <c r="F36" i="2"/>
  <c r="G36" i="2" s="1"/>
  <c r="I36" i="2" s="1"/>
  <c r="F37" i="2"/>
  <c r="G37" i="2" s="1"/>
  <c r="I37" i="2" s="1"/>
  <c r="F6" i="2"/>
  <c r="G6" i="2" s="1"/>
  <c r="I6" i="2" s="1"/>
  <c r="F9" i="2"/>
  <c r="G9" i="2" s="1"/>
  <c r="I9" i="2" s="1"/>
  <c r="F112" i="2"/>
  <c r="G112" i="2" s="1"/>
  <c r="I112" i="2" s="1"/>
  <c r="F82" i="2"/>
  <c r="G82" i="2" s="1"/>
  <c r="F52" i="2"/>
  <c r="G52" i="2" s="1"/>
  <c r="I52" i="2" s="1"/>
  <c r="F53" i="2"/>
  <c r="G53" i="2" s="1"/>
  <c r="F7" i="2"/>
  <c r="G7" i="2" s="1"/>
  <c r="I7" i="2" s="1"/>
  <c r="F98" i="2"/>
  <c r="G98" i="2" s="1"/>
  <c r="F69" i="2"/>
  <c r="F10" i="2"/>
  <c r="G10" i="2" s="1"/>
  <c r="I10" i="2" s="1"/>
  <c r="F114" i="2"/>
  <c r="G114" i="2" s="1"/>
  <c r="F84" i="2"/>
  <c r="G84" i="2" s="1"/>
  <c r="F85" i="2"/>
  <c r="G85" i="2" s="1"/>
  <c r="F54" i="2"/>
  <c r="F39" i="2"/>
  <c r="G39" i="2" s="1"/>
  <c r="I39" i="2" s="1"/>
  <c r="F24" i="2"/>
  <c r="G24" i="2" s="1"/>
  <c r="I24" i="2" s="1"/>
  <c r="F11" i="2"/>
  <c r="G11" i="2" s="1"/>
  <c r="I11" i="2" s="1"/>
  <c r="F115" i="2"/>
  <c r="F101" i="2"/>
  <c r="G101" i="2" s="1"/>
  <c r="F40" i="2"/>
  <c r="G40" i="2" s="1"/>
  <c r="I40" i="2" s="1"/>
  <c r="F42" i="2"/>
  <c r="F117" i="2"/>
  <c r="F28" i="2"/>
  <c r="F102" i="2"/>
  <c r="G102" i="2" s="1"/>
  <c r="F121" i="2"/>
  <c r="G121" i="2" s="1"/>
  <c r="F90" i="2"/>
  <c r="F75" i="2"/>
  <c r="G75" i="2" s="1"/>
  <c r="F60" i="2"/>
  <c r="G60" i="2" s="1"/>
  <c r="F45" i="2"/>
  <c r="G45" i="2" s="1"/>
  <c r="F30" i="2"/>
  <c r="G30" i="2" s="1"/>
  <c r="I30" i="2" s="1"/>
  <c r="F15" i="2"/>
  <c r="G15" i="2" s="1"/>
  <c r="I15" i="2" s="1"/>
  <c r="F119" i="2"/>
  <c r="G119" i="2" s="1"/>
  <c r="F104" i="2"/>
  <c r="G104" i="2" s="1"/>
  <c r="F228" i="1"/>
  <c r="G228" i="1" s="1"/>
  <c r="F186" i="1"/>
  <c r="G186" i="1" s="1"/>
  <c r="F202" i="1"/>
  <c r="G202" i="1" s="1"/>
  <c r="F100" i="1"/>
  <c r="G100" i="1" s="1"/>
  <c r="F209" i="1"/>
  <c r="G209" i="1" s="1"/>
  <c r="F233" i="1"/>
  <c r="G233" i="1" s="1"/>
  <c r="H127" i="2"/>
  <c r="H159" i="2"/>
  <c r="H191" i="2"/>
  <c r="H223" i="2"/>
  <c r="H160" i="2"/>
  <c r="H224" i="2"/>
  <c r="H177" i="2"/>
  <c r="H241" i="2"/>
  <c r="H130" i="2"/>
  <c r="H147" i="2"/>
  <c r="H211" i="2"/>
  <c r="H164" i="2"/>
  <c r="H228" i="2"/>
  <c r="H133" i="2"/>
  <c r="H197" i="2"/>
  <c r="H134" i="2"/>
  <c r="H198" i="2"/>
  <c r="H151" i="2"/>
  <c r="H215" i="2"/>
  <c r="H176" i="2"/>
  <c r="H240" i="2"/>
  <c r="H129" i="2"/>
  <c r="H193" i="2"/>
  <c r="H146" i="2"/>
  <c r="H210" i="2"/>
  <c r="H163" i="2"/>
  <c r="H227" i="2"/>
  <c r="H180" i="2"/>
  <c r="H149" i="2"/>
  <c r="H213" i="2"/>
  <c r="H150" i="2"/>
  <c r="H214" i="2"/>
  <c r="H167" i="2"/>
  <c r="H231" i="2"/>
  <c r="H209" i="2"/>
  <c r="H143" i="2"/>
  <c r="H175" i="2"/>
  <c r="H207" i="2"/>
  <c r="H239" i="2"/>
  <c r="H128" i="2"/>
  <c r="H192" i="2"/>
  <c r="H145" i="2"/>
  <c r="H162" i="2"/>
  <c r="H226" i="2"/>
  <c r="H179" i="2"/>
  <c r="H243" i="2"/>
  <c r="H132" i="2"/>
  <c r="H196" i="2"/>
  <c r="H165" i="2"/>
  <c r="H229" i="2"/>
  <c r="H166" i="2"/>
  <c r="H230" i="2"/>
  <c r="H183" i="2"/>
  <c r="H144" i="2"/>
  <c r="H208" i="2"/>
  <c r="H161" i="2"/>
  <c r="H225" i="2"/>
  <c r="H178" i="2"/>
  <c r="H242" i="2"/>
  <c r="H131" i="2"/>
  <c r="H195" i="2"/>
  <c r="H148" i="2"/>
  <c r="H212" i="2"/>
  <c r="H181" i="2"/>
  <c r="H182" i="2"/>
  <c r="H135" i="2"/>
  <c r="H199" i="2"/>
  <c r="H194" i="2"/>
  <c r="H168" i="2"/>
  <c r="H200" i="2"/>
  <c r="H232" i="2"/>
  <c r="H185" i="2"/>
  <c r="F184" i="1"/>
  <c r="G184" i="1" s="1"/>
  <c r="F183" i="1"/>
  <c r="G183" i="1" s="1"/>
  <c r="F216" i="1"/>
  <c r="G216" i="1" s="1"/>
  <c r="H184" i="2"/>
  <c r="H137" i="2"/>
  <c r="H233" i="2"/>
  <c r="H154" i="2"/>
  <c r="H139" i="2"/>
  <c r="H171" i="2"/>
  <c r="H235" i="2"/>
  <c r="H141" i="2"/>
  <c r="H173" i="2"/>
  <c r="H205" i="2"/>
  <c r="H237" i="2"/>
  <c r="H158" i="2"/>
  <c r="H190" i="2"/>
  <c r="H222" i="2"/>
  <c r="H152" i="2"/>
  <c r="H201" i="2"/>
  <c r="H186" i="2"/>
  <c r="H203" i="2"/>
  <c r="H156" i="2"/>
  <c r="H188" i="2"/>
  <c r="H220" i="2"/>
  <c r="H5" i="2"/>
  <c r="H216" i="2"/>
  <c r="H169" i="2"/>
  <c r="H218" i="2"/>
  <c r="H136" i="2"/>
  <c r="H153" i="2"/>
  <c r="H217" i="2"/>
  <c r="H138" i="2"/>
  <c r="H170" i="2"/>
  <c r="H202" i="2"/>
  <c r="H234" i="2"/>
  <c r="H155" i="2"/>
  <c r="H187" i="2"/>
  <c r="H219" i="2"/>
  <c r="H140" i="2"/>
  <c r="H172" i="2"/>
  <c r="H204" i="2"/>
  <c r="H236" i="2"/>
  <c r="H157" i="2"/>
  <c r="H189" i="2"/>
  <c r="H221" i="2"/>
  <c r="H142" i="2"/>
  <c r="H174" i="2"/>
  <c r="H206" i="2"/>
  <c r="H238" i="2"/>
  <c r="F207" i="42"/>
  <c r="D208" i="42"/>
  <c r="C208" i="42"/>
  <c r="E209" i="42"/>
  <c r="A210" i="42"/>
  <c r="B209" i="42"/>
  <c r="F3" i="1"/>
  <c r="H36" i="2" l="1"/>
  <c r="F170" i="1"/>
  <c r="G170" i="1" s="1"/>
  <c r="I170" i="1" s="1"/>
  <c r="F171" i="1"/>
  <c r="G171" i="1" s="1"/>
  <c r="I171" i="1" s="1"/>
  <c r="F161" i="1"/>
  <c r="G161" i="1" s="1"/>
  <c r="I161" i="1" s="1"/>
  <c r="F153" i="1"/>
  <c r="G153" i="1" s="1"/>
  <c r="H14" i="2"/>
  <c r="H84" i="2"/>
  <c r="H23" i="2"/>
  <c r="H83" i="2"/>
  <c r="H60" i="2"/>
  <c r="H122" i="2"/>
  <c r="H32" i="2"/>
  <c r="H114" i="2"/>
  <c r="H35" i="2"/>
  <c r="H71" i="2"/>
  <c r="H10" i="2"/>
  <c r="H108" i="2"/>
  <c r="G54" i="2"/>
  <c r="H54" i="2"/>
  <c r="G51" i="2"/>
  <c r="H51" i="2"/>
  <c r="H78" i="2"/>
  <c r="G58" i="2"/>
  <c r="H58" i="2"/>
  <c r="G99" i="2"/>
  <c r="H99" i="2"/>
  <c r="G123" i="2"/>
  <c r="H123" i="2"/>
  <c r="G103" i="2"/>
  <c r="H103" i="2"/>
  <c r="G50" i="2"/>
  <c r="H50" i="2"/>
  <c r="G115" i="2"/>
  <c r="H115" i="2"/>
  <c r="H20" i="2"/>
  <c r="H8" i="2"/>
  <c r="H88" i="2"/>
  <c r="H89" i="2"/>
  <c r="H11" i="2"/>
  <c r="H55" i="2"/>
  <c r="G117" i="2"/>
  <c r="H117" i="2"/>
  <c r="G90" i="2"/>
  <c r="H90" i="2"/>
  <c r="G69" i="2"/>
  <c r="H69" i="2"/>
  <c r="G73" i="2"/>
  <c r="H73" i="2"/>
  <c r="G19" i="2"/>
  <c r="I19" i="2" s="1"/>
  <c r="H19" i="2"/>
  <c r="G28" i="2"/>
  <c r="I28" i="2" s="1"/>
  <c r="H28" i="2"/>
  <c r="H85" i="2"/>
  <c r="H44" i="2"/>
  <c r="H92" i="2"/>
  <c r="H121" i="2"/>
  <c r="H37" i="2"/>
  <c r="H22" i="2"/>
  <c r="H26" i="2"/>
  <c r="H119" i="2"/>
  <c r="H49" i="2"/>
  <c r="H39" i="2"/>
  <c r="H29" i="2"/>
  <c r="H67" i="2"/>
  <c r="H97" i="2"/>
  <c r="H116" i="2"/>
  <c r="H82" i="2"/>
  <c r="H48" i="2"/>
  <c r="H63" i="2"/>
  <c r="H43" i="2"/>
  <c r="H41" i="2"/>
  <c r="H53" i="2"/>
  <c r="H17" i="2"/>
  <c r="H104" i="2"/>
  <c r="H24" i="2"/>
  <c r="H33" i="2"/>
  <c r="H102" i="2"/>
  <c r="H52" i="2"/>
  <c r="H18" i="2"/>
  <c r="H96" i="2"/>
  <c r="H100" i="2"/>
  <c r="H124" i="2"/>
  <c r="H34" i="2"/>
  <c r="H112" i="2"/>
  <c r="H15" i="2"/>
  <c r="H72" i="2"/>
  <c r="H77" i="2"/>
  <c r="H86" i="2"/>
  <c r="G42" i="2"/>
  <c r="I42" i="2" s="1"/>
  <c r="H42" i="2"/>
  <c r="G66" i="2"/>
  <c r="H66" i="2"/>
  <c r="G107" i="2"/>
  <c r="H107" i="2"/>
  <c r="G59" i="2"/>
  <c r="H59" i="2"/>
  <c r="G12" i="2"/>
  <c r="I12" i="2" s="1"/>
  <c r="H12" i="2"/>
  <c r="G38" i="2"/>
  <c r="I38" i="2" s="1"/>
  <c r="H38" i="2"/>
  <c r="G65" i="2"/>
  <c r="H65" i="2"/>
  <c r="G47" i="2"/>
  <c r="H47" i="2"/>
  <c r="H7" i="2"/>
  <c r="H101" i="2"/>
  <c r="H81" i="2"/>
  <c r="H95" i="2"/>
  <c r="H110" i="2"/>
  <c r="H125" i="2"/>
  <c r="H40" i="2"/>
  <c r="H120" i="2"/>
  <c r="H70" i="2"/>
  <c r="H93" i="2"/>
  <c r="H105" i="2"/>
  <c r="H126" i="2"/>
  <c r="H118" i="2"/>
  <c r="H111" i="2"/>
  <c r="H6" i="2"/>
  <c r="H31" i="2"/>
  <c r="H46" i="2"/>
  <c r="H61" i="2"/>
  <c r="H76" i="2"/>
  <c r="H91" i="2"/>
  <c r="H106" i="2"/>
  <c r="H57" i="2"/>
  <c r="H9" i="2"/>
  <c r="H94" i="2"/>
  <c r="H109" i="2"/>
  <c r="H25" i="2"/>
  <c r="H16" i="2"/>
  <c r="H68" i="2"/>
  <c r="H98" i="2"/>
  <c r="H64" i="2"/>
  <c r="H21" i="2"/>
  <c r="H87" i="2"/>
  <c r="H113" i="2"/>
  <c r="H80" i="2"/>
  <c r="H79" i="2"/>
  <c r="H74" i="2"/>
  <c r="H13" i="2"/>
  <c r="H62" i="2"/>
  <c r="H27" i="2"/>
  <c r="H56" i="2"/>
  <c r="H30" i="2"/>
  <c r="H45" i="2"/>
  <c r="H75" i="2"/>
  <c r="F17" i="1"/>
  <c r="G17" i="1" s="1"/>
  <c r="F103" i="1"/>
  <c r="G103" i="1" s="1"/>
  <c r="I103" i="1" s="1"/>
  <c r="F26" i="1"/>
  <c r="G26" i="1" s="1"/>
  <c r="F108" i="1"/>
  <c r="G108" i="1" s="1"/>
  <c r="I108" i="1" s="1"/>
  <c r="F55" i="1"/>
  <c r="G55" i="1" s="1"/>
  <c r="F74" i="1"/>
  <c r="G74" i="1" s="1"/>
  <c r="I74" i="1" s="1"/>
  <c r="F51" i="1"/>
  <c r="G51" i="1" s="1"/>
  <c r="F147" i="1"/>
  <c r="G147" i="1" s="1"/>
  <c r="I147" i="1" s="1"/>
  <c r="F31" i="1"/>
  <c r="G31" i="1" s="1"/>
  <c r="F68" i="1"/>
  <c r="G68" i="1" s="1"/>
  <c r="I68" i="1" s="1"/>
  <c r="F33" i="1"/>
  <c r="G33" i="1" s="1"/>
  <c r="F10" i="1"/>
  <c r="G10" i="1" s="1"/>
  <c r="F138" i="1"/>
  <c r="G138" i="1" s="1"/>
  <c r="I138" i="1" s="1"/>
  <c r="F106" i="1"/>
  <c r="G106" i="1" s="1"/>
  <c r="I106" i="1" s="1"/>
  <c r="F120" i="1"/>
  <c r="G120" i="1" s="1"/>
  <c r="I120" i="1" s="1"/>
  <c r="F155" i="1"/>
  <c r="G155" i="1" s="1"/>
  <c r="I155" i="1" s="1"/>
  <c r="F123" i="1"/>
  <c r="G123" i="1" s="1"/>
  <c r="I123" i="1" s="1"/>
  <c r="F116" i="1"/>
  <c r="G116" i="1" s="1"/>
  <c r="I116" i="1" s="1"/>
  <c r="F122" i="1"/>
  <c r="G122" i="1" s="1"/>
  <c r="I122" i="1" s="1"/>
  <c r="F148" i="1"/>
  <c r="G148" i="1" s="1"/>
  <c r="I148" i="1" s="1"/>
  <c r="F90" i="1"/>
  <c r="G90" i="1" s="1"/>
  <c r="I90" i="1" s="1"/>
  <c r="F88" i="1"/>
  <c r="G88" i="1" s="1"/>
  <c r="I88" i="1" s="1"/>
  <c r="F40" i="1"/>
  <c r="G40" i="1" s="1"/>
  <c r="F192" i="1"/>
  <c r="G192" i="1" s="1"/>
  <c r="I192" i="1" s="1"/>
  <c r="F219" i="1"/>
  <c r="G219" i="1" s="1"/>
  <c r="I219" i="1" s="1"/>
  <c r="F212" i="1"/>
  <c r="G212" i="1" s="1"/>
  <c r="I212" i="1" s="1"/>
  <c r="F168" i="1"/>
  <c r="G168" i="1" s="1"/>
  <c r="F203" i="1"/>
  <c r="G203" i="1" s="1"/>
  <c r="I203" i="1" s="1"/>
  <c r="F208" i="1"/>
  <c r="G208" i="1" s="1"/>
  <c r="I208" i="1" s="1"/>
  <c r="F218" i="1"/>
  <c r="G218" i="1" s="1"/>
  <c r="I218" i="1" s="1"/>
  <c r="F49" i="1"/>
  <c r="G49" i="1" s="1"/>
  <c r="F7" i="1"/>
  <c r="G7" i="1" s="1"/>
  <c r="F58" i="1"/>
  <c r="G58" i="1" s="1"/>
  <c r="F71" i="1"/>
  <c r="G71" i="1" s="1"/>
  <c r="I71" i="1" s="1"/>
  <c r="F160" i="1"/>
  <c r="G160" i="1" s="1"/>
  <c r="I160" i="1" s="1"/>
  <c r="F127" i="1"/>
  <c r="G127" i="1" s="1"/>
  <c r="I127" i="1" s="1"/>
  <c r="F95" i="1"/>
  <c r="G95" i="1" s="1"/>
  <c r="I95" i="1" s="1"/>
  <c r="F177" i="1"/>
  <c r="G177" i="1" s="1"/>
  <c r="I177" i="1" s="1"/>
  <c r="F20" i="1"/>
  <c r="G20" i="1" s="1"/>
  <c r="F144" i="1"/>
  <c r="G144" i="1" s="1"/>
  <c r="I144" i="1" s="1"/>
  <c r="F175" i="1"/>
  <c r="G175" i="1" s="1"/>
  <c r="F196" i="1"/>
  <c r="G196" i="1" s="1"/>
  <c r="I196" i="1" s="1"/>
  <c r="F132" i="1"/>
  <c r="G132" i="1" s="1"/>
  <c r="I132" i="1" s="1"/>
  <c r="F231" i="1"/>
  <c r="G231" i="1" s="1"/>
  <c r="I231" i="1" s="1"/>
  <c r="F167" i="1"/>
  <c r="G167" i="1" s="1"/>
  <c r="F119" i="1"/>
  <c r="G119" i="1" s="1"/>
  <c r="I119" i="1" s="1"/>
  <c r="F24" i="1"/>
  <c r="G24" i="1" s="1"/>
  <c r="F84" i="1"/>
  <c r="G84" i="1" s="1"/>
  <c r="I84" i="1" s="1"/>
  <c r="F195" i="1"/>
  <c r="G195" i="1" s="1"/>
  <c r="I195" i="1" s="1"/>
  <c r="F179" i="1"/>
  <c r="G179" i="1" s="1"/>
  <c r="I179" i="1" s="1"/>
  <c r="F15" i="1"/>
  <c r="G15" i="1" s="1"/>
  <c r="F104" i="1"/>
  <c r="G104" i="1" s="1"/>
  <c r="I104" i="1" s="1"/>
  <c r="F188" i="1"/>
  <c r="G188" i="1" s="1"/>
  <c r="I188" i="1" s="1"/>
  <c r="F140" i="1"/>
  <c r="G140" i="1" s="1"/>
  <c r="I140" i="1" s="1"/>
  <c r="F76" i="1"/>
  <c r="H76" i="1" s="1"/>
  <c r="F60" i="1"/>
  <c r="F35" i="1"/>
  <c r="H35" i="1" s="1"/>
  <c r="F239" i="1"/>
  <c r="G239" i="1" s="1"/>
  <c r="I239" i="1" s="1"/>
  <c r="F223" i="1"/>
  <c r="G223" i="1" s="1"/>
  <c r="I223" i="1" s="1"/>
  <c r="F111" i="1"/>
  <c r="F79" i="1"/>
  <c r="F63" i="1"/>
  <c r="G63" i="1" s="1"/>
  <c r="F28" i="1"/>
  <c r="F18" i="1"/>
  <c r="H18" i="1" s="1"/>
  <c r="F92" i="1"/>
  <c r="G92" i="1" s="1"/>
  <c r="I92" i="1" s="1"/>
  <c r="F220" i="1"/>
  <c r="G220" i="1" s="1"/>
  <c r="I220" i="1" s="1"/>
  <c r="F172" i="1"/>
  <c r="G172" i="1" s="1"/>
  <c r="F53" i="1"/>
  <c r="H53" i="1" s="1"/>
  <c r="F204" i="1"/>
  <c r="G204" i="1" s="1"/>
  <c r="I204" i="1" s="1"/>
  <c r="F156" i="1"/>
  <c r="F124" i="1"/>
  <c r="G124" i="1" s="1"/>
  <c r="I124" i="1" s="1"/>
  <c r="F37" i="1"/>
  <c r="F21" i="1"/>
  <c r="F12" i="1"/>
  <c r="G12" i="1" s="1"/>
  <c r="F199" i="1"/>
  <c r="G199" i="1" s="1"/>
  <c r="I199" i="1" s="1"/>
  <c r="F151" i="1"/>
  <c r="H151" i="1" s="1"/>
  <c r="F135" i="1"/>
  <c r="G135" i="1" s="1"/>
  <c r="I135" i="1" s="1"/>
  <c r="F146" i="1"/>
  <c r="G146" i="1" s="1"/>
  <c r="I146" i="1" s="1"/>
  <c r="F130" i="1"/>
  <c r="G130" i="1" s="1"/>
  <c r="I130" i="1" s="1"/>
  <c r="F114" i="1"/>
  <c r="F98" i="1"/>
  <c r="G98" i="1" s="1"/>
  <c r="I98" i="1" s="1"/>
  <c r="F82" i="1"/>
  <c r="G82" i="1" s="1"/>
  <c r="I82" i="1" s="1"/>
  <c r="F66" i="1"/>
  <c r="G66" i="1" s="1"/>
  <c r="F47" i="1"/>
  <c r="F236" i="1"/>
  <c r="G236" i="1" s="1"/>
  <c r="I236" i="1" s="1"/>
  <c r="F241" i="1"/>
  <c r="G241" i="1" s="1"/>
  <c r="I241" i="1" s="1"/>
  <c r="F225" i="1"/>
  <c r="G225" i="1" s="1"/>
  <c r="I225" i="1" s="1"/>
  <c r="F193" i="1"/>
  <c r="F44" i="1"/>
  <c r="G44" i="1" s="1"/>
  <c r="F42" i="1"/>
  <c r="G42" i="1" s="1"/>
  <c r="F191" i="1"/>
  <c r="F143" i="1"/>
  <c r="G143" i="1" s="1"/>
  <c r="I143" i="1" s="1"/>
  <c r="F72" i="1"/>
  <c r="G72" i="1" s="1"/>
  <c r="I72" i="1" s="1"/>
  <c r="F56" i="1"/>
  <c r="F27" i="1"/>
  <c r="H27" i="1" s="1"/>
  <c r="F197" i="1"/>
  <c r="G197" i="1" s="1"/>
  <c r="I197" i="1" s="1"/>
  <c r="F174" i="1"/>
  <c r="G174" i="1" s="1"/>
  <c r="F200" i="1"/>
  <c r="G200" i="1" s="1"/>
  <c r="F152" i="1"/>
  <c r="G152" i="1" s="1"/>
  <c r="F80" i="1"/>
  <c r="G80" i="1" s="1"/>
  <c r="F64" i="1"/>
  <c r="G64" i="1" s="1"/>
  <c r="F43" i="1"/>
  <c r="G43" i="1" s="1"/>
  <c r="F243" i="1"/>
  <c r="G243" i="1" s="1"/>
  <c r="F227" i="1"/>
  <c r="G227" i="1" s="1"/>
  <c r="F211" i="1"/>
  <c r="G211" i="1" s="1"/>
  <c r="F131" i="1"/>
  <c r="G131" i="1" s="1"/>
  <c r="F115" i="1"/>
  <c r="G115" i="1" s="1"/>
  <c r="F99" i="1"/>
  <c r="G99" i="1" s="1"/>
  <c r="F83" i="1"/>
  <c r="G83" i="1" s="1"/>
  <c r="F67" i="1"/>
  <c r="G67" i="1" s="1"/>
  <c r="F48" i="1"/>
  <c r="G48" i="1" s="1"/>
  <c r="F240" i="1"/>
  <c r="G240" i="1" s="1"/>
  <c r="F194" i="1"/>
  <c r="G194" i="1" s="1"/>
  <c r="F166" i="1"/>
  <c r="G166" i="1" s="1"/>
  <c r="F142" i="1"/>
  <c r="G142" i="1" s="1"/>
  <c r="F126" i="1"/>
  <c r="G126" i="1" s="1"/>
  <c r="F110" i="1"/>
  <c r="G110" i="1" s="1"/>
  <c r="F94" i="1"/>
  <c r="G94" i="1" s="1"/>
  <c r="F78" i="1"/>
  <c r="G78" i="1" s="1"/>
  <c r="F62" i="1"/>
  <c r="G62" i="1" s="1"/>
  <c r="F39" i="1"/>
  <c r="G39" i="1" s="1"/>
  <c r="F224" i="1"/>
  <c r="G224" i="1" s="1"/>
  <c r="F180" i="1"/>
  <c r="G180" i="1" s="1"/>
  <c r="F136" i="1"/>
  <c r="G136" i="1" s="1"/>
  <c r="F112" i="1"/>
  <c r="G112" i="1" s="1"/>
  <c r="F242" i="1"/>
  <c r="G242" i="1" s="1"/>
  <c r="F226" i="1"/>
  <c r="G226" i="1" s="1"/>
  <c r="F198" i="1"/>
  <c r="G198" i="1" s="1"/>
  <c r="F237" i="1"/>
  <c r="G237" i="1" s="1"/>
  <c r="F221" i="1"/>
  <c r="G221" i="1" s="1"/>
  <c r="F205" i="1"/>
  <c r="G205" i="1" s="1"/>
  <c r="F189" i="1"/>
  <c r="G189" i="1" s="1"/>
  <c r="F173" i="1"/>
  <c r="G173" i="1" s="1"/>
  <c r="F157" i="1"/>
  <c r="G157" i="1" s="1"/>
  <c r="F141" i="1"/>
  <c r="G141" i="1" s="1"/>
  <c r="F125" i="1"/>
  <c r="G125" i="1" s="1"/>
  <c r="F109" i="1"/>
  <c r="G109" i="1" s="1"/>
  <c r="F93" i="1"/>
  <c r="G93" i="1" s="1"/>
  <c r="F77" i="1"/>
  <c r="G77" i="1" s="1"/>
  <c r="F61" i="1"/>
  <c r="G61" i="1" s="1"/>
  <c r="F36" i="1"/>
  <c r="G36" i="1" s="1"/>
  <c r="F45" i="1"/>
  <c r="G45" i="1" s="1"/>
  <c r="F29" i="1"/>
  <c r="G29" i="1" s="1"/>
  <c r="F13" i="1"/>
  <c r="G13" i="1" s="1"/>
  <c r="F19" i="1"/>
  <c r="G19" i="1" s="1"/>
  <c r="F54" i="1"/>
  <c r="G54" i="1" s="1"/>
  <c r="F38" i="1"/>
  <c r="G38" i="1" s="1"/>
  <c r="F22" i="1"/>
  <c r="G22" i="1" s="1"/>
  <c r="I100" i="1"/>
  <c r="H100" i="1"/>
  <c r="F207" i="1"/>
  <c r="G207" i="1" s="1"/>
  <c r="F159" i="1"/>
  <c r="G159" i="1" s="1"/>
  <c r="I228" i="1"/>
  <c r="H228" i="1"/>
  <c r="I184" i="1"/>
  <c r="H184" i="1"/>
  <c r="I186" i="1"/>
  <c r="H186" i="1"/>
  <c r="F158" i="1"/>
  <c r="F128" i="1"/>
  <c r="G128" i="1" s="1"/>
  <c r="F238" i="1"/>
  <c r="G238" i="1" s="1"/>
  <c r="F222" i="1"/>
  <c r="G222" i="1" s="1"/>
  <c r="F190" i="1"/>
  <c r="G190" i="1" s="1"/>
  <c r="I233" i="1"/>
  <c r="H233" i="1"/>
  <c r="F217" i="1"/>
  <c r="G217" i="1" s="1"/>
  <c r="F201" i="1"/>
  <c r="G201" i="1" s="1"/>
  <c r="F185" i="1"/>
  <c r="G185" i="1" s="1"/>
  <c r="F169" i="1"/>
  <c r="G169" i="1" s="1"/>
  <c r="F137" i="1"/>
  <c r="G137" i="1" s="1"/>
  <c r="F121" i="1"/>
  <c r="G121" i="1" s="1"/>
  <c r="F105" i="1"/>
  <c r="G105" i="1" s="1"/>
  <c r="F89" i="1"/>
  <c r="G89" i="1" s="1"/>
  <c r="F73" i="1"/>
  <c r="G73" i="1" s="1"/>
  <c r="F57" i="1"/>
  <c r="G57" i="1" s="1"/>
  <c r="F41" i="1"/>
  <c r="G41" i="1" s="1"/>
  <c r="F25" i="1"/>
  <c r="G25" i="1" s="1"/>
  <c r="F9" i="1"/>
  <c r="G9" i="1" s="1"/>
  <c r="F50" i="1"/>
  <c r="G50" i="1" s="1"/>
  <c r="F34" i="1"/>
  <c r="G34" i="1" s="1"/>
  <c r="F232" i="1"/>
  <c r="G232" i="1" s="1"/>
  <c r="F176" i="1"/>
  <c r="G176" i="1" s="1"/>
  <c r="F235" i="1"/>
  <c r="G235" i="1" s="1"/>
  <c r="F187" i="1"/>
  <c r="G187" i="1" s="1"/>
  <c r="F139" i="1"/>
  <c r="G139" i="1" s="1"/>
  <c r="F107" i="1"/>
  <c r="G107" i="1" s="1"/>
  <c r="F91" i="1"/>
  <c r="G91" i="1" s="1"/>
  <c r="F75" i="1"/>
  <c r="G75" i="1" s="1"/>
  <c r="F59" i="1"/>
  <c r="G59" i="1" s="1"/>
  <c r="F32" i="1"/>
  <c r="G32" i="1" s="1"/>
  <c r="F210" i="1"/>
  <c r="G210" i="1" s="1"/>
  <c r="F182" i="1"/>
  <c r="G182" i="1" s="1"/>
  <c r="F150" i="1"/>
  <c r="G150" i="1" s="1"/>
  <c r="F134" i="1"/>
  <c r="G134" i="1" s="1"/>
  <c r="F118" i="1"/>
  <c r="G118" i="1" s="1"/>
  <c r="F102" i="1"/>
  <c r="G102" i="1" s="1"/>
  <c r="F86" i="1"/>
  <c r="G86" i="1" s="1"/>
  <c r="F70" i="1"/>
  <c r="G70" i="1" s="1"/>
  <c r="F96" i="1"/>
  <c r="G96" i="1" s="1"/>
  <c r="F234" i="1"/>
  <c r="G234" i="1" s="1"/>
  <c r="F214" i="1"/>
  <c r="G214" i="1" s="1"/>
  <c r="F178" i="1"/>
  <c r="G178" i="1" s="1"/>
  <c r="F5" i="1"/>
  <c r="G5" i="1" s="1"/>
  <c r="F229" i="1"/>
  <c r="G229" i="1" s="1"/>
  <c r="F213" i="1"/>
  <c r="G213" i="1" s="1"/>
  <c r="F181" i="1"/>
  <c r="G181" i="1" s="1"/>
  <c r="F149" i="1"/>
  <c r="G149" i="1" s="1"/>
  <c r="F133" i="1"/>
  <c r="G133" i="1" s="1"/>
  <c r="F117" i="1"/>
  <c r="G117" i="1" s="1"/>
  <c r="F101" i="1"/>
  <c r="G101" i="1" s="1"/>
  <c r="F85" i="1"/>
  <c r="G85" i="1" s="1"/>
  <c r="F69" i="1"/>
  <c r="G69" i="1" s="1"/>
  <c r="F52" i="1"/>
  <c r="G52" i="1" s="1"/>
  <c r="F16" i="1"/>
  <c r="G16" i="1" s="1"/>
  <c r="F8" i="1"/>
  <c r="G8" i="1" s="1"/>
  <c r="F11" i="1"/>
  <c r="G11" i="1" s="1"/>
  <c r="F46" i="1"/>
  <c r="G46" i="1" s="1"/>
  <c r="F30" i="1"/>
  <c r="G30" i="1" s="1"/>
  <c r="F14" i="1"/>
  <c r="G14" i="1" s="1"/>
  <c r="I216" i="1"/>
  <c r="H216" i="1"/>
  <c r="F215" i="1"/>
  <c r="G215" i="1" s="1"/>
  <c r="I183" i="1"/>
  <c r="H183" i="1"/>
  <c r="F87" i="1"/>
  <c r="G87" i="1" s="1"/>
  <c r="I202" i="1"/>
  <c r="H202" i="1"/>
  <c r="F230" i="1"/>
  <c r="G230" i="1" s="1"/>
  <c r="F206" i="1"/>
  <c r="G206" i="1" s="1"/>
  <c r="I209" i="1"/>
  <c r="H209" i="1"/>
  <c r="F145" i="1"/>
  <c r="G145" i="1" s="1"/>
  <c r="F129" i="1"/>
  <c r="G129" i="1" s="1"/>
  <c r="F113" i="1"/>
  <c r="G113" i="1" s="1"/>
  <c r="F97" i="1"/>
  <c r="G97" i="1" s="1"/>
  <c r="F81" i="1"/>
  <c r="G81" i="1" s="1"/>
  <c r="F65" i="1"/>
  <c r="G65" i="1" s="1"/>
  <c r="F23" i="1"/>
  <c r="G23" i="1" s="1"/>
  <c r="F208" i="42"/>
  <c r="E210" i="42"/>
  <c r="A211" i="42"/>
  <c r="B210" i="42"/>
  <c r="D209" i="42"/>
  <c r="C209" i="42"/>
  <c r="F4" i="3"/>
  <c r="G4" i="3" s="1"/>
  <c r="I4" i="3" s="1"/>
  <c r="B3" i="3"/>
  <c r="H170" i="1" l="1"/>
  <c r="H171" i="1"/>
  <c r="G156" i="1"/>
  <c r="I156" i="1" s="1"/>
  <c r="H161" i="1"/>
  <c r="H153" i="1"/>
  <c r="G158" i="1"/>
  <c r="I158" i="1" s="1"/>
  <c r="I174" i="1"/>
  <c r="I175" i="1"/>
  <c r="I17" i="1"/>
  <c r="I168" i="1"/>
  <c r="I167" i="1"/>
  <c r="I172" i="1"/>
  <c r="H51" i="1"/>
  <c r="H219" i="1"/>
  <c r="H17" i="1"/>
  <c r="H208" i="1"/>
  <c r="I20" i="1"/>
  <c r="I10" i="1"/>
  <c r="I15" i="1"/>
  <c r="I33" i="1"/>
  <c r="I42" i="1"/>
  <c r="I40" i="1"/>
  <c r="I31" i="1"/>
  <c r="I44" i="1"/>
  <c r="I63" i="1"/>
  <c r="I24" i="1"/>
  <c r="I51" i="1"/>
  <c r="I12" i="1"/>
  <c r="I58" i="1"/>
  <c r="I55" i="1"/>
  <c r="I7" i="1"/>
  <c r="F6" i="1"/>
  <c r="G6" i="1" s="1"/>
  <c r="I49" i="1"/>
  <c r="I26" i="1"/>
  <c r="I66" i="1"/>
  <c r="H203" i="1"/>
  <c r="H103" i="1"/>
  <c r="H55" i="1"/>
  <c r="H138" i="1"/>
  <c r="H108" i="1"/>
  <c r="H26" i="1"/>
  <c r="H225" i="1"/>
  <c r="H71" i="1"/>
  <c r="H92" i="1"/>
  <c r="H88" i="1"/>
  <c r="H155" i="1"/>
  <c r="H144" i="1"/>
  <c r="H58" i="1"/>
  <c r="H148" i="1"/>
  <c r="H147" i="1"/>
  <c r="H74" i="1"/>
  <c r="H24" i="1"/>
  <c r="H132" i="1"/>
  <c r="H33" i="1"/>
  <c r="H10" i="1"/>
  <c r="H120" i="1"/>
  <c r="H40" i="1"/>
  <c r="H106" i="1"/>
  <c r="H49" i="1"/>
  <c r="H95" i="1"/>
  <c r="H130" i="1"/>
  <c r="H68" i="1"/>
  <c r="H123" i="1"/>
  <c r="H31" i="1"/>
  <c r="H119" i="1"/>
  <c r="H192" i="1"/>
  <c r="H116" i="1"/>
  <c r="H124" i="1"/>
  <c r="H104" i="1"/>
  <c r="H66" i="1"/>
  <c r="H135" i="1"/>
  <c r="H90" i="1"/>
  <c r="H15" i="1"/>
  <c r="H122" i="1"/>
  <c r="H84" i="1"/>
  <c r="H212" i="1"/>
  <c r="H168" i="1"/>
  <c r="H231" i="1"/>
  <c r="H177" i="1"/>
  <c r="H218" i="1"/>
  <c r="H236" i="1"/>
  <c r="H197" i="1"/>
  <c r="H127" i="1"/>
  <c r="H179" i="1"/>
  <c r="H98" i="1"/>
  <c r="H195" i="1"/>
  <c r="H7" i="1"/>
  <c r="H199" i="1"/>
  <c r="H175" i="1"/>
  <c r="H42" i="1"/>
  <c r="H160" i="1"/>
  <c r="H20" i="1"/>
  <c r="H196" i="1"/>
  <c r="H172" i="1"/>
  <c r="H223" i="1"/>
  <c r="H143" i="1"/>
  <c r="H204" i="1"/>
  <c r="H167" i="1"/>
  <c r="H188" i="1"/>
  <c r="H241" i="1"/>
  <c r="H146" i="1"/>
  <c r="H156" i="1"/>
  <c r="H63" i="1"/>
  <c r="H140" i="1"/>
  <c r="H44" i="1"/>
  <c r="H12" i="1"/>
  <c r="H220" i="1"/>
  <c r="H82" i="1"/>
  <c r="H174" i="1"/>
  <c r="H72" i="1"/>
  <c r="H239" i="1"/>
  <c r="G27" i="1"/>
  <c r="G191" i="1"/>
  <c r="I191" i="1" s="1"/>
  <c r="H193" i="1"/>
  <c r="G193" i="1"/>
  <c r="I193" i="1" s="1"/>
  <c r="G47" i="1"/>
  <c r="G114" i="1"/>
  <c r="G151" i="1"/>
  <c r="G37" i="1"/>
  <c r="G53" i="1"/>
  <c r="G18" i="1"/>
  <c r="H111" i="1"/>
  <c r="G111" i="1"/>
  <c r="G60" i="1"/>
  <c r="H56" i="1"/>
  <c r="G56" i="1"/>
  <c r="H28" i="1"/>
  <c r="G28" i="1"/>
  <c r="G76" i="1"/>
  <c r="H21" i="1"/>
  <c r="G21" i="1"/>
  <c r="H79" i="1"/>
  <c r="G79" i="1"/>
  <c r="G35" i="1"/>
  <c r="H191" i="1"/>
  <c r="H47" i="1"/>
  <c r="H114" i="1"/>
  <c r="H60" i="1"/>
  <c r="H37" i="1"/>
  <c r="I81" i="1"/>
  <c r="H81" i="1"/>
  <c r="I230" i="1"/>
  <c r="H230" i="1"/>
  <c r="I11" i="1"/>
  <c r="H11" i="1"/>
  <c r="I69" i="1"/>
  <c r="H69" i="1"/>
  <c r="I133" i="1"/>
  <c r="H133" i="1"/>
  <c r="I5" i="1"/>
  <c r="H5" i="1"/>
  <c r="I234" i="1"/>
  <c r="H234" i="1"/>
  <c r="I70" i="1"/>
  <c r="H70" i="1"/>
  <c r="I134" i="1"/>
  <c r="H134" i="1"/>
  <c r="I32" i="1"/>
  <c r="H32" i="1"/>
  <c r="I107" i="1"/>
  <c r="H107" i="1"/>
  <c r="I187" i="1"/>
  <c r="H187" i="1"/>
  <c r="I176" i="1"/>
  <c r="H176" i="1"/>
  <c r="I34" i="1"/>
  <c r="H34" i="1"/>
  <c r="I9" i="1"/>
  <c r="H9" i="1"/>
  <c r="I105" i="1"/>
  <c r="H105" i="1"/>
  <c r="I169" i="1"/>
  <c r="H169" i="1"/>
  <c r="I190" i="1"/>
  <c r="H190" i="1"/>
  <c r="H158" i="1"/>
  <c r="I207" i="1"/>
  <c r="H207" i="1"/>
  <c r="I19" i="1"/>
  <c r="H19" i="1"/>
  <c r="I36" i="1"/>
  <c r="H36" i="1"/>
  <c r="I109" i="1"/>
  <c r="H109" i="1"/>
  <c r="I173" i="1"/>
  <c r="H173" i="1"/>
  <c r="I237" i="1"/>
  <c r="H237" i="1"/>
  <c r="I242" i="1"/>
  <c r="H242" i="1"/>
  <c r="I224" i="1"/>
  <c r="H224" i="1"/>
  <c r="I94" i="1"/>
  <c r="H94" i="1"/>
  <c r="I166" i="1"/>
  <c r="H166" i="1"/>
  <c r="I67" i="1"/>
  <c r="H67" i="1"/>
  <c r="I131" i="1"/>
  <c r="H131" i="1"/>
  <c r="I211" i="1"/>
  <c r="H211" i="1"/>
  <c r="I64" i="1"/>
  <c r="H64" i="1"/>
  <c r="I152" i="1"/>
  <c r="H152" i="1"/>
  <c r="I113" i="1"/>
  <c r="H113" i="1"/>
  <c r="I65" i="1"/>
  <c r="H65" i="1"/>
  <c r="I206" i="1"/>
  <c r="H206" i="1"/>
  <c r="I117" i="1"/>
  <c r="H117" i="1"/>
  <c r="I214" i="1"/>
  <c r="H214" i="1"/>
  <c r="I145" i="1"/>
  <c r="H145" i="1"/>
  <c r="I97" i="1"/>
  <c r="H97" i="1"/>
  <c r="I14" i="1"/>
  <c r="H14" i="1"/>
  <c r="I8" i="1"/>
  <c r="H8" i="1"/>
  <c r="I85" i="1"/>
  <c r="H85" i="1"/>
  <c r="I149" i="1"/>
  <c r="H149" i="1"/>
  <c r="I96" i="1"/>
  <c r="H96" i="1"/>
  <c r="I86" i="1"/>
  <c r="H86" i="1"/>
  <c r="I150" i="1"/>
  <c r="H150" i="1"/>
  <c r="I59" i="1"/>
  <c r="H59" i="1"/>
  <c r="I235" i="1"/>
  <c r="H235" i="1"/>
  <c r="I232" i="1"/>
  <c r="H232" i="1"/>
  <c r="I50" i="1"/>
  <c r="H50" i="1"/>
  <c r="I25" i="1"/>
  <c r="H25" i="1"/>
  <c r="I57" i="1"/>
  <c r="H57" i="1"/>
  <c r="I121" i="1"/>
  <c r="H121" i="1"/>
  <c r="I185" i="1"/>
  <c r="H185" i="1"/>
  <c r="I222" i="1"/>
  <c r="H222" i="1"/>
  <c r="I128" i="1"/>
  <c r="H128" i="1"/>
  <c r="I22" i="1"/>
  <c r="H22" i="1"/>
  <c r="I13" i="1"/>
  <c r="H13" i="1"/>
  <c r="I61" i="1"/>
  <c r="H61" i="1"/>
  <c r="I125" i="1"/>
  <c r="H125" i="1"/>
  <c r="I189" i="1"/>
  <c r="H189" i="1"/>
  <c r="I112" i="1"/>
  <c r="H112" i="1"/>
  <c r="I39" i="1"/>
  <c r="H39" i="1"/>
  <c r="I110" i="1"/>
  <c r="H110" i="1"/>
  <c r="I194" i="1"/>
  <c r="H194" i="1"/>
  <c r="I83" i="1"/>
  <c r="H83" i="1"/>
  <c r="I227" i="1"/>
  <c r="H227" i="1"/>
  <c r="I80" i="1"/>
  <c r="H80" i="1"/>
  <c r="I200" i="1"/>
  <c r="H200" i="1"/>
  <c r="I215" i="1"/>
  <c r="H215" i="1"/>
  <c r="I30" i="1"/>
  <c r="H30" i="1"/>
  <c r="I16" i="1"/>
  <c r="H16" i="1"/>
  <c r="I101" i="1"/>
  <c r="H101" i="1"/>
  <c r="I213" i="1"/>
  <c r="H213" i="1"/>
  <c r="I178" i="1"/>
  <c r="H178" i="1"/>
  <c r="I102" i="1"/>
  <c r="H102" i="1"/>
  <c r="I182" i="1"/>
  <c r="H182" i="1"/>
  <c r="I75" i="1"/>
  <c r="H75" i="1"/>
  <c r="I41" i="1"/>
  <c r="H41" i="1"/>
  <c r="I73" i="1"/>
  <c r="H73" i="1"/>
  <c r="I137" i="1"/>
  <c r="H137" i="1"/>
  <c r="I201" i="1"/>
  <c r="H201" i="1"/>
  <c r="I238" i="1"/>
  <c r="H238" i="1"/>
  <c r="I38" i="1"/>
  <c r="H38" i="1"/>
  <c r="I29" i="1"/>
  <c r="H29" i="1"/>
  <c r="I77" i="1"/>
  <c r="H77" i="1"/>
  <c r="I141" i="1"/>
  <c r="H141" i="1"/>
  <c r="I205" i="1"/>
  <c r="H205" i="1"/>
  <c r="I198" i="1"/>
  <c r="H198" i="1"/>
  <c r="I136" i="1"/>
  <c r="H136" i="1"/>
  <c r="I62" i="1"/>
  <c r="H62" i="1"/>
  <c r="I126" i="1"/>
  <c r="H126" i="1"/>
  <c r="I240" i="1"/>
  <c r="H240" i="1"/>
  <c r="I99" i="1"/>
  <c r="H99" i="1"/>
  <c r="I243" i="1"/>
  <c r="H243" i="1"/>
  <c r="I23" i="1"/>
  <c r="H23" i="1"/>
  <c r="I129" i="1"/>
  <c r="H129" i="1"/>
  <c r="I87" i="1"/>
  <c r="H87" i="1"/>
  <c r="I46" i="1"/>
  <c r="H46" i="1"/>
  <c r="I52" i="1"/>
  <c r="H52" i="1"/>
  <c r="I181" i="1"/>
  <c r="H181" i="1"/>
  <c r="I229" i="1"/>
  <c r="H229" i="1"/>
  <c r="I118" i="1"/>
  <c r="H118" i="1"/>
  <c r="I210" i="1"/>
  <c r="H210" i="1"/>
  <c r="I91" i="1"/>
  <c r="H91" i="1"/>
  <c r="I139" i="1"/>
  <c r="H139" i="1"/>
  <c r="I89" i="1"/>
  <c r="H89" i="1"/>
  <c r="I153" i="1"/>
  <c r="I217" i="1"/>
  <c r="H217" i="1"/>
  <c r="I159" i="1"/>
  <c r="H159" i="1"/>
  <c r="I54" i="1"/>
  <c r="H54" i="1"/>
  <c r="I45" i="1"/>
  <c r="H45" i="1"/>
  <c r="I93" i="1"/>
  <c r="H93" i="1"/>
  <c r="I157" i="1"/>
  <c r="H157" i="1"/>
  <c r="I221" i="1"/>
  <c r="H221" i="1"/>
  <c r="I226" i="1"/>
  <c r="H226" i="1"/>
  <c r="I180" i="1"/>
  <c r="H180" i="1"/>
  <c r="I78" i="1"/>
  <c r="H78" i="1"/>
  <c r="I142" i="1"/>
  <c r="H142" i="1"/>
  <c r="I48" i="1"/>
  <c r="H48" i="1"/>
  <c r="I115" i="1"/>
  <c r="H115" i="1"/>
  <c r="I43" i="1"/>
  <c r="H43" i="1"/>
  <c r="F209" i="42"/>
  <c r="D210" i="42"/>
  <c r="C210" i="42"/>
  <c r="E211" i="42"/>
  <c r="A212" i="42"/>
  <c r="B211" i="42"/>
  <c r="F3" i="3"/>
  <c r="H4" i="3"/>
  <c r="F154" i="1" l="1"/>
  <c r="G154" i="1" s="1"/>
  <c r="I154" i="1" s="1"/>
  <c r="F162" i="1"/>
  <c r="G162" i="1" s="1"/>
  <c r="I162" i="1" s="1"/>
  <c r="I79" i="1"/>
  <c r="I111" i="1"/>
  <c r="I114" i="1"/>
  <c r="I151" i="1"/>
  <c r="I6" i="1"/>
  <c r="I76" i="1"/>
  <c r="H6" i="1"/>
  <c r="I27" i="1"/>
  <c r="I18" i="1"/>
  <c r="I35" i="1"/>
  <c r="I37" i="1"/>
  <c r="I60" i="1"/>
  <c r="I56" i="1"/>
  <c r="I53" i="1"/>
  <c r="I21" i="1"/>
  <c r="I47" i="1"/>
  <c r="I28" i="1"/>
  <c r="F219" i="3"/>
  <c r="G219" i="3" s="1"/>
  <c r="F187" i="3"/>
  <c r="G187" i="3" s="1"/>
  <c r="F155" i="3"/>
  <c r="G155" i="3" s="1"/>
  <c r="F123" i="3"/>
  <c r="G123" i="3" s="1"/>
  <c r="I123" i="3" s="1"/>
  <c r="F91" i="3"/>
  <c r="G91" i="3" s="1"/>
  <c r="I91" i="3" s="1"/>
  <c r="F234" i="3"/>
  <c r="G234" i="3" s="1"/>
  <c r="F202" i="3"/>
  <c r="G202" i="3" s="1"/>
  <c r="F170" i="3"/>
  <c r="G170" i="3" s="1"/>
  <c r="F138" i="3"/>
  <c r="G138" i="3" s="1"/>
  <c r="I138" i="3" s="1"/>
  <c r="F122" i="3"/>
  <c r="G122" i="3" s="1"/>
  <c r="I122" i="3" s="1"/>
  <c r="F90" i="3"/>
  <c r="G90" i="3" s="1"/>
  <c r="I90" i="3" s="1"/>
  <c r="F233" i="3"/>
  <c r="G233" i="3" s="1"/>
  <c r="F201" i="3"/>
  <c r="G201" i="3" s="1"/>
  <c r="F169" i="3"/>
  <c r="G169" i="3" s="1"/>
  <c r="F137" i="3"/>
  <c r="G137" i="3" s="1"/>
  <c r="I137" i="3" s="1"/>
  <c r="F105" i="3"/>
  <c r="G105" i="3" s="1"/>
  <c r="I105" i="3" s="1"/>
  <c r="F231" i="3"/>
  <c r="G231" i="3" s="1"/>
  <c r="F215" i="3"/>
  <c r="G215" i="3" s="1"/>
  <c r="F199" i="3"/>
  <c r="G199" i="3" s="1"/>
  <c r="F183" i="3"/>
  <c r="G183" i="3" s="1"/>
  <c r="F167" i="3"/>
  <c r="G167" i="3" s="1"/>
  <c r="F151" i="3"/>
  <c r="G151" i="3" s="1"/>
  <c r="I151" i="3" s="1"/>
  <c r="F135" i="3"/>
  <c r="G135" i="3" s="1"/>
  <c r="I135" i="3" s="1"/>
  <c r="F119" i="3"/>
  <c r="G119" i="3" s="1"/>
  <c r="I119" i="3" s="1"/>
  <c r="F103" i="3"/>
  <c r="G103" i="3" s="1"/>
  <c r="I103" i="3" s="1"/>
  <c r="F87" i="3"/>
  <c r="G87" i="3" s="1"/>
  <c r="I87" i="3" s="1"/>
  <c r="F71" i="3"/>
  <c r="G71" i="3" s="1"/>
  <c r="I71" i="3" s="1"/>
  <c r="F230" i="3"/>
  <c r="G230" i="3" s="1"/>
  <c r="F214" i="3"/>
  <c r="G214" i="3" s="1"/>
  <c r="F198" i="3"/>
  <c r="G198" i="3" s="1"/>
  <c r="F182" i="3"/>
  <c r="G182" i="3" s="1"/>
  <c r="F166" i="3"/>
  <c r="G166" i="3" s="1"/>
  <c r="F150" i="3"/>
  <c r="G150" i="3" s="1"/>
  <c r="I150" i="3" s="1"/>
  <c r="F134" i="3"/>
  <c r="G134" i="3" s="1"/>
  <c r="I134" i="3" s="1"/>
  <c r="F118" i="3"/>
  <c r="G118" i="3" s="1"/>
  <c r="I118" i="3" s="1"/>
  <c r="F102" i="3"/>
  <c r="G102" i="3" s="1"/>
  <c r="I102" i="3" s="1"/>
  <c r="F86" i="3"/>
  <c r="G86" i="3" s="1"/>
  <c r="I86" i="3" s="1"/>
  <c r="F70" i="3"/>
  <c r="G70" i="3" s="1"/>
  <c r="I70" i="3" s="1"/>
  <c r="F5" i="3"/>
  <c r="G5" i="3" s="1"/>
  <c r="I5" i="3" s="1"/>
  <c r="F229" i="3"/>
  <c r="G229" i="3" s="1"/>
  <c r="F213" i="3"/>
  <c r="G213" i="3" s="1"/>
  <c r="F197" i="3"/>
  <c r="G197" i="3" s="1"/>
  <c r="F181" i="3"/>
  <c r="G181" i="3" s="1"/>
  <c r="F165" i="3"/>
  <c r="G165" i="3" s="1"/>
  <c r="F149" i="3"/>
  <c r="G149" i="3" s="1"/>
  <c r="I149" i="3" s="1"/>
  <c r="F133" i="3"/>
  <c r="G133" i="3" s="1"/>
  <c r="I133" i="3" s="1"/>
  <c r="F117" i="3"/>
  <c r="G117" i="3" s="1"/>
  <c r="I117" i="3" s="1"/>
  <c r="F101" i="3"/>
  <c r="G101" i="3" s="1"/>
  <c r="I101" i="3" s="1"/>
  <c r="F85" i="3"/>
  <c r="G85" i="3" s="1"/>
  <c r="I85" i="3" s="1"/>
  <c r="F69" i="3"/>
  <c r="G69" i="3" s="1"/>
  <c r="I69" i="3" s="1"/>
  <c r="F228" i="3"/>
  <c r="G228" i="3" s="1"/>
  <c r="F212" i="3"/>
  <c r="G212" i="3" s="1"/>
  <c r="F196" i="3"/>
  <c r="G196" i="3" s="1"/>
  <c r="F180" i="3"/>
  <c r="G180" i="3" s="1"/>
  <c r="F164" i="3"/>
  <c r="G164" i="3" s="1"/>
  <c r="F148" i="3"/>
  <c r="G148" i="3" s="1"/>
  <c r="I148" i="3" s="1"/>
  <c r="F132" i="3"/>
  <c r="G132" i="3" s="1"/>
  <c r="I132" i="3" s="1"/>
  <c r="F116" i="3"/>
  <c r="G116" i="3" s="1"/>
  <c r="I116" i="3" s="1"/>
  <c r="F100" i="3"/>
  <c r="G100" i="3" s="1"/>
  <c r="I100" i="3" s="1"/>
  <c r="F84" i="3"/>
  <c r="G84" i="3" s="1"/>
  <c r="I84" i="3" s="1"/>
  <c r="F68" i="3"/>
  <c r="G68" i="3" s="1"/>
  <c r="I68" i="3" s="1"/>
  <c r="F227" i="3"/>
  <c r="G227" i="3" s="1"/>
  <c r="F195" i="3"/>
  <c r="G195" i="3" s="1"/>
  <c r="F163" i="3"/>
  <c r="G163" i="3" s="1"/>
  <c r="F131" i="3"/>
  <c r="G131" i="3" s="1"/>
  <c r="I131" i="3" s="1"/>
  <c r="F99" i="3"/>
  <c r="G99" i="3" s="1"/>
  <c r="I99" i="3" s="1"/>
  <c r="F67" i="3"/>
  <c r="G67" i="3" s="1"/>
  <c r="I67" i="3" s="1"/>
  <c r="F242" i="3"/>
  <c r="G242" i="3" s="1"/>
  <c r="F210" i="3"/>
  <c r="G210" i="3" s="1"/>
  <c r="F178" i="3"/>
  <c r="G178" i="3" s="1"/>
  <c r="F146" i="3"/>
  <c r="G146" i="3" s="1"/>
  <c r="I146" i="3" s="1"/>
  <c r="F114" i="3"/>
  <c r="G114" i="3" s="1"/>
  <c r="I114" i="3" s="1"/>
  <c r="F82" i="3"/>
  <c r="G82" i="3" s="1"/>
  <c r="I82" i="3" s="1"/>
  <c r="F225" i="3"/>
  <c r="G225" i="3" s="1"/>
  <c r="F193" i="3"/>
  <c r="G193" i="3" s="1"/>
  <c r="F161" i="3"/>
  <c r="G161" i="3" s="1"/>
  <c r="F129" i="3"/>
  <c r="G129" i="3" s="1"/>
  <c r="I129" i="3" s="1"/>
  <c r="F97" i="3"/>
  <c r="G97" i="3" s="1"/>
  <c r="I97" i="3" s="1"/>
  <c r="F65" i="3"/>
  <c r="G65" i="3" s="1"/>
  <c r="I65" i="3" s="1"/>
  <c r="F240" i="3"/>
  <c r="G240" i="3" s="1"/>
  <c r="F208" i="3"/>
  <c r="G208" i="3" s="1"/>
  <c r="F192" i="3"/>
  <c r="G192" i="3" s="1"/>
  <c r="F176" i="3"/>
  <c r="G176" i="3" s="1"/>
  <c r="F160" i="3"/>
  <c r="G160" i="3" s="1"/>
  <c r="F144" i="3"/>
  <c r="G144" i="3" s="1"/>
  <c r="I144" i="3" s="1"/>
  <c r="F128" i="3"/>
  <c r="G128" i="3" s="1"/>
  <c r="I128" i="3" s="1"/>
  <c r="F112" i="3"/>
  <c r="G112" i="3" s="1"/>
  <c r="I112" i="3" s="1"/>
  <c r="F96" i="3"/>
  <c r="G96" i="3" s="1"/>
  <c r="I96" i="3" s="1"/>
  <c r="F80" i="3"/>
  <c r="G80" i="3" s="1"/>
  <c r="I80" i="3" s="1"/>
  <c r="F64" i="3"/>
  <c r="G64" i="3" s="1"/>
  <c r="I64" i="3" s="1"/>
  <c r="F243" i="3"/>
  <c r="G243" i="3" s="1"/>
  <c r="F211" i="3"/>
  <c r="G211" i="3" s="1"/>
  <c r="F179" i="3"/>
  <c r="G179" i="3" s="1"/>
  <c r="F147" i="3"/>
  <c r="G147" i="3" s="1"/>
  <c r="I147" i="3" s="1"/>
  <c r="F115" i="3"/>
  <c r="G115" i="3" s="1"/>
  <c r="I115" i="3" s="1"/>
  <c r="F83" i="3"/>
  <c r="G83" i="3" s="1"/>
  <c r="I83" i="3" s="1"/>
  <c r="F226" i="3"/>
  <c r="G226" i="3" s="1"/>
  <c r="F194" i="3"/>
  <c r="G194" i="3" s="1"/>
  <c r="F162" i="3"/>
  <c r="G162" i="3" s="1"/>
  <c r="F130" i="3"/>
  <c r="G130" i="3" s="1"/>
  <c r="I130" i="3" s="1"/>
  <c r="F98" i="3"/>
  <c r="G98" i="3" s="1"/>
  <c r="I98" i="3" s="1"/>
  <c r="F66" i="3"/>
  <c r="G66" i="3" s="1"/>
  <c r="I66" i="3" s="1"/>
  <c r="F241" i="3"/>
  <c r="G241" i="3" s="1"/>
  <c r="F209" i="3"/>
  <c r="G209" i="3" s="1"/>
  <c r="F177" i="3"/>
  <c r="G177" i="3" s="1"/>
  <c r="F145" i="3"/>
  <c r="G145" i="3" s="1"/>
  <c r="I145" i="3" s="1"/>
  <c r="F113" i="3"/>
  <c r="G113" i="3" s="1"/>
  <c r="I113" i="3" s="1"/>
  <c r="F81" i="3"/>
  <c r="G81" i="3" s="1"/>
  <c r="I81" i="3" s="1"/>
  <c r="F224" i="3"/>
  <c r="G224" i="3" s="1"/>
  <c r="F239" i="3"/>
  <c r="G239" i="3" s="1"/>
  <c r="F223" i="3"/>
  <c r="G223" i="3" s="1"/>
  <c r="F207" i="3"/>
  <c r="G207" i="3" s="1"/>
  <c r="F191" i="3"/>
  <c r="G191" i="3" s="1"/>
  <c r="F175" i="3"/>
  <c r="G175" i="3" s="1"/>
  <c r="F159" i="3"/>
  <c r="G159" i="3" s="1"/>
  <c r="F143" i="3"/>
  <c r="G143" i="3" s="1"/>
  <c r="I143" i="3" s="1"/>
  <c r="F127" i="3"/>
  <c r="G127" i="3" s="1"/>
  <c r="I127" i="3" s="1"/>
  <c r="F111" i="3"/>
  <c r="G111" i="3" s="1"/>
  <c r="I111" i="3" s="1"/>
  <c r="F95" i="3"/>
  <c r="G95" i="3" s="1"/>
  <c r="I95" i="3" s="1"/>
  <c r="F79" i="3"/>
  <c r="G79" i="3" s="1"/>
  <c r="I79" i="3" s="1"/>
  <c r="F63" i="3"/>
  <c r="G63" i="3" s="1"/>
  <c r="I63" i="3" s="1"/>
  <c r="F238" i="3"/>
  <c r="G238" i="3" s="1"/>
  <c r="F222" i="3"/>
  <c r="G222" i="3" s="1"/>
  <c r="F206" i="3"/>
  <c r="G206" i="3" s="1"/>
  <c r="F190" i="3"/>
  <c r="G190" i="3" s="1"/>
  <c r="F174" i="3"/>
  <c r="G174" i="3" s="1"/>
  <c r="F158" i="3"/>
  <c r="G158" i="3" s="1"/>
  <c r="F142" i="3"/>
  <c r="G142" i="3" s="1"/>
  <c r="I142" i="3" s="1"/>
  <c r="F126" i="3"/>
  <c r="G126" i="3" s="1"/>
  <c r="I126" i="3" s="1"/>
  <c r="F110" i="3"/>
  <c r="G110" i="3" s="1"/>
  <c r="I110" i="3" s="1"/>
  <c r="F94" i="3"/>
  <c r="G94" i="3" s="1"/>
  <c r="I94" i="3" s="1"/>
  <c r="F78" i="3"/>
  <c r="G78" i="3" s="1"/>
  <c r="I78" i="3" s="1"/>
  <c r="F62" i="3"/>
  <c r="G62" i="3" s="1"/>
  <c r="I62" i="3" s="1"/>
  <c r="F237" i="3"/>
  <c r="G237" i="3" s="1"/>
  <c r="F221" i="3"/>
  <c r="G221" i="3" s="1"/>
  <c r="F205" i="3"/>
  <c r="G205" i="3" s="1"/>
  <c r="F189" i="3"/>
  <c r="G189" i="3" s="1"/>
  <c r="F173" i="3"/>
  <c r="G173" i="3" s="1"/>
  <c r="F157" i="3"/>
  <c r="G157" i="3" s="1"/>
  <c r="F141" i="3"/>
  <c r="G141" i="3" s="1"/>
  <c r="I141" i="3" s="1"/>
  <c r="F125" i="3"/>
  <c r="G125" i="3" s="1"/>
  <c r="I125" i="3" s="1"/>
  <c r="F109" i="3"/>
  <c r="G109" i="3" s="1"/>
  <c r="I109" i="3" s="1"/>
  <c r="F93" i="3"/>
  <c r="G93" i="3" s="1"/>
  <c r="I93" i="3" s="1"/>
  <c r="F77" i="3"/>
  <c r="G77" i="3" s="1"/>
  <c r="I77" i="3" s="1"/>
  <c r="F61" i="3"/>
  <c r="G61" i="3" s="1"/>
  <c r="I61" i="3" s="1"/>
  <c r="F236" i="3"/>
  <c r="G236" i="3" s="1"/>
  <c r="F220" i="3"/>
  <c r="G220" i="3" s="1"/>
  <c r="F204" i="3"/>
  <c r="G204" i="3" s="1"/>
  <c r="F188" i="3"/>
  <c r="G188" i="3" s="1"/>
  <c r="F172" i="3"/>
  <c r="G172" i="3" s="1"/>
  <c r="F156" i="3"/>
  <c r="G156" i="3" s="1"/>
  <c r="F140" i="3"/>
  <c r="G140" i="3" s="1"/>
  <c r="I140" i="3" s="1"/>
  <c r="F124" i="3"/>
  <c r="G124" i="3" s="1"/>
  <c r="I124" i="3" s="1"/>
  <c r="F108" i="3"/>
  <c r="G108" i="3" s="1"/>
  <c r="I108" i="3" s="1"/>
  <c r="F92" i="3"/>
  <c r="G92" i="3" s="1"/>
  <c r="I92" i="3" s="1"/>
  <c r="F76" i="3"/>
  <c r="G76" i="3" s="1"/>
  <c r="I76" i="3" s="1"/>
  <c r="F60" i="3"/>
  <c r="G60" i="3" s="1"/>
  <c r="I60" i="3" s="1"/>
  <c r="F235" i="3"/>
  <c r="G235" i="3" s="1"/>
  <c r="F203" i="3"/>
  <c r="G203" i="3" s="1"/>
  <c r="F171" i="3"/>
  <c r="G171" i="3" s="1"/>
  <c r="F139" i="3"/>
  <c r="G139" i="3" s="1"/>
  <c r="I139" i="3" s="1"/>
  <c r="F107" i="3"/>
  <c r="G107" i="3" s="1"/>
  <c r="I107" i="3" s="1"/>
  <c r="F75" i="3"/>
  <c r="G75" i="3" s="1"/>
  <c r="I75" i="3" s="1"/>
  <c r="F218" i="3"/>
  <c r="G218" i="3" s="1"/>
  <c r="F186" i="3"/>
  <c r="G186" i="3" s="1"/>
  <c r="F154" i="3"/>
  <c r="G154" i="3" s="1"/>
  <c r="I154" i="3" s="1"/>
  <c r="F106" i="3"/>
  <c r="G106" i="3" s="1"/>
  <c r="I106" i="3" s="1"/>
  <c r="F74" i="3"/>
  <c r="G74" i="3" s="1"/>
  <c r="I74" i="3" s="1"/>
  <c r="F217" i="3"/>
  <c r="G217" i="3" s="1"/>
  <c r="F185" i="3"/>
  <c r="G185" i="3" s="1"/>
  <c r="F153" i="3"/>
  <c r="G153" i="3" s="1"/>
  <c r="I153" i="3" s="1"/>
  <c r="F121" i="3"/>
  <c r="G121" i="3" s="1"/>
  <c r="I121" i="3" s="1"/>
  <c r="F89" i="3"/>
  <c r="G89" i="3" s="1"/>
  <c r="I89" i="3" s="1"/>
  <c r="F73" i="3"/>
  <c r="G73" i="3" s="1"/>
  <c r="I73" i="3" s="1"/>
  <c r="F232" i="3"/>
  <c r="G232" i="3" s="1"/>
  <c r="F216" i="3"/>
  <c r="G216" i="3" s="1"/>
  <c r="F200" i="3"/>
  <c r="G200" i="3" s="1"/>
  <c r="F184" i="3"/>
  <c r="G184" i="3" s="1"/>
  <c r="F168" i="3"/>
  <c r="G168" i="3" s="1"/>
  <c r="F152" i="3"/>
  <c r="G152" i="3" s="1"/>
  <c r="I152" i="3" s="1"/>
  <c r="F136" i="3"/>
  <c r="G136" i="3" s="1"/>
  <c r="I136" i="3" s="1"/>
  <c r="F120" i="3"/>
  <c r="G120" i="3" s="1"/>
  <c r="I120" i="3" s="1"/>
  <c r="F104" i="3"/>
  <c r="G104" i="3" s="1"/>
  <c r="I104" i="3" s="1"/>
  <c r="F88" i="3"/>
  <c r="G88" i="3" s="1"/>
  <c r="I88" i="3" s="1"/>
  <c r="F72" i="3"/>
  <c r="G72" i="3" s="1"/>
  <c r="I72" i="3" s="1"/>
  <c r="F210" i="42"/>
  <c r="E212" i="42"/>
  <c r="A213" i="42"/>
  <c r="B212" i="42"/>
  <c r="D211" i="42"/>
  <c r="C211" i="42"/>
  <c r="H162" i="1" l="1"/>
  <c r="F163" i="1"/>
  <c r="G163" i="1" s="1"/>
  <c r="I163" i="1" s="1"/>
  <c r="H154" i="1"/>
  <c r="F58" i="3"/>
  <c r="G58" i="3" s="1"/>
  <c r="I58" i="3" s="1"/>
  <c r="F59" i="3"/>
  <c r="G59" i="3" s="1"/>
  <c r="I59" i="3" s="1"/>
  <c r="F57" i="3"/>
  <c r="G57" i="3" s="1"/>
  <c r="I57" i="3" s="1"/>
  <c r="F38" i="3"/>
  <c r="G38" i="3" s="1"/>
  <c r="I38" i="3" s="1"/>
  <c r="F23" i="3"/>
  <c r="G23" i="3" s="1"/>
  <c r="I23" i="3" s="1"/>
  <c r="F27" i="3"/>
  <c r="G27" i="3" s="1"/>
  <c r="I27" i="3" s="1"/>
  <c r="F10" i="3"/>
  <c r="G10" i="3" s="1"/>
  <c r="I10" i="3" s="1"/>
  <c r="F54" i="3"/>
  <c r="G54" i="3" s="1"/>
  <c r="I54" i="3" s="1"/>
  <c r="F42" i="3"/>
  <c r="G42" i="3" s="1"/>
  <c r="I42" i="3" s="1"/>
  <c r="F16" i="3"/>
  <c r="G16" i="3" s="1"/>
  <c r="I16" i="3" s="1"/>
  <c r="F33" i="3"/>
  <c r="F13" i="3"/>
  <c r="G13" i="3" s="1"/>
  <c r="I13" i="3" s="1"/>
  <c r="F48" i="3"/>
  <c r="G48" i="3" s="1"/>
  <c r="I48" i="3" s="1"/>
  <c r="F35" i="3"/>
  <c r="G35" i="3" s="1"/>
  <c r="I35" i="3" s="1"/>
  <c r="F8" i="3"/>
  <c r="G8" i="3" s="1"/>
  <c r="I8" i="3" s="1"/>
  <c r="F29" i="3"/>
  <c r="G29" i="3" s="1"/>
  <c r="I29" i="3" s="1"/>
  <c r="F14" i="3"/>
  <c r="G14" i="3" s="1"/>
  <c r="I14" i="3" s="1"/>
  <c r="F24" i="3"/>
  <c r="G24" i="3" s="1"/>
  <c r="I24" i="3" s="1"/>
  <c r="F9" i="3"/>
  <c r="G9" i="3" s="1"/>
  <c r="I9" i="3" s="1"/>
  <c r="F45" i="3"/>
  <c r="G45" i="3" s="1"/>
  <c r="I45" i="3" s="1"/>
  <c r="F30" i="3"/>
  <c r="G30" i="3" s="1"/>
  <c r="I30" i="3" s="1"/>
  <c r="F15" i="3"/>
  <c r="G15" i="3" s="1"/>
  <c r="I15" i="3" s="1"/>
  <c r="F26" i="3"/>
  <c r="G26" i="3" s="1"/>
  <c r="I26" i="3" s="1"/>
  <c r="F40" i="3"/>
  <c r="G40" i="3" s="1"/>
  <c r="I40" i="3" s="1"/>
  <c r="F25" i="3"/>
  <c r="G25" i="3" s="1"/>
  <c r="I25" i="3" s="1"/>
  <c r="F46" i="3"/>
  <c r="G46" i="3" s="1"/>
  <c r="I46" i="3" s="1"/>
  <c r="F31" i="3"/>
  <c r="G31" i="3" s="1"/>
  <c r="I31" i="3" s="1"/>
  <c r="F56" i="3"/>
  <c r="G56" i="3" s="1"/>
  <c r="I56" i="3" s="1"/>
  <c r="F41" i="3"/>
  <c r="G41" i="3" s="1"/>
  <c r="I41" i="3" s="1"/>
  <c r="F11" i="3"/>
  <c r="G11" i="3" s="1"/>
  <c r="I11" i="3" s="1"/>
  <c r="F47" i="3"/>
  <c r="G47" i="3" s="1"/>
  <c r="I47" i="3" s="1"/>
  <c r="F49" i="3"/>
  <c r="G49" i="3" s="1"/>
  <c r="I49" i="3" s="1"/>
  <c r="F19" i="3"/>
  <c r="G19" i="3" s="1"/>
  <c r="I19" i="3" s="1"/>
  <c r="F50" i="3"/>
  <c r="G50" i="3" s="1"/>
  <c r="I50" i="3" s="1"/>
  <c r="F20" i="3"/>
  <c r="G20" i="3" s="1"/>
  <c r="I20" i="3" s="1"/>
  <c r="F21" i="3"/>
  <c r="G21" i="3" s="1"/>
  <c r="I21" i="3" s="1"/>
  <c r="F34" i="3"/>
  <c r="G34" i="3" s="1"/>
  <c r="I34" i="3" s="1"/>
  <c r="F39" i="3"/>
  <c r="G39" i="3" s="1"/>
  <c r="I39" i="3" s="1"/>
  <c r="F12" i="3"/>
  <c r="G12" i="3" s="1"/>
  <c r="I12" i="3" s="1"/>
  <c r="F17" i="3"/>
  <c r="G17" i="3" s="1"/>
  <c r="I17" i="3" s="1"/>
  <c r="F55" i="3"/>
  <c r="G55" i="3" s="1"/>
  <c r="I55" i="3" s="1"/>
  <c r="F28" i="3"/>
  <c r="F32" i="3"/>
  <c r="G32" i="3" s="1"/>
  <c r="I32" i="3" s="1"/>
  <c r="F44" i="3"/>
  <c r="G44" i="3" s="1"/>
  <c r="I44" i="3" s="1"/>
  <c r="F43" i="3"/>
  <c r="G43" i="3" s="1"/>
  <c r="I43" i="3" s="1"/>
  <c r="F51" i="3"/>
  <c r="G51" i="3" s="1"/>
  <c r="I51" i="3" s="1"/>
  <c r="F18" i="3"/>
  <c r="G18" i="3" s="1"/>
  <c r="I18" i="3" s="1"/>
  <c r="F36" i="3"/>
  <c r="G36" i="3" s="1"/>
  <c r="I36" i="3" s="1"/>
  <c r="F37" i="3"/>
  <c r="G37" i="3" s="1"/>
  <c r="I37" i="3" s="1"/>
  <c r="F6" i="3"/>
  <c r="G6" i="3" s="1"/>
  <c r="I6" i="3" s="1"/>
  <c r="F52" i="3"/>
  <c r="G52" i="3" s="1"/>
  <c r="I52" i="3" s="1"/>
  <c r="F53" i="3"/>
  <c r="G53" i="3" s="1"/>
  <c r="I53" i="3" s="1"/>
  <c r="F22" i="3"/>
  <c r="G22" i="3" s="1"/>
  <c r="I22" i="3" s="1"/>
  <c r="F7" i="3"/>
  <c r="G7" i="3" s="1"/>
  <c r="I7" i="3" s="1"/>
  <c r="H89" i="3"/>
  <c r="H116" i="3"/>
  <c r="H180" i="3"/>
  <c r="H149" i="3"/>
  <c r="H150" i="3"/>
  <c r="H169" i="3"/>
  <c r="H165" i="3"/>
  <c r="H166" i="3"/>
  <c r="H201" i="3"/>
  <c r="H104" i="3"/>
  <c r="H168" i="3"/>
  <c r="H232" i="3"/>
  <c r="H121" i="3"/>
  <c r="H154" i="3"/>
  <c r="H218" i="3"/>
  <c r="H68" i="3"/>
  <c r="H100" i="3"/>
  <c r="H132" i="3"/>
  <c r="H164" i="3"/>
  <c r="H196" i="3"/>
  <c r="H228" i="3"/>
  <c r="H117" i="3"/>
  <c r="H181" i="3"/>
  <c r="H118" i="3"/>
  <c r="H182" i="3"/>
  <c r="H233" i="3"/>
  <c r="H122" i="3"/>
  <c r="H186" i="3"/>
  <c r="H84" i="3"/>
  <c r="H148" i="3"/>
  <c r="H212" i="3"/>
  <c r="H85" i="3"/>
  <c r="H213" i="3"/>
  <c r="H86" i="3"/>
  <c r="H214" i="3"/>
  <c r="H101" i="3"/>
  <c r="H229" i="3"/>
  <c r="H102" i="3"/>
  <c r="H230" i="3"/>
  <c r="H90" i="3"/>
  <c r="H136" i="3"/>
  <c r="H200" i="3"/>
  <c r="H69" i="3"/>
  <c r="H133" i="3"/>
  <c r="H197" i="3"/>
  <c r="H70" i="3"/>
  <c r="H134" i="3"/>
  <c r="H198" i="3"/>
  <c r="H137" i="3"/>
  <c r="H103" i="3"/>
  <c r="H135" i="3"/>
  <c r="H199" i="3"/>
  <c r="H231" i="3"/>
  <c r="H72" i="3"/>
  <c r="H120" i="3"/>
  <c r="H73" i="3"/>
  <c r="H217" i="3"/>
  <c r="H170" i="3"/>
  <c r="H234" i="3"/>
  <c r="H91" i="3"/>
  <c r="H155" i="3"/>
  <c r="H187" i="3"/>
  <c r="H108" i="3"/>
  <c r="H140" i="3"/>
  <c r="H204" i="3"/>
  <c r="H236" i="3"/>
  <c r="H61" i="3"/>
  <c r="H93" i="3"/>
  <c r="H157" i="3"/>
  <c r="H189" i="3"/>
  <c r="H221" i="3"/>
  <c r="H78" i="3"/>
  <c r="H110" i="3"/>
  <c r="H142" i="3"/>
  <c r="H206" i="3"/>
  <c r="H238" i="3"/>
  <c r="H112" i="3"/>
  <c r="H176" i="3"/>
  <c r="H240" i="3"/>
  <c r="H129" i="3"/>
  <c r="H193" i="3"/>
  <c r="H82" i="3"/>
  <c r="H146" i="3"/>
  <c r="H210" i="3"/>
  <c r="H79" i="3"/>
  <c r="H143" i="3"/>
  <c r="H175" i="3"/>
  <c r="H207" i="3"/>
  <c r="H64" i="3"/>
  <c r="H128" i="3"/>
  <c r="H192" i="3"/>
  <c r="H81" i="3"/>
  <c r="H145" i="3"/>
  <c r="H209" i="3"/>
  <c r="H98" i="3"/>
  <c r="H162" i="3"/>
  <c r="H226" i="3"/>
  <c r="H67" i="3"/>
  <c r="H99" i="3"/>
  <c r="H131" i="3"/>
  <c r="H163" i="3"/>
  <c r="H195" i="3"/>
  <c r="H227" i="3"/>
  <c r="H87" i="3"/>
  <c r="H151" i="3"/>
  <c r="H215" i="3"/>
  <c r="H88" i="3"/>
  <c r="H185" i="3"/>
  <c r="H74" i="3"/>
  <c r="H107" i="3"/>
  <c r="H171" i="3"/>
  <c r="H124" i="3"/>
  <c r="H220" i="3"/>
  <c r="H77" i="3"/>
  <c r="H173" i="3"/>
  <c r="H190" i="3"/>
  <c r="H95" i="3"/>
  <c r="H241" i="3"/>
  <c r="H119" i="3"/>
  <c r="H183" i="3"/>
  <c r="H152" i="3"/>
  <c r="H216" i="3"/>
  <c r="H105" i="3"/>
  <c r="H138" i="3"/>
  <c r="H202" i="3"/>
  <c r="H75" i="3"/>
  <c r="H139" i="3"/>
  <c r="H203" i="3"/>
  <c r="H235" i="3"/>
  <c r="H60" i="3"/>
  <c r="H92" i="3"/>
  <c r="H156" i="3"/>
  <c r="H188" i="3"/>
  <c r="H109" i="3"/>
  <c r="H141" i="3"/>
  <c r="H205" i="3"/>
  <c r="H237" i="3"/>
  <c r="H62" i="3"/>
  <c r="H94" i="3"/>
  <c r="H126" i="3"/>
  <c r="H158" i="3"/>
  <c r="H222" i="3"/>
  <c r="H223" i="3"/>
  <c r="H80" i="3"/>
  <c r="H144" i="3"/>
  <c r="H208" i="3"/>
  <c r="H97" i="3"/>
  <c r="H161" i="3"/>
  <c r="H225" i="3"/>
  <c r="H114" i="3"/>
  <c r="H178" i="3"/>
  <c r="H242" i="3"/>
  <c r="H63" i="3"/>
  <c r="H127" i="3"/>
  <c r="H159" i="3"/>
  <c r="H191" i="3"/>
  <c r="H239" i="3"/>
  <c r="H96" i="3"/>
  <c r="H160" i="3"/>
  <c r="H224" i="3"/>
  <c r="H113" i="3"/>
  <c r="H177" i="3"/>
  <c r="H66" i="3"/>
  <c r="H130" i="3"/>
  <c r="H194" i="3"/>
  <c r="H83" i="3"/>
  <c r="H115" i="3"/>
  <c r="H147" i="3"/>
  <c r="H179" i="3"/>
  <c r="H211" i="3"/>
  <c r="H243" i="3"/>
  <c r="H5" i="3"/>
  <c r="H71" i="3"/>
  <c r="H167" i="3"/>
  <c r="H184" i="3"/>
  <c r="H153" i="3"/>
  <c r="H106" i="3"/>
  <c r="H123" i="3"/>
  <c r="H219" i="3"/>
  <c r="H76" i="3"/>
  <c r="H172" i="3"/>
  <c r="H125" i="3"/>
  <c r="H174" i="3"/>
  <c r="H65" i="3"/>
  <c r="H111" i="3"/>
  <c r="F211" i="42"/>
  <c r="D212" i="42"/>
  <c r="C212" i="42"/>
  <c r="E213" i="42"/>
  <c r="A214" i="42"/>
  <c r="B213" i="42"/>
  <c r="H163" i="1" l="1"/>
  <c r="F164" i="1"/>
  <c r="G164" i="1" s="1"/>
  <c r="I164" i="1" s="1"/>
  <c r="H24" i="3"/>
  <c r="H57" i="3"/>
  <c r="H58" i="3"/>
  <c r="H59" i="3"/>
  <c r="H20" i="3"/>
  <c r="H46" i="3"/>
  <c r="H34" i="3"/>
  <c r="H7" i="3"/>
  <c r="H50" i="3"/>
  <c r="H48" i="3"/>
  <c r="H6" i="3"/>
  <c r="H16" i="3"/>
  <c r="G33" i="3"/>
  <c r="I33" i="3" s="1"/>
  <c r="H33" i="3"/>
  <c r="H49" i="3"/>
  <c r="G28" i="3"/>
  <c r="I28" i="3" s="1"/>
  <c r="H28" i="3"/>
  <c r="H18" i="3"/>
  <c r="H27" i="3"/>
  <c r="H39" i="3"/>
  <c r="H51" i="3"/>
  <c r="H54" i="3"/>
  <c r="H56" i="3"/>
  <c r="H14" i="3"/>
  <c r="H9" i="3"/>
  <c r="H31" i="3"/>
  <c r="H40" i="3"/>
  <c r="H35" i="3"/>
  <c r="H15" i="3"/>
  <c r="H29" i="3"/>
  <c r="H43" i="3"/>
  <c r="H8" i="3"/>
  <c r="H30" i="3"/>
  <c r="H25" i="3"/>
  <c r="H37" i="3"/>
  <c r="H19" i="3"/>
  <c r="H52" i="3"/>
  <c r="H11" i="3"/>
  <c r="H26" i="3"/>
  <c r="H36" i="3"/>
  <c r="H23" i="3"/>
  <c r="H22" i="3"/>
  <c r="H41" i="3"/>
  <c r="H47" i="3"/>
  <c r="H12" i="3"/>
  <c r="H42" i="3"/>
  <c r="H38" i="3"/>
  <c r="H21" i="3"/>
  <c r="H10" i="3"/>
  <c r="H53" i="3"/>
  <c r="H45" i="3"/>
  <c r="H55" i="3"/>
  <c r="H17" i="3"/>
  <c r="H32" i="3"/>
  <c r="H13" i="3"/>
  <c r="H44" i="3"/>
  <c r="F212" i="42"/>
  <c r="E214" i="42"/>
  <c r="A215" i="42"/>
  <c r="B214" i="42"/>
  <c r="D213" i="42"/>
  <c r="C213" i="42"/>
  <c r="H164" i="1" l="1"/>
  <c r="F165" i="1"/>
  <c r="G165" i="1" s="1"/>
  <c r="F213" i="42"/>
  <c r="D214" i="42"/>
  <c r="C214" i="42"/>
  <c r="E215" i="42"/>
  <c r="A216" i="42"/>
  <c r="B215" i="42"/>
  <c r="H165" i="1" l="1"/>
  <c r="I165" i="1"/>
  <c r="F214" i="42"/>
  <c r="E216" i="42"/>
  <c r="A217" i="42"/>
  <c r="B216" i="42"/>
  <c r="D215" i="42"/>
  <c r="C215" i="42"/>
  <c r="F215" i="42" l="1"/>
  <c r="D216" i="42"/>
  <c r="C216" i="42"/>
  <c r="E217" i="42"/>
  <c r="A218" i="42"/>
  <c r="B217" i="42"/>
  <c r="F216" i="42" l="1"/>
  <c r="E218" i="42"/>
  <c r="A219" i="42"/>
  <c r="B218" i="42"/>
  <c r="D217" i="42"/>
  <c r="C217" i="42"/>
  <c r="F217" i="42" l="1"/>
  <c r="D218" i="42"/>
  <c r="C218" i="42"/>
  <c r="E219" i="42"/>
  <c r="A220" i="42"/>
  <c r="B219" i="42"/>
  <c r="F218" i="42" l="1"/>
  <c r="E220" i="42"/>
  <c r="A221" i="42"/>
  <c r="B220" i="42"/>
  <c r="D219" i="42"/>
  <c r="C219" i="42"/>
  <c r="F219" i="42" l="1"/>
  <c r="D220" i="42"/>
  <c r="C220" i="42"/>
  <c r="E221" i="42"/>
  <c r="A222" i="42"/>
  <c r="B221" i="42"/>
  <c r="F220" i="42" l="1"/>
  <c r="E222" i="42"/>
  <c r="A223" i="42"/>
  <c r="B222" i="42"/>
  <c r="D221" i="42"/>
  <c r="C221" i="42"/>
  <c r="D222" i="42" l="1"/>
  <c r="C222" i="42"/>
  <c r="E223" i="42"/>
  <c r="A224" i="42"/>
  <c r="B223" i="42"/>
  <c r="F221" i="42"/>
  <c r="F222" i="42" l="1"/>
  <c r="E224" i="42"/>
  <c r="B224" i="42"/>
  <c r="A225" i="42"/>
  <c r="D223" i="42"/>
  <c r="C223" i="42"/>
  <c r="E225" i="42" l="1"/>
  <c r="A226" i="42"/>
  <c r="B225" i="42"/>
  <c r="D224" i="42"/>
  <c r="C224" i="42"/>
  <c r="F223" i="42"/>
  <c r="D225" i="42" l="1"/>
  <c r="C225" i="42"/>
  <c r="E226" i="42"/>
  <c r="A227" i="42"/>
  <c r="B226" i="42"/>
  <c r="F224" i="42"/>
  <c r="F225" i="42" l="1"/>
  <c r="E227" i="42"/>
  <c r="A228" i="42"/>
  <c r="B227" i="42"/>
  <c r="D226" i="42"/>
  <c r="C226" i="42"/>
  <c r="F226" i="42" l="1"/>
  <c r="E228" i="42"/>
  <c r="A229" i="42"/>
  <c r="B228" i="42"/>
  <c r="D227" i="42"/>
  <c r="C227" i="42"/>
  <c r="F227" i="42" l="1"/>
  <c r="E229" i="42"/>
  <c r="A230" i="42"/>
  <c r="B229" i="42"/>
  <c r="D228" i="42"/>
  <c r="C228" i="42"/>
  <c r="F228" i="42" l="1"/>
  <c r="E230" i="42"/>
  <c r="A231" i="42"/>
  <c r="B230" i="42"/>
  <c r="D229" i="42"/>
  <c r="C229" i="42"/>
  <c r="D230" i="42" l="1"/>
  <c r="C230" i="42"/>
  <c r="E231" i="42"/>
  <c r="A232" i="42"/>
  <c r="B231" i="42"/>
  <c r="F229" i="42"/>
  <c r="F230" i="42" l="1"/>
  <c r="E232" i="42"/>
  <c r="B232" i="42"/>
  <c r="A233" i="42"/>
  <c r="D231" i="42"/>
  <c r="C231" i="42"/>
  <c r="F231" i="42" l="1"/>
  <c r="D232" i="42"/>
  <c r="C232" i="42"/>
  <c r="E233" i="42"/>
  <c r="A234" i="42"/>
  <c r="B233" i="42"/>
  <c r="F232" i="42" l="1"/>
  <c r="E234" i="42"/>
  <c r="A235" i="42"/>
  <c r="B234" i="42"/>
  <c r="D233" i="42"/>
  <c r="C233" i="42"/>
  <c r="F233" i="42" l="1"/>
  <c r="E235" i="42"/>
  <c r="A236" i="42"/>
  <c r="B235" i="42"/>
  <c r="D234" i="42"/>
  <c r="C234" i="42"/>
  <c r="F234" i="42" l="1"/>
  <c r="E236" i="42"/>
  <c r="A237" i="42"/>
  <c r="B236" i="42"/>
  <c r="D235" i="42"/>
  <c r="C235" i="42"/>
  <c r="F235" i="42" l="1"/>
  <c r="E237" i="42"/>
  <c r="A238" i="42"/>
  <c r="B237" i="42"/>
  <c r="D236" i="42"/>
  <c r="C236" i="42"/>
  <c r="F236" i="42" l="1"/>
  <c r="E238" i="42"/>
  <c r="A239" i="42"/>
  <c r="B238" i="42"/>
  <c r="D237" i="42"/>
  <c r="C237" i="42"/>
  <c r="F237" i="42" l="1"/>
  <c r="E239" i="42"/>
  <c r="A240" i="42"/>
  <c r="B239" i="42"/>
  <c r="D238" i="42"/>
  <c r="C238" i="42"/>
  <c r="F238" i="42" l="1"/>
  <c r="E240" i="42"/>
  <c r="B240" i="42"/>
  <c r="A241" i="42"/>
  <c r="D239" i="42"/>
  <c r="C239" i="42"/>
  <c r="F239" i="42" l="1"/>
  <c r="D240" i="42"/>
  <c r="C240" i="42"/>
  <c r="E241" i="42"/>
  <c r="A242" i="42"/>
  <c r="B241" i="42"/>
  <c r="F240" i="42" l="1"/>
  <c r="E242" i="42"/>
  <c r="A243" i="42"/>
  <c r="B242" i="42"/>
  <c r="D241" i="42"/>
  <c r="C241" i="42"/>
  <c r="F241" i="42" l="1"/>
  <c r="E243" i="42"/>
  <c r="A244" i="42"/>
  <c r="B243" i="42"/>
  <c r="D242" i="42"/>
  <c r="C242" i="42"/>
  <c r="F242" i="42" l="1"/>
  <c r="E244" i="42"/>
  <c r="A245" i="42"/>
  <c r="B244" i="42"/>
  <c r="D243" i="42"/>
  <c r="C243" i="42"/>
  <c r="F243" i="42" l="1"/>
  <c r="E245" i="42"/>
  <c r="A246" i="42"/>
  <c r="B245" i="42"/>
  <c r="D244" i="42"/>
  <c r="C244" i="42"/>
  <c r="F244" i="42" l="1"/>
  <c r="E246" i="42"/>
  <c r="A247" i="42"/>
  <c r="B246" i="42"/>
  <c r="D245" i="42"/>
  <c r="C245" i="42"/>
  <c r="F245" i="42" l="1"/>
  <c r="E247" i="42"/>
  <c r="A248" i="42"/>
  <c r="B247" i="42"/>
  <c r="D246" i="42"/>
  <c r="C246" i="42"/>
  <c r="F246" i="42" l="1"/>
  <c r="E248" i="42"/>
  <c r="A249" i="42"/>
  <c r="B248" i="42"/>
  <c r="D247" i="42"/>
  <c r="C247" i="42"/>
  <c r="F247" i="42" l="1"/>
  <c r="E249" i="42"/>
  <c r="A250" i="42"/>
  <c r="B249" i="42"/>
  <c r="D248" i="42"/>
  <c r="C248" i="42"/>
  <c r="F248" i="42" l="1"/>
  <c r="E250" i="42"/>
  <c r="A251" i="42"/>
  <c r="B250" i="42"/>
  <c r="D249" i="42"/>
  <c r="C249" i="42"/>
  <c r="F249" i="42" l="1"/>
  <c r="E251" i="42"/>
  <c r="A252" i="42"/>
  <c r="B251" i="42"/>
  <c r="D250" i="42"/>
  <c r="C250" i="42"/>
  <c r="F250" i="42" l="1"/>
  <c r="E252" i="42"/>
  <c r="A253" i="42"/>
  <c r="B252" i="42"/>
  <c r="D251" i="42"/>
  <c r="C251" i="42"/>
  <c r="F251" i="42" l="1"/>
  <c r="E253" i="42"/>
  <c r="A254" i="42"/>
  <c r="B253" i="42"/>
  <c r="D252" i="42"/>
  <c r="C252" i="42"/>
  <c r="F252" i="42" l="1"/>
  <c r="E254" i="42"/>
  <c r="A255" i="42"/>
  <c r="B254" i="42"/>
  <c r="D253" i="42"/>
  <c r="C253" i="42"/>
  <c r="F253" i="42" l="1"/>
  <c r="E255" i="42"/>
  <c r="A256" i="42"/>
  <c r="B255" i="42"/>
  <c r="D254" i="42"/>
  <c r="C254" i="42"/>
  <c r="F254" i="42" l="1"/>
  <c r="E256" i="42"/>
  <c r="A257" i="42"/>
  <c r="B256" i="42"/>
  <c r="D255" i="42"/>
  <c r="C255" i="42"/>
  <c r="F255" i="42" l="1"/>
  <c r="E257" i="42"/>
  <c r="A258" i="42"/>
  <c r="B257" i="42"/>
  <c r="D256" i="42"/>
  <c r="C256" i="42"/>
  <c r="F256" i="42" l="1"/>
  <c r="D257" i="42"/>
  <c r="C257" i="42"/>
  <c r="E258" i="42"/>
  <c r="A259" i="42"/>
  <c r="B258" i="42"/>
  <c r="F257" i="42" l="1"/>
  <c r="E259" i="42"/>
  <c r="A260" i="42"/>
  <c r="B259" i="42"/>
  <c r="D258" i="42"/>
  <c r="C258" i="42"/>
  <c r="F258" i="42" l="1"/>
  <c r="D259" i="42"/>
  <c r="C259" i="42"/>
  <c r="E260" i="42"/>
  <c r="A261" i="42"/>
  <c r="B260" i="42"/>
  <c r="F259" i="42" l="1"/>
  <c r="E261" i="42"/>
  <c r="A262" i="42"/>
  <c r="B261" i="42"/>
  <c r="D260" i="42"/>
  <c r="C260" i="42"/>
  <c r="F260" i="42" l="1"/>
  <c r="E262" i="42"/>
  <c r="A263" i="42"/>
  <c r="B262" i="42"/>
  <c r="D261" i="42"/>
  <c r="C261" i="42"/>
  <c r="F261" i="42" l="1"/>
  <c r="D262" i="42"/>
  <c r="C262" i="42"/>
  <c r="E263" i="42"/>
  <c r="A264" i="42"/>
  <c r="B263" i="42"/>
  <c r="F262" i="42" l="1"/>
  <c r="E264" i="42"/>
  <c r="A265" i="42"/>
  <c r="B264" i="42"/>
  <c r="D263" i="42"/>
  <c r="C263" i="42"/>
  <c r="F263" i="42" l="1"/>
  <c r="D264" i="42"/>
  <c r="C264" i="42"/>
  <c r="E265" i="42"/>
  <c r="A266" i="42"/>
  <c r="B265" i="42"/>
  <c r="F264" i="42" l="1"/>
  <c r="E266" i="42"/>
  <c r="A267" i="42"/>
  <c r="B266" i="42"/>
  <c r="D265" i="42"/>
  <c r="C265" i="42"/>
  <c r="F265" i="42" l="1"/>
  <c r="D266" i="42"/>
  <c r="C266" i="42"/>
  <c r="E267" i="42"/>
  <c r="A268" i="42"/>
  <c r="B267" i="42"/>
  <c r="F266" i="42" l="1"/>
  <c r="E268" i="42"/>
  <c r="A269" i="42"/>
  <c r="B268" i="42"/>
  <c r="D267" i="42"/>
  <c r="C267" i="42"/>
  <c r="F267" i="42" l="1"/>
  <c r="D268" i="42"/>
  <c r="C268" i="42"/>
  <c r="E269" i="42"/>
  <c r="A270" i="42"/>
  <c r="B269" i="42"/>
  <c r="F268" i="42" l="1"/>
  <c r="E270" i="42"/>
  <c r="A271" i="42"/>
  <c r="B270" i="42"/>
  <c r="D269" i="42"/>
  <c r="C269" i="42"/>
  <c r="F269" i="42" l="1"/>
  <c r="D270" i="42"/>
  <c r="C270" i="42"/>
  <c r="E271" i="42"/>
  <c r="A272" i="42"/>
  <c r="B271" i="42"/>
  <c r="F270" i="42" l="1"/>
  <c r="E272" i="42"/>
  <c r="A273" i="42"/>
  <c r="B272" i="42"/>
  <c r="D271" i="42"/>
  <c r="C271" i="42"/>
  <c r="F271" i="42" l="1"/>
  <c r="D272" i="42"/>
  <c r="C272" i="42"/>
  <c r="E273" i="42"/>
  <c r="A274" i="42"/>
  <c r="B273" i="42"/>
  <c r="F272" i="42" l="1"/>
  <c r="E274" i="42"/>
  <c r="A275" i="42"/>
  <c r="B274" i="42"/>
  <c r="D273" i="42"/>
  <c r="C273" i="42"/>
  <c r="F273" i="42" l="1"/>
  <c r="D274" i="42"/>
  <c r="C274" i="42"/>
  <c r="E275" i="42"/>
  <c r="A276" i="42"/>
  <c r="B275" i="42"/>
  <c r="F274" i="42" l="1"/>
  <c r="E276" i="42"/>
  <c r="A277" i="42"/>
  <c r="B276" i="42"/>
  <c r="D275" i="42"/>
  <c r="C275" i="42"/>
  <c r="F275" i="42" l="1"/>
  <c r="D276" i="42"/>
  <c r="C276" i="42"/>
  <c r="E277" i="42"/>
  <c r="A278" i="42"/>
  <c r="B277" i="42"/>
  <c r="F276" i="42" l="1"/>
  <c r="E278" i="42"/>
  <c r="A279" i="42"/>
  <c r="B278" i="42"/>
  <c r="D277" i="42"/>
  <c r="C277" i="42"/>
  <c r="F277" i="42" l="1"/>
  <c r="D278" i="42"/>
  <c r="C278" i="42"/>
  <c r="E279" i="42"/>
  <c r="A280" i="42"/>
  <c r="B279" i="42"/>
  <c r="F278" i="42" l="1"/>
  <c r="E280" i="42"/>
  <c r="A281" i="42"/>
  <c r="B280" i="42"/>
  <c r="D279" i="42"/>
  <c r="C279" i="42"/>
  <c r="F279" i="42" l="1"/>
  <c r="D280" i="42"/>
  <c r="C280" i="42"/>
  <c r="E281" i="42"/>
  <c r="A282" i="42"/>
  <c r="B281" i="42"/>
  <c r="F280" i="42" l="1"/>
  <c r="E282" i="42"/>
  <c r="A283" i="42"/>
  <c r="B282" i="42"/>
  <c r="D281" i="42"/>
  <c r="C281" i="42"/>
  <c r="F281" i="42" l="1"/>
  <c r="D282" i="42"/>
  <c r="C282" i="42"/>
  <c r="E283" i="42"/>
  <c r="A284" i="42"/>
  <c r="B283" i="42"/>
  <c r="F282" i="42" l="1"/>
  <c r="E284" i="42"/>
  <c r="A285" i="42"/>
  <c r="B284" i="42"/>
  <c r="D283" i="42"/>
  <c r="C283" i="42"/>
  <c r="F283" i="42" l="1"/>
  <c r="D284" i="42"/>
  <c r="C284" i="42"/>
  <c r="E285" i="42"/>
  <c r="A286" i="42"/>
  <c r="B285" i="42"/>
  <c r="F284" i="42" l="1"/>
  <c r="E286" i="42"/>
  <c r="A287" i="42"/>
  <c r="B286" i="42"/>
  <c r="D285" i="42"/>
  <c r="C285" i="42"/>
  <c r="F285" i="42" l="1"/>
  <c r="D286" i="42"/>
  <c r="C286" i="42"/>
  <c r="E287" i="42"/>
  <c r="A288" i="42"/>
  <c r="B287" i="42"/>
  <c r="F286" i="42" l="1"/>
  <c r="E288" i="42"/>
  <c r="A289" i="42"/>
  <c r="B288" i="42"/>
  <c r="D287" i="42"/>
  <c r="C287" i="42"/>
  <c r="F287" i="42" l="1"/>
  <c r="D288" i="42"/>
  <c r="C288" i="42"/>
  <c r="E289" i="42"/>
  <c r="A290" i="42"/>
  <c r="B289" i="42"/>
  <c r="F288" i="42" l="1"/>
  <c r="D289" i="42"/>
  <c r="C289" i="42"/>
  <c r="E290" i="42"/>
  <c r="A291" i="42"/>
  <c r="B290" i="42"/>
  <c r="F289" i="42" l="1"/>
  <c r="E291" i="42"/>
  <c r="A292" i="42"/>
  <c r="B291" i="42"/>
  <c r="D290" i="42"/>
  <c r="C290" i="42"/>
  <c r="F290" i="42" l="1"/>
  <c r="D291" i="42"/>
  <c r="C291" i="42"/>
  <c r="E292" i="42"/>
  <c r="A293" i="42"/>
  <c r="B292" i="42"/>
  <c r="F291" i="42" l="1"/>
  <c r="E293" i="42"/>
  <c r="A294" i="42"/>
  <c r="B293" i="42"/>
  <c r="D292" i="42"/>
  <c r="C292" i="42"/>
  <c r="F292" i="42" l="1"/>
  <c r="D293" i="42"/>
  <c r="C293" i="42"/>
  <c r="E294" i="42"/>
  <c r="A295" i="42"/>
  <c r="B294" i="42"/>
  <c r="F293" i="42" l="1"/>
  <c r="E295" i="42"/>
  <c r="A296" i="42"/>
  <c r="B295" i="42"/>
  <c r="D294" i="42"/>
  <c r="C294" i="42"/>
  <c r="F294" i="42" l="1"/>
  <c r="D295" i="42"/>
  <c r="C295" i="42"/>
  <c r="E296" i="42"/>
  <c r="A297" i="42"/>
  <c r="B296" i="42"/>
  <c r="F295" i="42" l="1"/>
  <c r="E297" i="42"/>
  <c r="A298" i="42"/>
  <c r="B297" i="42"/>
  <c r="D296" i="42"/>
  <c r="C296" i="42"/>
  <c r="F296" i="42" l="1"/>
  <c r="D297" i="42"/>
  <c r="C297" i="42"/>
  <c r="E298" i="42"/>
  <c r="A299" i="42"/>
  <c r="B298" i="42"/>
  <c r="F297" i="42" l="1"/>
  <c r="E299" i="42"/>
  <c r="A300" i="42"/>
  <c r="B299" i="42"/>
  <c r="D298" i="42"/>
  <c r="C298" i="42"/>
  <c r="F298" i="42" l="1"/>
  <c r="D299" i="42"/>
  <c r="C299" i="42"/>
  <c r="E300" i="42"/>
  <c r="A301" i="42"/>
  <c r="B300" i="42"/>
  <c r="F299" i="42" l="1"/>
  <c r="E301" i="42"/>
  <c r="A302" i="42"/>
  <c r="B301" i="42"/>
  <c r="D300" i="42"/>
  <c r="C300" i="42"/>
  <c r="F300" i="42" l="1"/>
  <c r="D301" i="42"/>
  <c r="C301" i="42"/>
  <c r="E302" i="42"/>
  <c r="A303" i="42"/>
  <c r="B302" i="42"/>
  <c r="F301" i="42" l="1"/>
  <c r="E303" i="42"/>
  <c r="A304" i="42"/>
  <c r="B303" i="42"/>
  <c r="D302" i="42"/>
  <c r="C302" i="42"/>
  <c r="F302" i="42" l="1"/>
  <c r="D303" i="42"/>
  <c r="C303" i="42"/>
  <c r="E304" i="42"/>
  <c r="A305" i="42"/>
  <c r="B304" i="42"/>
  <c r="F303" i="42" l="1"/>
  <c r="E305" i="42"/>
  <c r="A306" i="42"/>
  <c r="B305" i="42"/>
  <c r="D304" i="42"/>
  <c r="C304" i="42"/>
  <c r="F304" i="42" l="1"/>
  <c r="D305" i="42"/>
  <c r="C305" i="42"/>
  <c r="E306" i="42"/>
  <c r="A307" i="42"/>
  <c r="B306" i="42"/>
  <c r="F305" i="42" l="1"/>
  <c r="E307" i="42"/>
  <c r="A308" i="42"/>
  <c r="B307" i="42"/>
  <c r="D306" i="42"/>
  <c r="C306" i="42"/>
  <c r="F306" i="42" l="1"/>
  <c r="D307" i="42"/>
  <c r="C307" i="42"/>
  <c r="E308" i="42"/>
  <c r="A309" i="42"/>
  <c r="B308" i="42"/>
  <c r="F307" i="42" l="1"/>
  <c r="E309" i="42"/>
  <c r="B309" i="42"/>
  <c r="A310" i="42"/>
  <c r="D308" i="42"/>
  <c r="C308" i="42"/>
  <c r="F308" i="42" l="1"/>
  <c r="E310" i="42"/>
  <c r="A311" i="42"/>
  <c r="B310" i="42"/>
  <c r="D309" i="42"/>
  <c r="C309" i="42"/>
  <c r="F309" i="42" l="1"/>
  <c r="D310" i="42"/>
  <c r="C310" i="42"/>
  <c r="E311" i="42"/>
  <c r="A312" i="42"/>
  <c r="B311" i="42"/>
  <c r="F310" i="42" l="1"/>
  <c r="E312" i="42"/>
  <c r="A313" i="42"/>
  <c r="B312" i="42"/>
  <c r="D311" i="42"/>
  <c r="C311" i="42"/>
  <c r="F311" i="42" l="1"/>
  <c r="D312" i="42"/>
  <c r="C312" i="42"/>
  <c r="E313" i="42"/>
  <c r="A314" i="42"/>
  <c r="B313" i="42"/>
  <c r="F312" i="42" l="1"/>
  <c r="E314" i="42"/>
  <c r="A315" i="42"/>
  <c r="B314" i="42"/>
  <c r="D313" i="42"/>
  <c r="C313" i="42"/>
  <c r="F313" i="42" l="1"/>
  <c r="D314" i="42"/>
  <c r="C314" i="42"/>
  <c r="E315" i="42"/>
  <c r="A316" i="42"/>
  <c r="B315" i="42"/>
  <c r="F314" i="42" l="1"/>
  <c r="E316" i="42"/>
  <c r="A317" i="42"/>
  <c r="B316" i="42"/>
  <c r="D315" i="42"/>
  <c r="C315" i="42"/>
  <c r="F315" i="42" l="1"/>
  <c r="D316" i="42"/>
  <c r="C316" i="42"/>
  <c r="E317" i="42"/>
  <c r="A318" i="42"/>
  <c r="B317" i="42"/>
  <c r="F316" i="42" l="1"/>
  <c r="E318" i="42"/>
  <c r="A319" i="42"/>
  <c r="B318" i="42"/>
  <c r="D317" i="42"/>
  <c r="C317" i="42"/>
  <c r="F317" i="42" l="1"/>
  <c r="E319" i="42"/>
  <c r="A320" i="42"/>
  <c r="B319" i="42"/>
  <c r="D318" i="42"/>
  <c r="C318" i="42"/>
  <c r="F318" i="42" l="1"/>
  <c r="D319" i="42"/>
  <c r="C319" i="42"/>
  <c r="E320" i="42"/>
  <c r="A321" i="42"/>
  <c r="B320" i="42"/>
  <c r="F319" i="42" l="1"/>
  <c r="E321" i="42"/>
  <c r="A322" i="42"/>
  <c r="B321" i="42"/>
  <c r="D320" i="42"/>
  <c r="C320" i="42"/>
  <c r="F320" i="42" l="1"/>
  <c r="D321" i="42"/>
  <c r="C321" i="42"/>
  <c r="E322" i="42"/>
  <c r="A323" i="42"/>
  <c r="B322" i="42"/>
  <c r="F321" i="42" l="1"/>
  <c r="E323" i="42"/>
  <c r="A324" i="42"/>
  <c r="B323" i="42"/>
  <c r="D322" i="42"/>
  <c r="C322" i="42"/>
  <c r="F322" i="42" l="1"/>
  <c r="D323" i="42"/>
  <c r="C323" i="42"/>
  <c r="E324" i="42"/>
  <c r="A325" i="42"/>
  <c r="B324" i="42"/>
  <c r="F323" i="42" l="1"/>
  <c r="E325" i="42"/>
  <c r="A326" i="42"/>
  <c r="B325" i="42"/>
  <c r="D324" i="42"/>
  <c r="C324" i="42"/>
  <c r="F324" i="42" l="1"/>
  <c r="D325" i="42"/>
  <c r="C325" i="42"/>
  <c r="E326" i="42"/>
  <c r="A327" i="42"/>
  <c r="B326" i="42"/>
  <c r="F325" i="42" l="1"/>
  <c r="E327" i="42"/>
  <c r="A328" i="42"/>
  <c r="B327" i="42"/>
  <c r="D326" i="42"/>
  <c r="C326" i="42"/>
  <c r="F326" i="42" l="1"/>
  <c r="D327" i="42"/>
  <c r="C327" i="42"/>
  <c r="E328" i="42"/>
  <c r="A329" i="42"/>
  <c r="B328" i="42"/>
  <c r="F327" i="42" l="1"/>
  <c r="E329" i="42"/>
  <c r="A330" i="42"/>
  <c r="B329" i="42"/>
  <c r="D328" i="42"/>
  <c r="C328" i="42"/>
  <c r="F328" i="42" l="1"/>
  <c r="D329" i="42"/>
  <c r="C329" i="42"/>
  <c r="E330" i="42"/>
  <c r="A331" i="42"/>
  <c r="B330" i="42"/>
  <c r="F329" i="42" l="1"/>
  <c r="E331" i="42"/>
  <c r="A332" i="42"/>
  <c r="B331" i="42"/>
  <c r="D330" i="42"/>
  <c r="C330" i="42"/>
  <c r="F330" i="42" l="1"/>
  <c r="D331" i="42"/>
  <c r="C331" i="42"/>
  <c r="E332" i="42"/>
  <c r="A333" i="42"/>
  <c r="B332" i="42"/>
  <c r="F331" i="42" l="1"/>
  <c r="E333" i="42"/>
  <c r="A334" i="42"/>
  <c r="B333" i="42"/>
  <c r="D332" i="42"/>
  <c r="C332" i="42"/>
  <c r="F332" i="42" l="1"/>
  <c r="D333" i="42"/>
  <c r="C333" i="42"/>
  <c r="E334" i="42"/>
  <c r="A335" i="42"/>
  <c r="B334" i="42"/>
  <c r="F333" i="42" l="1"/>
  <c r="E335" i="42"/>
  <c r="A336" i="42"/>
  <c r="B335" i="42"/>
  <c r="D334" i="42"/>
  <c r="C334" i="42"/>
  <c r="F334" i="42" l="1"/>
  <c r="D335" i="42"/>
  <c r="C335" i="42"/>
  <c r="E336" i="42"/>
  <c r="A337" i="42"/>
  <c r="B336" i="42"/>
  <c r="F335" i="42" l="1"/>
  <c r="E337" i="42"/>
  <c r="A338" i="42"/>
  <c r="B337" i="42"/>
  <c r="D336" i="42"/>
  <c r="C336" i="42"/>
  <c r="F336" i="42" l="1"/>
  <c r="D337" i="42"/>
  <c r="C337" i="42"/>
  <c r="E338" i="42"/>
  <c r="A339" i="42"/>
  <c r="B338" i="42"/>
  <c r="F337" i="42" l="1"/>
  <c r="E339" i="42"/>
  <c r="A340" i="42"/>
  <c r="B339" i="42"/>
  <c r="D338" i="42"/>
  <c r="C338" i="42"/>
  <c r="F338" i="42" l="1"/>
  <c r="D339" i="42"/>
  <c r="C339" i="42"/>
  <c r="E340" i="42"/>
  <c r="A341" i="42"/>
  <c r="B340" i="42"/>
  <c r="F339" i="42" l="1"/>
  <c r="E341" i="42"/>
  <c r="A342" i="42"/>
  <c r="B341" i="42"/>
  <c r="D340" i="42"/>
  <c r="C340" i="42"/>
  <c r="F340" i="42" l="1"/>
  <c r="D341" i="42"/>
  <c r="C341" i="42"/>
  <c r="E342" i="42"/>
  <c r="A343" i="42"/>
  <c r="B342" i="42"/>
  <c r="F341" i="42" l="1"/>
  <c r="E343" i="42"/>
  <c r="A344" i="42"/>
  <c r="B343" i="42"/>
  <c r="D342" i="42"/>
  <c r="C342" i="42"/>
  <c r="F342" i="42" l="1"/>
  <c r="D343" i="42"/>
  <c r="C343" i="42"/>
  <c r="E344" i="42"/>
  <c r="A345" i="42"/>
  <c r="B344" i="42"/>
  <c r="F343" i="42" l="1"/>
  <c r="E345" i="42"/>
  <c r="A346" i="42"/>
  <c r="B345" i="42"/>
  <c r="D344" i="42"/>
  <c r="C344" i="42"/>
  <c r="F344" i="42" l="1"/>
  <c r="D345" i="42"/>
  <c r="C345" i="42"/>
  <c r="E346" i="42"/>
  <c r="A347" i="42"/>
  <c r="B346" i="42"/>
  <c r="F345" i="42" l="1"/>
  <c r="E347" i="42"/>
  <c r="A348" i="42"/>
  <c r="B347" i="42"/>
  <c r="D346" i="42"/>
  <c r="C346" i="42"/>
  <c r="F346" i="42" l="1"/>
  <c r="D347" i="42"/>
  <c r="C347" i="42"/>
  <c r="E348" i="42"/>
  <c r="A349" i="42"/>
  <c r="B348" i="42"/>
  <c r="F347" i="42" l="1"/>
  <c r="E349" i="42"/>
  <c r="A350" i="42"/>
  <c r="B349" i="42"/>
  <c r="D348" i="42"/>
  <c r="C348" i="42"/>
  <c r="F348" i="42" l="1"/>
  <c r="D349" i="42"/>
  <c r="C349" i="42"/>
  <c r="E350" i="42"/>
  <c r="A351" i="42"/>
  <c r="B350" i="42"/>
  <c r="F349" i="42" l="1"/>
  <c r="D350" i="42"/>
  <c r="C350" i="42"/>
  <c r="E351" i="42"/>
  <c r="A352" i="42"/>
  <c r="B351" i="42"/>
  <c r="F350" i="42" l="1"/>
  <c r="E352" i="42"/>
  <c r="A353" i="42"/>
  <c r="B352" i="42"/>
  <c r="D351" i="42"/>
  <c r="C351" i="42"/>
  <c r="F351" i="42" l="1"/>
  <c r="D352" i="42"/>
  <c r="C352" i="42"/>
  <c r="E353" i="42"/>
  <c r="A354" i="42"/>
  <c r="B353" i="42"/>
  <c r="F352" i="42" l="1"/>
  <c r="E354" i="42"/>
  <c r="A355" i="42"/>
  <c r="B354" i="42"/>
  <c r="D353" i="42"/>
  <c r="C353" i="42"/>
  <c r="F353" i="42" l="1"/>
  <c r="D354" i="42"/>
  <c r="C354" i="42"/>
  <c r="E355" i="42"/>
  <c r="A356" i="42"/>
  <c r="B355" i="42"/>
  <c r="F354" i="42" l="1"/>
  <c r="E356" i="42"/>
  <c r="A357" i="42"/>
  <c r="B356" i="42"/>
  <c r="D355" i="42"/>
  <c r="C355" i="42"/>
  <c r="F355" i="42" l="1"/>
  <c r="D356" i="42"/>
  <c r="C356" i="42"/>
  <c r="E357" i="42"/>
  <c r="A358" i="42"/>
  <c r="B357" i="42"/>
  <c r="F356" i="42" l="1"/>
  <c r="E358" i="42"/>
  <c r="A359" i="42"/>
  <c r="B358" i="42"/>
  <c r="D357" i="42"/>
  <c r="C357" i="42"/>
  <c r="F357" i="42" l="1"/>
  <c r="D358" i="42"/>
  <c r="C358" i="42"/>
  <c r="E359" i="42"/>
  <c r="A360" i="42"/>
  <c r="B359" i="42"/>
  <c r="F358" i="42" l="1"/>
  <c r="E360" i="42"/>
  <c r="A361" i="42"/>
  <c r="B360" i="42"/>
  <c r="D359" i="42"/>
  <c r="C359" i="42"/>
  <c r="F359" i="42" l="1"/>
  <c r="D360" i="42"/>
  <c r="C360" i="42"/>
  <c r="E361" i="42"/>
  <c r="A362" i="42"/>
  <c r="B361" i="42"/>
  <c r="F360" i="42" l="1"/>
  <c r="E362" i="42"/>
  <c r="A363" i="42"/>
  <c r="B362" i="42"/>
  <c r="D361" i="42"/>
  <c r="C361" i="42"/>
  <c r="F361" i="42" l="1"/>
  <c r="D362" i="42"/>
  <c r="C362" i="42"/>
  <c r="E363" i="42"/>
  <c r="A364" i="42"/>
  <c r="B363" i="42"/>
  <c r="F362" i="42" l="1"/>
  <c r="E364" i="42"/>
  <c r="A365" i="42"/>
  <c r="B364" i="42"/>
  <c r="D363" i="42"/>
  <c r="C363" i="42"/>
  <c r="F363" i="42" l="1"/>
  <c r="D364" i="42"/>
  <c r="C364" i="42"/>
  <c r="E365" i="42"/>
  <c r="A366" i="42"/>
  <c r="B365" i="42"/>
  <c r="F364" i="42" l="1"/>
  <c r="E366" i="42"/>
  <c r="A367" i="42"/>
  <c r="B366" i="42"/>
  <c r="D365" i="42"/>
  <c r="C365" i="42"/>
  <c r="F365" i="42" l="1"/>
  <c r="D366" i="42"/>
  <c r="C366" i="42"/>
  <c r="E367" i="42"/>
  <c r="B367" i="42"/>
  <c r="A368" i="42"/>
  <c r="F366" i="42" l="1"/>
  <c r="D367" i="42"/>
  <c r="C367" i="42"/>
  <c r="E368" i="42"/>
  <c r="B368" i="42"/>
  <c r="A369" i="42"/>
  <c r="F367" i="42" l="1"/>
  <c r="D368" i="42"/>
  <c r="C368" i="42"/>
  <c r="E369" i="42"/>
  <c r="B369" i="42"/>
  <c r="F368" i="42" l="1"/>
  <c r="D369" i="42"/>
  <c r="C369" i="42"/>
  <c r="F369" i="42" s="1"/>
  <c r="K10" i="42" l="1"/>
  <c r="N30" i="24" s="1"/>
  <c r="N31" i="24" s="1"/>
  <c r="F4" i="8"/>
  <c r="H4" i="8" s="1"/>
  <c r="B3" i="8"/>
  <c r="N32" i="24"/>
  <c r="F3" i="8" l="1"/>
  <c r="G4" i="8" l="1"/>
  <c r="I4" i="8" s="1"/>
  <c r="F8" i="4" l="1"/>
  <c r="F234" i="4"/>
  <c r="F98" i="4"/>
  <c r="F200" i="4"/>
  <c r="H200" i="4" s="1"/>
  <c r="F168" i="4"/>
  <c r="F113" i="4"/>
  <c r="F100" i="4"/>
  <c r="F201" i="4"/>
  <c r="F178" i="4"/>
  <c r="F57" i="4"/>
  <c r="G57" i="4" s="1"/>
  <c r="I57" i="4" s="1"/>
  <c r="F41" i="4"/>
  <c r="F85" i="4"/>
  <c r="H85" i="4" s="1"/>
  <c r="F84" i="4"/>
  <c r="F99" i="4"/>
  <c r="G99" i="4" s="1"/>
  <c r="I99" i="4" s="1"/>
  <c r="F223" i="4"/>
  <c r="G223" i="4" s="1"/>
  <c r="I223" i="4" s="1"/>
  <c r="F104" i="4"/>
  <c r="G104" i="4" s="1"/>
  <c r="I104" i="4" s="1"/>
  <c r="F205" i="4"/>
  <c r="F125" i="4"/>
  <c r="F52" i="4"/>
  <c r="F175" i="4"/>
  <c r="H175" i="4" s="1"/>
  <c r="F144" i="4"/>
  <c r="G144" i="4" s="1"/>
  <c r="I144" i="4" s="1"/>
  <c r="F236" i="4"/>
  <c r="F216" i="4"/>
  <c r="G216" i="4" s="1"/>
  <c r="I216" i="4" s="1"/>
  <c r="F43" i="4"/>
  <c r="G43" i="4" s="1"/>
  <c r="I43" i="4" s="1"/>
  <c r="F192" i="4"/>
  <c r="F44" i="4"/>
  <c r="F219" i="4"/>
  <c r="F211" i="4"/>
  <c r="H211" i="4" s="1"/>
  <c r="F120" i="4"/>
  <c r="F122" i="4"/>
  <c r="F103" i="4"/>
  <c r="H103" i="4" s="1"/>
  <c r="F194" i="4"/>
  <c r="H194" i="4" s="1"/>
  <c r="F30" i="4"/>
  <c r="H30" i="4" s="1"/>
  <c r="F68" i="4"/>
  <c r="F97" i="4"/>
  <c r="F154" i="4"/>
  <c r="H154" i="4" s="1"/>
  <c r="F39" i="4"/>
  <c r="G39" i="4" s="1"/>
  <c r="I39" i="4" s="1"/>
  <c r="F64" i="4"/>
  <c r="F174" i="4"/>
  <c r="F137" i="4"/>
  <c r="F80" i="4"/>
  <c r="F117" i="4"/>
  <c r="G117" i="4" s="1"/>
  <c r="I117" i="4" s="1"/>
  <c r="F73" i="4"/>
  <c r="F22" i="4"/>
  <c r="G22" i="4" s="1"/>
  <c r="I22" i="4" s="1"/>
  <c r="F176" i="4"/>
  <c r="F221" i="4"/>
  <c r="G221" i="4" s="1"/>
  <c r="I221" i="4" s="1"/>
  <c r="F48" i="4"/>
  <c r="F203" i="4"/>
  <c r="F58" i="4"/>
  <c r="F229" i="4"/>
  <c r="F130" i="4"/>
  <c r="F208" i="4"/>
  <c r="F206" i="4"/>
  <c r="F71" i="4"/>
  <c r="H71" i="4" s="1"/>
  <c r="F60" i="4"/>
  <c r="G60" i="4" s="1"/>
  <c r="I60" i="4" s="1"/>
  <c r="F69" i="4"/>
  <c r="F18" i="4"/>
  <c r="F142" i="4"/>
  <c r="G142" i="4" s="1"/>
  <c r="I142" i="4" s="1"/>
  <c r="F105" i="4"/>
  <c r="F210" i="4"/>
  <c r="F110" i="4"/>
  <c r="F55" i="4"/>
  <c r="F237" i="4"/>
  <c r="F135" i="4"/>
  <c r="F158" i="4"/>
  <c r="F32" i="4"/>
  <c r="F10" i="4"/>
  <c r="G10" i="4" s="1"/>
  <c r="I10" i="4" s="1"/>
  <c r="F199" i="4"/>
  <c r="F159" i="4"/>
  <c r="F155" i="4"/>
  <c r="F222" i="4"/>
  <c r="F66" i="4"/>
  <c r="F183" i="4"/>
  <c r="F53" i="4"/>
  <c r="H53" i="4" s="1"/>
  <c r="F141" i="4"/>
  <c r="G141" i="4" s="1"/>
  <c r="I141" i="4" s="1"/>
  <c r="F94" i="4"/>
  <c r="F21" i="4"/>
  <c r="F101" i="4"/>
  <c r="G101" i="4" s="1"/>
  <c r="I101" i="4" s="1"/>
  <c r="F134" i="4"/>
  <c r="H134" i="4" s="1"/>
  <c r="F196" i="4"/>
  <c r="F40" i="4"/>
  <c r="F172" i="4"/>
  <c r="F212" i="4"/>
  <c r="H212" i="4" s="1"/>
  <c r="F202" i="4"/>
  <c r="F226" i="4"/>
  <c r="F20" i="4"/>
  <c r="H20" i="4" s="1"/>
  <c r="F36" i="4"/>
  <c r="F45" i="4"/>
  <c r="F149" i="4"/>
  <c r="F74" i="4"/>
  <c r="H74" i="4" s="1"/>
  <c r="F123" i="4"/>
  <c r="F106" i="4"/>
  <c r="G106" i="4" s="1"/>
  <c r="I106" i="4" s="1"/>
  <c r="F9" i="4"/>
  <c r="F59" i="4"/>
  <c r="G59" i="4" s="1"/>
  <c r="I59" i="4" s="1"/>
  <c r="F89" i="4"/>
  <c r="F232" i="4"/>
  <c r="F124" i="4"/>
  <c r="F19" i="4"/>
  <c r="F171" i="4"/>
  <c r="G171" i="4" s="1"/>
  <c r="I171" i="4" s="1"/>
  <c r="F70" i="4"/>
  <c r="F197" i="4"/>
  <c r="F151" i="4"/>
  <c r="G151" i="4" s="1"/>
  <c r="I151" i="4" s="1"/>
  <c r="F241" i="4"/>
  <c r="F49" i="4"/>
  <c r="G49" i="4" s="1"/>
  <c r="I49" i="4" s="1"/>
  <c r="F29" i="4"/>
  <c r="F150" i="4"/>
  <c r="F61" i="4"/>
  <c r="F15" i="4"/>
  <c r="F38" i="4"/>
  <c r="H38" i="4" s="1"/>
  <c r="F140" i="4"/>
  <c r="H140" i="4" s="1"/>
  <c r="F86" i="4"/>
  <c r="F111" i="4"/>
  <c r="F231" i="4"/>
  <c r="H231" i="4" s="1"/>
  <c r="F181" i="4"/>
  <c r="G181" i="4" s="1"/>
  <c r="I181" i="4" s="1"/>
  <c r="F145" i="4"/>
  <c r="F112" i="4"/>
  <c r="H112" i="4" s="1"/>
  <c r="F227" i="4"/>
  <c r="F115" i="4"/>
  <c r="G115" i="4" s="1"/>
  <c r="I115" i="4" s="1"/>
  <c r="F173" i="4"/>
  <c r="G173" i="4" s="1"/>
  <c r="I173" i="4" s="1"/>
  <c r="F107" i="4"/>
  <c r="F72" i="4"/>
  <c r="F186" i="4"/>
  <c r="G186" i="4" s="1"/>
  <c r="I186" i="4" s="1"/>
  <c r="F23" i="4"/>
  <c r="F119" i="4"/>
  <c r="F185" i="4"/>
  <c r="F34" i="4"/>
  <c r="G34" i="4" s="1"/>
  <c r="I34" i="4" s="1"/>
  <c r="F170" i="4"/>
  <c r="F50" i="4"/>
  <c r="F14" i="4"/>
  <c r="F17" i="4"/>
  <c r="G17" i="4" s="1"/>
  <c r="I17" i="4" s="1"/>
  <c r="F129" i="4"/>
  <c r="G129" i="4" s="1"/>
  <c r="I129" i="4" s="1"/>
  <c r="F28" i="4"/>
  <c r="F92" i="4"/>
  <c r="F96" i="4"/>
  <c r="G96" i="4" s="1"/>
  <c r="I96" i="4" s="1"/>
  <c r="F160" i="4"/>
  <c r="H160" i="4" s="1"/>
  <c r="F167" i="4"/>
  <c r="F238" i="4"/>
  <c r="G238" i="4" s="1"/>
  <c r="I238" i="4" s="1"/>
  <c r="F121" i="4"/>
  <c r="G121" i="4" s="1"/>
  <c r="I121" i="4" s="1"/>
  <c r="F240" i="4"/>
  <c r="F13" i="4"/>
  <c r="F16" i="4"/>
  <c r="F47" i="4"/>
  <c r="F195" i="4"/>
  <c r="F81" i="4"/>
  <c r="H81" i="4" s="1"/>
  <c r="F152" i="4"/>
  <c r="F157" i="4"/>
  <c r="F33" i="4"/>
  <c r="F42" i="4"/>
  <c r="F131" i="4"/>
  <c r="F37" i="4"/>
  <c r="F179" i="4"/>
  <c r="G179" i="4" s="1"/>
  <c r="I179" i="4" s="1"/>
  <c r="F95" i="4"/>
  <c r="F7" i="4"/>
  <c r="F182" i="4"/>
  <c r="F127" i="4"/>
  <c r="F184" i="4"/>
  <c r="G184" i="4" s="1"/>
  <c r="I184" i="4" s="1"/>
  <c r="F67" i="4"/>
  <c r="G67" i="4" s="1"/>
  <c r="I67" i="4" s="1"/>
  <c r="F207" i="4"/>
  <c r="G207" i="4" s="1"/>
  <c r="I207" i="4" s="1"/>
  <c r="F88" i="4"/>
  <c r="F230" i="4"/>
  <c r="H230" i="4" s="1"/>
  <c r="F163" i="4"/>
  <c r="F191" i="4"/>
  <c r="G191" i="4" s="1"/>
  <c r="I191" i="4" s="1"/>
  <c r="F91" i="4"/>
  <c r="F76" i="4"/>
  <c r="G76" i="4" s="1"/>
  <c r="I76" i="4" s="1"/>
  <c r="F75" i="4"/>
  <c r="G75" i="4" s="1"/>
  <c r="I75" i="4" s="1"/>
  <c r="F116" i="4"/>
  <c r="F87" i="4"/>
  <c r="F233" i="4"/>
  <c r="F146" i="4"/>
  <c r="F190" i="4"/>
  <c r="G190" i="4" s="1"/>
  <c r="I190" i="4" s="1"/>
  <c r="F46" i="4"/>
  <c r="F51" i="4"/>
  <c r="F31" i="4"/>
  <c r="F25" i="4"/>
  <c r="G25" i="4" s="1"/>
  <c r="I25" i="4" s="1"/>
  <c r="F118" i="4"/>
  <c r="F136" i="4"/>
  <c r="F83" i="4"/>
  <c r="F56" i="4"/>
  <c r="F148" i="4"/>
  <c r="G148" i="4" s="1"/>
  <c r="I148" i="4" s="1"/>
  <c r="F143" i="4"/>
  <c r="G143" i="4" s="1"/>
  <c r="I143" i="4" s="1"/>
  <c r="F209" i="4"/>
  <c r="H209" i="4" s="1"/>
  <c r="F166" i="4"/>
  <c r="G166" i="4" s="1"/>
  <c r="I166" i="4" s="1"/>
  <c r="F35" i="4"/>
  <c r="F63" i="4"/>
  <c r="F109" i="4"/>
  <c r="G109" i="4" s="1"/>
  <c r="I109" i="4" s="1"/>
  <c r="F177" i="4"/>
  <c r="F11" i="4"/>
  <c r="F90" i="4"/>
  <c r="G90" i="4" s="1"/>
  <c r="I90" i="4" s="1"/>
  <c r="F126" i="4"/>
  <c r="H126" i="4" s="1"/>
  <c r="F153" i="4"/>
  <c r="F224" i="4"/>
  <c r="F78" i="4"/>
  <c r="G78" i="4" s="1"/>
  <c r="I78" i="4" s="1"/>
  <c r="F204" i="4"/>
  <c r="F132" i="4"/>
  <c r="F114" i="4"/>
  <c r="H114" i="4" s="1"/>
  <c r="F93" i="4"/>
  <c r="H93" i="4" s="1"/>
  <c r="F225" i="4"/>
  <c r="F161" i="4"/>
  <c r="F187" i="4"/>
  <c r="F54" i="4"/>
  <c r="F27" i="4"/>
  <c r="F77" i="4"/>
  <c r="H77" i="4" s="1"/>
  <c r="F139" i="4"/>
  <c r="G139" i="4" s="1"/>
  <c r="I139" i="4" s="1"/>
  <c r="F147" i="4"/>
  <c r="G147" i="4" s="1"/>
  <c r="I147" i="4" s="1"/>
  <c r="F79" i="4"/>
  <c r="F235" i="4"/>
  <c r="F102" i="4"/>
  <c r="F188" i="4"/>
  <c r="H188" i="4" s="1"/>
  <c r="F65" i="4"/>
  <c r="F214" i="4"/>
  <c r="H214" i="4" s="1"/>
  <c r="F239" i="4"/>
  <c r="G239" i="4" s="1"/>
  <c r="I239" i="4" s="1"/>
  <c r="F198" i="4"/>
  <c r="G198" i="4" s="1"/>
  <c r="I198" i="4" s="1"/>
  <c r="F26" i="4"/>
  <c r="F164" i="4"/>
  <c r="F82" i="4"/>
  <c r="F62" i="4"/>
  <c r="F215" i="4"/>
  <c r="G215" i="4" s="1"/>
  <c r="I215" i="4" s="1"/>
  <c r="F128" i="4"/>
  <c r="F218" i="4"/>
  <c r="F138" i="4"/>
  <c r="F242" i="4"/>
  <c r="F156" i="4"/>
  <c r="F12" i="4"/>
  <c r="F108" i="4"/>
  <c r="F133" i="4"/>
  <c r="F162" i="4"/>
  <c r="F217" i="4"/>
  <c r="F169" i="4"/>
  <c r="F213" i="4"/>
  <c r="H213" i="4" s="1"/>
  <c r="F6" i="4"/>
  <c r="H6" i="4" s="1"/>
  <c r="F228" i="4"/>
  <c r="F243" i="4"/>
  <c r="F165" i="4"/>
  <c r="F220" i="4"/>
  <c r="F24" i="4"/>
  <c r="H24" i="4" s="1"/>
  <c r="F189" i="4"/>
  <c r="F180" i="4"/>
  <c r="H180" i="4" s="1"/>
  <c r="F193" i="4"/>
  <c r="F5" i="4"/>
  <c r="F4" i="4"/>
  <c r="H4" i="4" s="1"/>
  <c r="H190" i="4" l="1"/>
  <c r="H243" i="4"/>
  <c r="G243" i="4"/>
  <c r="I243" i="4" s="1"/>
  <c r="H241" i="4"/>
  <c r="G241" i="4"/>
  <c r="I241" i="4" s="1"/>
  <c r="H55" i="4"/>
  <c r="G55" i="4"/>
  <c r="I55" i="4" s="1"/>
  <c r="H17" i="4"/>
  <c r="G214" i="4"/>
  <c r="I214" i="4" s="1"/>
  <c r="H199" i="4"/>
  <c r="G199" i="4"/>
  <c r="I199" i="4" s="1"/>
  <c r="H220" i="4"/>
  <c r="G220" i="4"/>
  <c r="I220" i="4" s="1"/>
  <c r="G146" i="4"/>
  <c r="I146" i="4" s="1"/>
  <c r="H146" i="4"/>
  <c r="G226" i="4"/>
  <c r="I226" i="4" s="1"/>
  <c r="H226" i="4"/>
  <c r="G163" i="4"/>
  <c r="I163" i="4" s="1"/>
  <c r="H163" i="4"/>
  <c r="H222" i="4"/>
  <c r="G222" i="4"/>
  <c r="I222" i="4" s="1"/>
  <c r="G140" i="4"/>
  <c r="I140" i="4" s="1"/>
  <c r="G188" i="4"/>
  <c r="I188" i="4" s="1"/>
  <c r="H66" i="4"/>
  <c r="G66" i="4"/>
  <c r="I66" i="4" s="1"/>
  <c r="H113" i="4"/>
  <c r="G113" i="4"/>
  <c r="I113" i="4" s="1"/>
  <c r="H120" i="4"/>
  <c r="G120" i="4"/>
  <c r="I120" i="4" s="1"/>
  <c r="H62" i="4"/>
  <c r="G62" i="4"/>
  <c r="I62" i="4" s="1"/>
  <c r="H98" i="4"/>
  <c r="G98" i="4"/>
  <c r="I98" i="4" s="1"/>
  <c r="G134" i="4"/>
  <c r="I134" i="4" s="1"/>
  <c r="H90" i="4"/>
  <c r="H96" i="4"/>
  <c r="H232" i="4"/>
  <c r="G232" i="4"/>
  <c r="I232" i="4" s="1"/>
  <c r="H27" i="4"/>
  <c r="G27" i="4"/>
  <c r="I27" i="4" s="1"/>
  <c r="H227" i="4"/>
  <c r="G227" i="4"/>
  <c r="I227" i="4" s="1"/>
  <c r="G208" i="4"/>
  <c r="I208" i="4" s="1"/>
  <c r="H208" i="4"/>
  <c r="G219" i="4"/>
  <c r="I219" i="4" s="1"/>
  <c r="H219" i="4"/>
  <c r="G64" i="4"/>
  <c r="I64" i="4" s="1"/>
  <c r="H64" i="4"/>
  <c r="H195" i="4"/>
  <c r="G195" i="4"/>
  <c r="I195" i="4" s="1"/>
  <c r="H58" i="4"/>
  <c r="G58" i="4"/>
  <c r="I58" i="4" s="1"/>
  <c r="G79" i="4"/>
  <c r="I79" i="4" s="1"/>
  <c r="H79" i="4"/>
  <c r="G233" i="4"/>
  <c r="I233" i="4" s="1"/>
  <c r="H233" i="4"/>
  <c r="H228" i="4"/>
  <c r="G228" i="4"/>
  <c r="I228" i="4" s="1"/>
  <c r="G168" i="4"/>
  <c r="I168" i="4" s="1"/>
  <c r="H168" i="4"/>
  <c r="G44" i="4"/>
  <c r="I44" i="4" s="1"/>
  <c r="H44" i="4"/>
  <c r="H162" i="4"/>
  <c r="G162" i="4"/>
  <c r="I162" i="4" s="1"/>
  <c r="G152" i="4"/>
  <c r="I152" i="4" s="1"/>
  <c r="H152" i="4"/>
  <c r="G194" i="4"/>
  <c r="I194" i="4" s="1"/>
  <c r="G209" i="4"/>
  <c r="I209" i="4" s="1"/>
  <c r="H207" i="4"/>
  <c r="H115" i="4"/>
  <c r="H67" i="4"/>
  <c r="H141" i="4"/>
  <c r="H121" i="4"/>
  <c r="H75" i="4"/>
  <c r="G231" i="4"/>
  <c r="I231" i="4" s="1"/>
  <c r="H57" i="4"/>
  <c r="G200" i="4"/>
  <c r="I200" i="4" s="1"/>
  <c r="G29" i="4"/>
  <c r="I29" i="4" s="1"/>
  <c r="H29" i="4"/>
  <c r="G138" i="4"/>
  <c r="I138" i="4" s="1"/>
  <c r="H138" i="4"/>
  <c r="G18" i="4"/>
  <c r="I18" i="4" s="1"/>
  <c r="H18" i="4"/>
  <c r="G73" i="4"/>
  <c r="I73" i="4" s="1"/>
  <c r="H73" i="4"/>
  <c r="G136" i="4"/>
  <c r="I136" i="4" s="1"/>
  <c r="H136" i="4"/>
  <c r="G52" i="4"/>
  <c r="I52" i="4" s="1"/>
  <c r="H52" i="4"/>
  <c r="G16" i="4"/>
  <c r="I16" i="4" s="1"/>
  <c r="H16" i="4"/>
  <c r="H10" i="4"/>
  <c r="H139" i="4"/>
  <c r="G24" i="4"/>
  <c r="I24" i="4" s="1"/>
  <c r="G30" i="4"/>
  <c r="I30" i="4" s="1"/>
  <c r="G74" i="4"/>
  <c r="I74" i="4" s="1"/>
  <c r="G103" i="4"/>
  <c r="I103" i="4" s="1"/>
  <c r="G93" i="4"/>
  <c r="I93" i="4" s="1"/>
  <c r="G53" i="4"/>
  <c r="I53" i="4" s="1"/>
  <c r="H144" i="4"/>
  <c r="H129" i="4"/>
  <c r="H47" i="4"/>
  <c r="G47" i="4"/>
  <c r="I47" i="4" s="1"/>
  <c r="H94" i="4"/>
  <c r="G94" i="4"/>
  <c r="I94" i="4" s="1"/>
  <c r="G197" i="4"/>
  <c r="I197" i="4" s="1"/>
  <c r="H197" i="4"/>
  <c r="H165" i="4"/>
  <c r="G165" i="4"/>
  <c r="I165" i="4" s="1"/>
  <c r="H122" i="4"/>
  <c r="G122" i="4"/>
  <c r="I122" i="4" s="1"/>
  <c r="G41" i="4"/>
  <c r="I41" i="4" s="1"/>
  <c r="H41" i="4"/>
  <c r="H23" i="4"/>
  <c r="G23" i="4"/>
  <c r="I23" i="4" s="1"/>
  <c r="H72" i="4"/>
  <c r="G72" i="4"/>
  <c r="I72" i="4" s="1"/>
  <c r="H32" i="4"/>
  <c r="G32" i="4"/>
  <c r="I32" i="4" s="1"/>
  <c r="H229" i="4"/>
  <c r="G229" i="4"/>
  <c r="I229" i="4" s="1"/>
  <c r="G9" i="4"/>
  <c r="I9" i="4" s="1"/>
  <c r="H9" i="4"/>
  <c r="G224" i="4"/>
  <c r="I224" i="4" s="1"/>
  <c r="H224" i="4"/>
  <c r="H217" i="4"/>
  <c r="G217" i="4"/>
  <c r="I217" i="4" s="1"/>
  <c r="H172" i="4"/>
  <c r="G172" i="4"/>
  <c r="I172" i="4" s="1"/>
  <c r="H5" i="4"/>
  <c r="G5" i="4"/>
  <c r="I5" i="4" s="1"/>
  <c r="G153" i="4"/>
  <c r="I153" i="4" s="1"/>
  <c r="H153" i="4"/>
  <c r="H135" i="4"/>
  <c r="G135" i="4"/>
  <c r="I135" i="4" s="1"/>
  <c r="H161" i="4"/>
  <c r="G161" i="4"/>
  <c r="I161" i="4" s="1"/>
  <c r="H149" i="4"/>
  <c r="G149" i="4"/>
  <c r="I149" i="4" s="1"/>
  <c r="H218" i="4"/>
  <c r="G218" i="4"/>
  <c r="I218" i="4" s="1"/>
  <c r="H236" i="4"/>
  <c r="G236" i="4"/>
  <c r="I236" i="4" s="1"/>
  <c r="H87" i="4"/>
  <c r="G87" i="4"/>
  <c r="I87" i="4" s="1"/>
  <c r="H82" i="4"/>
  <c r="G82" i="4"/>
  <c r="I82" i="4" s="1"/>
  <c r="H133" i="4"/>
  <c r="G133" i="4"/>
  <c r="I133" i="4" s="1"/>
  <c r="H174" i="4"/>
  <c r="G174" i="4"/>
  <c r="I174" i="4" s="1"/>
  <c r="G56" i="4"/>
  <c r="I56" i="4" s="1"/>
  <c r="H56" i="4"/>
  <c r="G54" i="4"/>
  <c r="I54" i="4" s="1"/>
  <c r="H54" i="4"/>
  <c r="G131" i="4"/>
  <c r="I131" i="4" s="1"/>
  <c r="H131" i="4"/>
  <c r="G102" i="4"/>
  <c r="I102" i="4" s="1"/>
  <c r="H102" i="4"/>
  <c r="H46" i="4"/>
  <c r="G46" i="4"/>
  <c r="I46" i="4" s="1"/>
  <c r="G127" i="4"/>
  <c r="I127" i="4" s="1"/>
  <c r="H127" i="4"/>
  <c r="H167" i="4"/>
  <c r="G167" i="4"/>
  <c r="I167" i="4" s="1"/>
  <c r="G155" i="4"/>
  <c r="I155" i="4" s="1"/>
  <c r="H155" i="4"/>
  <c r="H176" i="4"/>
  <c r="G176" i="4"/>
  <c r="I176" i="4" s="1"/>
  <c r="H100" i="4"/>
  <c r="G100" i="4"/>
  <c r="I100" i="4" s="1"/>
  <c r="G35" i="4"/>
  <c r="I35" i="4" s="1"/>
  <c r="H35" i="4"/>
  <c r="G193" i="4"/>
  <c r="I193" i="4" s="1"/>
  <c r="H193" i="4"/>
  <c r="H51" i="4"/>
  <c r="G51" i="4"/>
  <c r="I51" i="4" s="1"/>
  <c r="G159" i="4"/>
  <c r="I159" i="4" s="1"/>
  <c r="H159" i="4"/>
  <c r="G97" i="4"/>
  <c r="I97" i="4" s="1"/>
  <c r="H97" i="4"/>
  <c r="H158" i="4"/>
  <c r="G158" i="4"/>
  <c r="I158" i="4" s="1"/>
  <c r="H119" i="4"/>
  <c r="G119" i="4"/>
  <c r="I119" i="4" s="1"/>
  <c r="G21" i="4"/>
  <c r="I21" i="4" s="1"/>
  <c r="H21" i="4"/>
  <c r="H192" i="4"/>
  <c r="G192" i="4"/>
  <c r="I192" i="4" s="1"/>
  <c r="G201" i="4"/>
  <c r="I201" i="4" s="1"/>
  <c r="H201" i="4"/>
  <c r="G180" i="4"/>
  <c r="I180" i="4" s="1"/>
  <c r="G160" i="4"/>
  <c r="I160" i="4" s="1"/>
  <c r="H25" i="4"/>
  <c r="H101" i="4"/>
  <c r="H198" i="4"/>
  <c r="H34" i="4"/>
  <c r="G212" i="4"/>
  <c r="I212" i="4" s="1"/>
  <c r="H142" i="4"/>
  <c r="G112" i="4"/>
  <c r="I112" i="4" s="1"/>
  <c r="H76" i="4"/>
  <c r="H143" i="4"/>
  <c r="H186" i="4"/>
  <c r="G85" i="4"/>
  <c r="I85" i="4" s="1"/>
  <c r="G213" i="4"/>
  <c r="I213" i="4" s="1"/>
  <c r="H148" i="4"/>
  <c r="H179" i="4"/>
  <c r="H117" i="4"/>
  <c r="H99" i="4"/>
  <c r="H59" i="4"/>
  <c r="H191" i="4"/>
  <c r="H147" i="4"/>
  <c r="H215" i="4"/>
  <c r="H238" i="4"/>
  <c r="H184" i="4"/>
  <c r="G211" i="4"/>
  <c r="I211" i="4" s="1"/>
  <c r="G20" i="4"/>
  <c r="I20" i="4" s="1"/>
  <c r="G154" i="4"/>
  <c r="I154" i="4" s="1"/>
  <c r="H104" i="4"/>
  <c r="G6" i="4"/>
  <c r="I6" i="4" s="1"/>
  <c r="G12" i="4"/>
  <c r="I12" i="4" s="1"/>
  <c r="H12" i="4"/>
  <c r="G189" i="4"/>
  <c r="I189" i="4" s="1"/>
  <c r="H189" i="4"/>
  <c r="H235" i="4"/>
  <c r="G235" i="4"/>
  <c r="I235" i="4" s="1"/>
  <c r="G157" i="4"/>
  <c r="I157" i="4" s="1"/>
  <c r="H157" i="4"/>
  <c r="H123" i="4"/>
  <c r="G123" i="4"/>
  <c r="I123" i="4" s="1"/>
  <c r="H36" i="4"/>
  <c r="G36" i="4"/>
  <c r="I36" i="4" s="1"/>
  <c r="G92" i="4"/>
  <c r="I92" i="4" s="1"/>
  <c r="H92" i="4"/>
  <c r="H210" i="4"/>
  <c r="G210" i="4"/>
  <c r="I210" i="4" s="1"/>
  <c r="G88" i="4"/>
  <c r="I88" i="4" s="1"/>
  <c r="H88" i="4"/>
  <c r="G86" i="4"/>
  <c r="I86" i="4" s="1"/>
  <c r="H86" i="4"/>
  <c r="H169" i="4"/>
  <c r="G169" i="4"/>
  <c r="I169" i="4" s="1"/>
  <c r="H49" i="4"/>
  <c r="H8" i="4"/>
  <c r="G8" i="4"/>
  <c r="I8" i="4" s="1"/>
  <c r="G38" i="4"/>
  <c r="I38" i="4" s="1"/>
  <c r="G80" i="4"/>
  <c r="I80" i="4" s="1"/>
  <c r="H80" i="4"/>
  <c r="H15" i="4"/>
  <c r="G70" i="4"/>
  <c r="I70" i="4" s="1"/>
  <c r="H70" i="4"/>
  <c r="G84" i="4"/>
  <c r="I84" i="4" s="1"/>
  <c r="H84" i="4"/>
  <c r="G177" i="4"/>
  <c r="I177" i="4" s="1"/>
  <c r="H177" i="4"/>
  <c r="H216" i="4"/>
  <c r="G242" i="4"/>
  <c r="I242" i="4" s="1"/>
  <c r="H242" i="4"/>
  <c r="H65" i="4"/>
  <c r="G65" i="4"/>
  <c r="I65" i="4" s="1"/>
  <c r="G7" i="4"/>
  <c r="I7" i="4" s="1"/>
  <c r="H7" i="4"/>
  <c r="H166" i="4"/>
  <c r="H106" i="4"/>
  <c r="G145" i="4"/>
  <c r="I145" i="4" s="1"/>
  <c r="H145" i="4"/>
  <c r="H221" i="4"/>
  <c r="H237" i="4"/>
  <c r="G237" i="4"/>
  <c r="I237" i="4" s="1"/>
  <c r="H205" i="4"/>
  <c r="G205" i="4"/>
  <c r="I205" i="4" s="1"/>
  <c r="G178" i="4"/>
  <c r="I178" i="4" s="1"/>
  <c r="H178" i="4"/>
  <c r="H31" i="4"/>
  <c r="G31" i="4"/>
  <c r="I31" i="4" s="1"/>
  <c r="G19" i="4"/>
  <c r="I19" i="4" s="1"/>
  <c r="H19" i="4"/>
  <c r="H187" i="4"/>
  <c r="G187" i="4"/>
  <c r="I187" i="4" s="1"/>
  <c r="G37" i="4"/>
  <c r="I37" i="4" s="1"/>
  <c r="H37" i="4"/>
  <c r="G111" i="4"/>
  <c r="I111" i="4" s="1"/>
  <c r="H111" i="4"/>
  <c r="H124" i="4"/>
  <c r="G124" i="4"/>
  <c r="I124" i="4" s="1"/>
  <c r="H11" i="4"/>
  <c r="G11" i="4"/>
  <c r="I11" i="4" s="1"/>
  <c r="H185" i="4"/>
  <c r="G185" i="4"/>
  <c r="I185" i="4" s="1"/>
  <c r="G48" i="4"/>
  <c r="I48" i="4" s="1"/>
  <c r="H48" i="4"/>
  <c r="G196" i="4"/>
  <c r="I196" i="4" s="1"/>
  <c r="H196" i="4"/>
  <c r="H223" i="4"/>
  <c r="H182" i="4"/>
  <c r="G182" i="4"/>
  <c r="I182" i="4" s="1"/>
  <c r="H202" i="4"/>
  <c r="G202" i="4"/>
  <c r="I202" i="4" s="1"/>
  <c r="H183" i="4"/>
  <c r="G183" i="4"/>
  <c r="I183" i="4" s="1"/>
  <c r="G116" i="4"/>
  <c r="I116" i="4" s="1"/>
  <c r="H116" i="4"/>
  <c r="H14" i="4"/>
  <c r="H39" i="4"/>
  <c r="G4" i="4"/>
  <c r="I4" i="4" s="1"/>
  <c r="H164" i="4"/>
  <c r="G164" i="4"/>
  <c r="I164" i="4" s="1"/>
  <c r="H170" i="4"/>
  <c r="G170" i="4"/>
  <c r="I170" i="4" s="1"/>
  <c r="G45" i="4"/>
  <c r="I45" i="4" s="1"/>
  <c r="H45" i="4"/>
  <c r="G107" i="4"/>
  <c r="I107" i="4" s="1"/>
  <c r="H107" i="4"/>
  <c r="H68" i="4"/>
  <c r="G68" i="4"/>
  <c r="I68" i="4" s="1"/>
  <c r="G132" i="4"/>
  <c r="I132" i="4" s="1"/>
  <c r="H132" i="4"/>
  <c r="H33" i="4"/>
  <c r="G33" i="4"/>
  <c r="I33" i="4" s="1"/>
  <c r="G13" i="4"/>
  <c r="I13" i="4" s="1"/>
  <c r="H13" i="4"/>
  <c r="G110" i="4"/>
  <c r="I110" i="4" s="1"/>
  <c r="H110" i="4"/>
  <c r="G150" i="4"/>
  <c r="I150" i="4" s="1"/>
  <c r="H150" i="4"/>
  <c r="G234" i="4"/>
  <c r="I234" i="4" s="1"/>
  <c r="H234" i="4"/>
  <c r="G206" i="4"/>
  <c r="I206" i="4" s="1"/>
  <c r="H206" i="4"/>
  <c r="H128" i="4"/>
  <c r="G128" i="4"/>
  <c r="I128" i="4" s="1"/>
  <c r="G240" i="4"/>
  <c r="I240" i="4" s="1"/>
  <c r="H240" i="4"/>
  <c r="G89" i="4"/>
  <c r="I89" i="4" s="1"/>
  <c r="H89" i="4"/>
  <c r="H105" i="4"/>
  <c r="G105" i="4"/>
  <c r="I105" i="4" s="1"/>
  <c r="G28" i="4"/>
  <c r="I28" i="4" s="1"/>
  <c r="H28" i="4"/>
  <c r="G156" i="4"/>
  <c r="I156" i="4" s="1"/>
  <c r="H156" i="4"/>
  <c r="G225" i="4"/>
  <c r="I225" i="4" s="1"/>
  <c r="H225" i="4"/>
  <c r="G130" i="4"/>
  <c r="I130" i="4" s="1"/>
  <c r="H130" i="4"/>
  <c r="H83" i="4"/>
  <c r="G83" i="4"/>
  <c r="I83" i="4" s="1"/>
  <c r="G63" i="4"/>
  <c r="I63" i="4" s="1"/>
  <c r="H63" i="4"/>
  <c r="G118" i="4"/>
  <c r="I118" i="4" s="1"/>
  <c r="H118" i="4"/>
  <c r="G42" i="4"/>
  <c r="I42" i="4" s="1"/>
  <c r="H42" i="4"/>
  <c r="H69" i="4"/>
  <c r="G69" i="4"/>
  <c r="I69" i="4" s="1"/>
  <c r="H137" i="4"/>
  <c r="G137" i="4"/>
  <c r="I137" i="4" s="1"/>
  <c r="G81" i="4"/>
  <c r="I81" i="4" s="1"/>
  <c r="H61" i="4"/>
  <c r="G61" i="4"/>
  <c r="I61" i="4" s="1"/>
  <c r="G77" i="4"/>
  <c r="I77" i="4" s="1"/>
  <c r="H181" i="4"/>
  <c r="G26" i="4"/>
  <c r="I26" i="4" s="1"/>
  <c r="H26" i="4"/>
  <c r="H91" i="4"/>
  <c r="G91" i="4"/>
  <c r="I91" i="4" s="1"/>
  <c r="G95" i="4"/>
  <c r="I95" i="4" s="1"/>
  <c r="H95" i="4"/>
  <c r="H50" i="4"/>
  <c r="G50" i="4"/>
  <c r="I50" i="4" s="1"/>
  <c r="H40" i="4"/>
  <c r="G40" i="4"/>
  <c r="I40" i="4" s="1"/>
  <c r="H109" i="4"/>
  <c r="H203" i="4"/>
  <c r="G203" i="4"/>
  <c r="I203" i="4" s="1"/>
  <c r="H43" i="4"/>
  <c r="G125" i="4"/>
  <c r="I125" i="4" s="1"/>
  <c r="H125" i="4"/>
  <c r="H22" i="4"/>
  <c r="H60" i="4"/>
  <c r="H151" i="4"/>
  <c r="H239" i="4"/>
  <c r="H171" i="4"/>
  <c r="G230" i="4"/>
  <c r="I230" i="4" s="1"/>
  <c r="G71" i="4"/>
  <c r="I71" i="4" s="1"/>
  <c r="G175" i="4"/>
  <c r="I175" i="4" s="1"/>
  <c r="G126" i="4"/>
  <c r="I126" i="4" s="1"/>
  <c r="H78" i="4"/>
  <c r="H108" i="4"/>
  <c r="G108" i="4"/>
  <c r="I108" i="4" s="1"/>
  <c r="H173" i="4"/>
  <c r="G114" i="4"/>
  <c r="I114" i="4" s="1"/>
  <c r="H204" i="4"/>
  <c r="G204" i="4"/>
  <c r="I204" i="4" s="1"/>
  <c r="G15" i="4"/>
  <c r="I15" i="4" s="1"/>
  <c r="G14" i="4"/>
  <c r="I14" i="4" s="1"/>
</calcChain>
</file>

<file path=xl/comments1.xml><?xml version="1.0" encoding="utf-8"?>
<comments xmlns="http://schemas.openxmlformats.org/spreadsheetml/2006/main">
  <authors>
    <author>FAVERAIS Laurent</author>
  </authors>
  <commentList>
    <comment ref="H9" authorId="0" shapeId="0">
      <text>
        <r>
          <rPr>
            <b/>
            <sz val="9"/>
            <color indexed="81"/>
            <rFont val="Tahoma"/>
            <family val="2"/>
          </rPr>
          <t>FAVERAIS Laurent:</t>
        </r>
        <r>
          <rPr>
            <sz val="9"/>
            <color indexed="81"/>
            <rFont val="Tahoma"/>
            <family val="2"/>
          </rPr>
          <t xml:space="preserve">
Afficher les param du TCD
sélectionner les mois désirés dans "mois numéros" dans la partie haute des options du TCD</t>
        </r>
      </text>
    </comment>
  </commentList>
</comments>
</file>

<file path=xl/comments10.xml><?xml version="1.0" encoding="utf-8"?>
<comments xmlns="http://schemas.openxmlformats.org/spreadsheetml/2006/main">
  <authors>
    <author>Fabien Rouault</author>
  </authors>
  <commentList>
    <comment ref="K1" authorId="0" shapeId="0">
      <text>
        <r>
          <rPr>
            <sz val="9"/>
            <color indexed="81"/>
            <rFont val="Tahoma"/>
            <family val="2"/>
          </rPr>
          <t xml:space="preserve">Indiquez un nom au compteur dans l'onglet "SITE" pour le reconnaitre dans les onglets "Suvi Compteur" et "Suivi Sous_compteur"...
</t>
        </r>
      </text>
    </comment>
    <comment ref="K2" authorId="0" shapeId="0">
      <text>
        <r>
          <rPr>
            <sz val="9"/>
            <color indexed="81"/>
            <rFont val="Tahoma"/>
            <family val="2"/>
          </rPr>
          <t xml:space="preserve">Indiquez un nom au compteur dans l'onglet "SITE" pour le reconnaitre dans les onglets "Suvi Compteur" et "Suivi Sous_compteur"...
</t>
        </r>
      </text>
    </comment>
  </commentList>
</comments>
</file>

<file path=xl/comments11.xml><?xml version="1.0" encoding="utf-8"?>
<comments xmlns="http://schemas.openxmlformats.org/spreadsheetml/2006/main">
  <authors>
    <author>Fabien Rouault</author>
  </authors>
  <commentList>
    <comment ref="K1" authorId="0" shapeId="0">
      <text>
        <r>
          <rPr>
            <sz val="9"/>
            <color indexed="81"/>
            <rFont val="Tahoma"/>
            <family val="2"/>
          </rPr>
          <t xml:space="preserve">Indiquez un nom au compteur dans l'onglet "SITE" pour le reconnaitre dans les onglets "Suvi Compteur" et "Suivi Sous_compteur"...
</t>
        </r>
      </text>
    </comment>
    <comment ref="K2" authorId="0" shapeId="0">
      <text>
        <r>
          <rPr>
            <sz val="9"/>
            <color indexed="81"/>
            <rFont val="Tahoma"/>
            <family val="2"/>
          </rPr>
          <t xml:space="preserve">Indiquez un nom au compteur dans l'onglet "SITE" pour le reconnaitre dans les onglets "Suvi Compteur" et "Suivi Sous_compteur"...
</t>
        </r>
      </text>
    </comment>
  </commentList>
</comments>
</file>

<file path=xl/comments12.xml><?xml version="1.0" encoding="utf-8"?>
<comments xmlns="http://schemas.openxmlformats.org/spreadsheetml/2006/main">
  <authors>
    <author>Fabien Rouault</author>
  </authors>
  <commentList>
    <comment ref="K1" authorId="0" shapeId="0">
      <text>
        <r>
          <rPr>
            <sz val="9"/>
            <color indexed="81"/>
            <rFont val="Tahoma"/>
            <family val="2"/>
          </rPr>
          <t xml:space="preserve">Indiquez un nom au compteur dans l'onglet "SITE" pour le reconnaitre dans les onglets "Suvi Compteur" et "Suivi Sous_compteur"...
</t>
        </r>
      </text>
    </comment>
    <comment ref="K2" authorId="0" shapeId="0">
      <text>
        <r>
          <rPr>
            <sz val="9"/>
            <color indexed="81"/>
            <rFont val="Tahoma"/>
            <family val="2"/>
          </rPr>
          <t xml:space="preserve">Indiquez un nom au compteur dans l'onglet "SITE" pour le reconnaitre dans les onglets "Suvi Compteur" et "Suivi Sous_compteur"...
</t>
        </r>
      </text>
    </comment>
  </commentList>
</comments>
</file>

<file path=xl/comments13.xml><?xml version="1.0" encoding="utf-8"?>
<comments xmlns="http://schemas.openxmlformats.org/spreadsheetml/2006/main">
  <authors>
    <author>Fabien Rouault</author>
  </authors>
  <commentList>
    <comment ref="K1" authorId="0" shapeId="0">
      <text>
        <r>
          <rPr>
            <sz val="9"/>
            <color indexed="81"/>
            <rFont val="Tahoma"/>
            <family val="2"/>
          </rPr>
          <t xml:space="preserve">Indiquez un nom au compteur dans l'onglet "SITE" pour le reconnaitre dans les onglets "Suvi Compteur" et "Suivi Sous_compteur"...
</t>
        </r>
      </text>
    </comment>
    <comment ref="K2" authorId="0" shapeId="0">
      <text>
        <r>
          <rPr>
            <sz val="9"/>
            <color indexed="81"/>
            <rFont val="Tahoma"/>
            <family val="2"/>
          </rPr>
          <t xml:space="preserve">Indiquez un nom au compteur dans l'onglet "SITE" pour le reconnaitre dans les onglets "Suvi Compteur" et "Suivi Sous_compteur"...
</t>
        </r>
      </text>
    </comment>
  </commentList>
</comments>
</file>

<file path=xl/comments14.xml><?xml version="1.0" encoding="utf-8"?>
<comments xmlns="http://schemas.openxmlformats.org/spreadsheetml/2006/main">
  <authors>
    <author>FAVERAIS Laurent</author>
  </authors>
  <commentList>
    <comment ref="B1" authorId="0" shapeId="0">
      <text>
        <r>
          <rPr>
            <sz val="9"/>
            <color indexed="81"/>
            <rFont val="Tahoma"/>
            <family val="2"/>
          </rPr>
          <t xml:space="preserve">
Saisir ici les quantités stockées dans votre réservoir, cuve, silo…
En cas de remplissage, saisir ici la quantité avant remplissage</t>
        </r>
      </text>
    </comment>
    <comment ref="C1" authorId="0" shapeId="0">
      <text>
        <r>
          <rPr>
            <sz val="9"/>
            <color indexed="81"/>
            <rFont val="Tahoma"/>
            <family val="2"/>
          </rPr>
          <t xml:space="preserve">
Veuillez saisir la quantité remise dans le stockage</t>
        </r>
      </text>
    </comment>
    <comment ref="D1" authorId="0" shapeId="0">
      <text>
        <r>
          <rPr>
            <sz val="9"/>
            <color indexed="81"/>
            <rFont val="Tahoma"/>
            <family val="2"/>
          </rPr>
          <t xml:space="preserve">
Veuillez saisir ici la quantité restante après remplissage</t>
        </r>
      </text>
    </comment>
    <comment ref="F1" authorId="0" shapeId="0">
      <text>
        <r>
          <rPr>
            <sz val="9"/>
            <color indexed="81"/>
            <rFont val="Tahoma"/>
            <family val="2"/>
          </rPr>
          <t xml:space="preserve">
Copiez/Collez (valeur) les 2 colonnes "fin de période" et "Quantité" dans l'onglet correspondant à la consommation</t>
        </r>
      </text>
    </comment>
    <comment ref="G1" authorId="0" shapeId="0">
      <text>
        <r>
          <rPr>
            <sz val="9"/>
            <color indexed="81"/>
            <rFont val="Tahoma"/>
            <family val="2"/>
          </rPr>
          <t xml:space="preserve">
Copiez/Collez (valeur) les 2 colonnes "fin de période" et "Quantité" dans l'onglet correspondant à la consommation
</t>
        </r>
      </text>
    </comment>
    <comment ref="D2" authorId="0" shapeId="0">
      <text>
        <r>
          <rPr>
            <b/>
            <sz val="9"/>
            <color indexed="81"/>
            <rFont val="Tahoma"/>
            <family val="2"/>
          </rPr>
          <t>FAVERAIS Laurent:</t>
        </r>
        <r>
          <rPr>
            <sz val="9"/>
            <color indexed="81"/>
            <rFont val="Tahoma"/>
            <family val="2"/>
          </rPr>
          <t xml:space="preserve">
Formule si besoin de la remettre :
=SI([@[Quantité restante dans la cuve
(si remplissage, valeur 
avant le plein)]]&lt;=0;"";[@[Quantité restante dans la cuve
(si remplissage, valeur 
avant le plein)]]+[@[Remplissage / 
Quantité remise]])</t>
        </r>
      </text>
    </comment>
  </commentList>
</comments>
</file>

<file path=xl/comments2.xml><?xml version="1.0" encoding="utf-8"?>
<comments xmlns="http://schemas.openxmlformats.org/spreadsheetml/2006/main">
  <authors>
    <author>Fabien Rouault</author>
    <author>FAVERAIS Laurent</author>
  </authors>
  <commentList>
    <comment ref="D7" authorId="0" shapeId="0">
      <text>
        <r>
          <rPr>
            <sz val="9"/>
            <color indexed="81"/>
            <rFont val="Tahoma"/>
            <family val="2"/>
          </rPr>
          <t xml:space="preserve">Si la surface chauffé est inconnue ou égale à la surface totale, copiez/collez les valeurs de la surface totale 
</t>
        </r>
      </text>
    </comment>
    <comment ref="E7" authorId="0" shapeId="0">
      <text>
        <r>
          <rPr>
            <sz val="9"/>
            <color indexed="81"/>
            <rFont val="Tahoma"/>
            <family val="2"/>
          </rPr>
          <t xml:space="preserve">Si la surface refroidie est inconnue ou négligeable par rapport à la surface totale du bâtiment vous pouvez laisser la colonne vide
</t>
        </r>
      </text>
    </comment>
    <comment ref="H7" authorId="0" shapeId="0">
      <text>
        <r>
          <rPr>
            <sz val="9"/>
            <color indexed="81"/>
            <rFont val="Tahoma"/>
            <family val="2"/>
          </rPr>
          <t>La valeur Cabs est l'objectif de consommation en valeur aboslue calculé par la plateforme OPERAT. Elle permet de calculer l'ajustement climatique du chauffage et du refroidissement.</t>
        </r>
      </text>
    </comment>
    <comment ref="C8" authorId="1" shapeId="0">
      <text>
        <r>
          <rPr>
            <b/>
            <sz val="9"/>
            <color indexed="81"/>
            <rFont val="Tahoma"/>
            <family val="2"/>
          </rPr>
          <t>FAVERAIS Laurent:</t>
        </r>
        <r>
          <rPr>
            <sz val="9"/>
            <color indexed="81"/>
            <rFont val="Tahoma"/>
            <family val="2"/>
          </rPr>
          <t xml:space="preserve">
Formule à copier pour récupérer la valeur calculée par la partie DEET
=SOMME.SI.ENS('Surface DEET'!$F$9:$F$38;'Surface DEET'!$B$9:$B$38;"&lt;="&amp;Site!$B8;'Surface DEET'!$C$9:$C$38;"&gt;="&amp;Site!$B8)</t>
        </r>
      </text>
    </comment>
    <comment ref="D8" authorId="1" shapeId="0">
      <text>
        <r>
          <rPr>
            <b/>
            <sz val="9"/>
            <color indexed="81"/>
            <rFont val="Tahoma"/>
            <family val="2"/>
          </rPr>
          <t>FAVERAIS Laurent:</t>
        </r>
        <r>
          <rPr>
            <sz val="9"/>
            <color indexed="81"/>
            <rFont val="Tahoma"/>
            <family val="2"/>
          </rPr>
          <t xml:space="preserve">
Formule à copier pour récupérer la valeur calculée par la partie DEET =SOMME.SI.ENS('Surface DEET'!$F$9:$F$38;'Surface DEET'!$B$9:$B$38;"&lt;="&amp;Site!$B8;'Surface DEET'!$C$9:$C$38;"&gt;="&amp;Site!$B8;'Surface DEET'!$G$9:$G$38;"Oui")</t>
        </r>
      </text>
    </comment>
    <comment ref="E8" authorId="1" shapeId="0">
      <text>
        <r>
          <rPr>
            <b/>
            <sz val="9"/>
            <color indexed="81"/>
            <rFont val="Tahoma"/>
            <family val="2"/>
          </rPr>
          <t>FAVERAIS Laurent:</t>
        </r>
        <r>
          <rPr>
            <sz val="9"/>
            <color indexed="81"/>
            <rFont val="Tahoma"/>
            <family val="2"/>
          </rPr>
          <t xml:space="preserve">
Formule à copier pour récupérer la valeur calculée par la partie 
=SOMME.SI.ENS('Surface DEET'!$F$9:$F$38;'Surface DEET'!$B$9:$B$38;"&lt;="&amp;Site!$B8;'Surface DEET'!$C$9:$C$38;"&gt;="&amp;Site!$B8;'Surface DEET'!$H$9:$H$38;"Oui")</t>
        </r>
      </text>
    </comment>
    <comment ref="H8" authorId="1" shapeId="0">
      <text>
        <r>
          <rPr>
            <b/>
            <sz val="9"/>
            <color indexed="81"/>
            <rFont val="Tahoma"/>
            <family val="2"/>
          </rPr>
          <t>FAVERAIS Laurent:</t>
        </r>
        <r>
          <rPr>
            <sz val="9"/>
            <color indexed="81"/>
            <rFont val="Tahoma"/>
            <family val="2"/>
          </rPr>
          <t xml:space="preserve">
Formule à copier pour récupérer la valeur calculée par la partie 
=SIERREUR(SOMME.SI.ENS('Surface DEET'!$X$9:$X$38;'Surface DEET'!$B$9:$B$38;"&lt;="&amp;Site!$B8;'Surface DEET'!$C$9:$C$38;"&gt;="&amp;Site!$B8)/C8;"")</t>
        </r>
      </text>
    </comment>
    <comment ref="C30" authorId="0" shapeId="0">
      <text>
        <r>
          <rPr>
            <sz val="9"/>
            <color indexed="81"/>
            <rFont val="Tahoma"/>
            <family val="2"/>
          </rPr>
          <t xml:space="preserve">Indiquez l'activité principale du site pour la comparaison avec les indicateurs régionaux </t>
        </r>
      </text>
    </comment>
    <comment ref="C37" authorId="0" shapeId="0">
      <text>
        <r>
          <rPr>
            <sz val="9"/>
            <color indexed="81"/>
            <rFont val="Tahoma"/>
            <family val="2"/>
          </rPr>
          <t xml:space="preserve">Indiquez un nom au compteur pour le reconnaitre dans les onglets "Suvi Compteur" et "Suivi Sous_compteur"
</t>
        </r>
      </text>
    </comment>
    <comment ref="I37" authorId="0" shapeId="0">
      <text>
        <r>
          <rPr>
            <sz val="9"/>
            <color indexed="81"/>
            <rFont val="Tahoma"/>
            <family val="2"/>
          </rPr>
          <t>Pour un remplissage automatique des dates, vous pouvez indiquer la première date de lecture du compteur ou de facturation ainsi que la fréquence 
Vous pouvez également supprimer le pré-remplissage et entrer les dates en particulier pour les combustibles stockables</t>
        </r>
      </text>
    </comment>
    <comment ref="B47" authorId="0" shapeId="0">
      <text>
        <r>
          <rPr>
            <b/>
            <sz val="9"/>
            <color indexed="81"/>
            <rFont val="Tahoma"/>
            <family val="2"/>
          </rPr>
          <t xml:space="preserve">Indiquez la station sélectionnée sur OPERAT:
</t>
        </r>
        <r>
          <rPr>
            <sz val="9"/>
            <color indexed="81"/>
            <rFont val="Tahoma"/>
            <family val="2"/>
          </rPr>
          <t>Détermine principalement l'ajustement climatique pour le Décret Tertiaire
L'altitude modifie les valeurs prises en compte pour la valeur Cabs calculée par défaut</t>
        </r>
      </text>
    </comment>
    <comment ref="C61" authorId="0" shapeId="0">
      <text>
        <r>
          <rPr>
            <sz val="9"/>
            <color indexed="81"/>
            <rFont val="Tahoma"/>
            <family val="2"/>
          </rPr>
          <t xml:space="preserve">L'onglet Choix DEET peut vous permettre de vérifier votre choix d'année de référence en considérant l'ajustement climatique.
</t>
        </r>
      </text>
    </comment>
    <comment ref="C63" authorId="1" shapeId="0">
      <text>
        <r>
          <rPr>
            <b/>
            <sz val="9"/>
            <color indexed="81"/>
            <rFont val="Tahoma"/>
            <family val="2"/>
          </rPr>
          <t>FAVERAIS Laurent:</t>
        </r>
        <r>
          <rPr>
            <sz val="9"/>
            <color indexed="81"/>
            <rFont val="Tahoma"/>
            <family val="2"/>
          </rPr>
          <t xml:space="preserve">
Valeur la plus favorable issue de vos données</t>
        </r>
      </text>
    </comment>
    <comment ref="C65" authorId="0" shapeId="0">
      <text>
        <r>
          <rPr>
            <sz val="9"/>
            <color indexed="81"/>
            <rFont val="Tahoma"/>
            <family val="2"/>
          </rPr>
          <t xml:space="preserve">Pour un calcul adéquat des indicateurs annuels, l'année doit être couverte du 1er janvier au 31 décembre </t>
        </r>
      </text>
    </comment>
    <comment ref="H73" authorId="1" shapeId="0">
      <text>
        <r>
          <rPr>
            <b/>
            <sz val="9"/>
            <color indexed="81"/>
            <rFont val="Tahoma"/>
            <family val="2"/>
          </rPr>
          <t>FAVERAIS Laurent:</t>
        </r>
        <r>
          <rPr>
            <sz val="9"/>
            <color indexed="81"/>
            <rFont val="Tahoma"/>
            <family val="2"/>
          </rPr>
          <t xml:space="preserve">
Valeur moyenne = 70% pour un EHPAD</t>
        </r>
      </text>
    </comment>
  </commentList>
</comments>
</file>

<file path=xl/comments3.xml><?xml version="1.0" encoding="utf-8"?>
<comments xmlns="http://schemas.openxmlformats.org/spreadsheetml/2006/main">
  <authors>
    <author>FAVERAIS Laurent</author>
  </authors>
  <commentList>
    <comment ref="P22" authorId="0" shapeId="0">
      <text>
        <r>
          <rPr>
            <b/>
            <sz val="9"/>
            <color indexed="81"/>
            <rFont val="Tahoma"/>
            <family val="2"/>
          </rPr>
          <t>FAVERAIS Laurent:</t>
        </r>
        <r>
          <rPr>
            <sz val="9"/>
            <color indexed="81"/>
            <rFont val="Tahoma"/>
            <family val="2"/>
          </rPr>
          <t xml:space="preserve">
Talon Thermique = conso estivale ramenée au mois et divisée la surface de l'établissement
</t>
        </r>
      </text>
    </comment>
    <comment ref="P27" authorId="0" shapeId="0">
      <text>
        <r>
          <rPr>
            <b/>
            <sz val="9"/>
            <color indexed="81"/>
            <rFont val="Tahoma"/>
            <family val="2"/>
          </rPr>
          <t>FAVERAIS Laurent:</t>
        </r>
        <r>
          <rPr>
            <sz val="9"/>
            <color indexed="81"/>
            <rFont val="Tahoma"/>
            <family val="2"/>
          </rPr>
          <t xml:space="preserve">
Talon Elec = cf valeur issue d'optiturpe et reportée dans onglet Compteur1
</t>
        </r>
      </text>
    </comment>
  </commentList>
</comments>
</file>

<file path=xl/comments4.xml><?xml version="1.0" encoding="utf-8"?>
<comments xmlns="http://schemas.openxmlformats.org/spreadsheetml/2006/main">
  <authors>
    <author>FAVERAIS Laurent</author>
  </authors>
  <commentList>
    <comment ref="J38" authorId="0" shapeId="0">
      <text>
        <r>
          <rPr>
            <b/>
            <sz val="9"/>
            <color indexed="81"/>
            <rFont val="Tahoma"/>
            <family val="2"/>
          </rPr>
          <t>FAVERAIS Laurent:</t>
        </r>
        <r>
          <rPr>
            <sz val="9"/>
            <color indexed="81"/>
            <rFont val="Tahoma"/>
            <family val="2"/>
          </rPr>
          <t xml:space="preserve">
3,7 = valeur issue de la moyenne des 20 talons de conso été des établissements Sarthois relevés sur 2024 et 2025</t>
        </r>
      </text>
    </comment>
    <comment ref="K38" authorId="0" shapeId="0">
      <text>
        <r>
          <rPr>
            <b/>
            <sz val="9"/>
            <color indexed="81"/>
            <rFont val="Tahoma"/>
            <family val="2"/>
          </rPr>
          <t>FAVERAIS Laurent:</t>
        </r>
        <r>
          <rPr>
            <sz val="9"/>
            <color indexed="81"/>
            <rFont val="Tahoma"/>
            <family val="2"/>
          </rPr>
          <t xml:space="preserve">
3,6 = valeur issue de la moyenne des 20 talons de conso été (Consos Estivale/12mois/surface totale) des établissements Sarthois relevés sur 2024 et 2025</t>
        </r>
      </text>
    </comment>
    <comment ref="I40" authorId="0" shapeId="0">
      <text>
        <r>
          <rPr>
            <b/>
            <sz val="9"/>
            <color indexed="81"/>
            <rFont val="Tahoma"/>
            <family val="2"/>
          </rPr>
          <t>FAVERAIS Laurent:</t>
        </r>
        <r>
          <rPr>
            <sz val="9"/>
            <color indexed="81"/>
            <rFont val="Tahoma"/>
            <family val="2"/>
          </rPr>
          <t xml:space="preserve">
Moyenne de 97 EHPAD ligériens (Surface OPERAT / Nb lit + place de jour)
En neuf, le Dpt essai de rester autour des 50m2 de SU/lit</t>
        </r>
      </text>
    </comment>
  </commentList>
</comments>
</file>

<file path=xl/comments5.xml><?xml version="1.0" encoding="utf-8"?>
<comments xmlns="http://schemas.openxmlformats.org/spreadsheetml/2006/main">
  <authors>
    <author>FAVERAIS Laurent</author>
    <author>ANKOU Mel</author>
  </authors>
  <commentList>
    <comment ref="H4" authorId="0" shapeId="0">
      <text>
        <r>
          <rPr>
            <b/>
            <sz val="9"/>
            <color indexed="81"/>
            <rFont val="Tahoma"/>
            <family val="2"/>
          </rPr>
          <t>FAVERAIS Laurent:</t>
        </r>
        <r>
          <rPr>
            <sz val="9"/>
            <color indexed="81"/>
            <rFont val="Tahoma"/>
            <family val="2"/>
          </rPr>
          <t xml:space="preserve">
Contient la consommation de chaleur, déduite de la consommation estivale (ECS+Cuisson) si celle-ci est disponible</t>
        </r>
      </text>
    </comment>
    <comment ref="R4" authorId="0" shapeId="0">
      <text>
        <r>
          <rPr>
            <b/>
            <sz val="9"/>
            <color indexed="81"/>
            <rFont val="Tahoma"/>
            <family val="2"/>
          </rPr>
          <t>FAVERAIS Laurent:</t>
        </r>
        <r>
          <rPr>
            <sz val="9"/>
            <color indexed="81"/>
            <rFont val="Tahoma"/>
            <family val="2"/>
          </rPr>
          <t xml:space="preserve">
Contient la consommation de chaleur, déduite de la consommation estivale (ECS+Cuisson) si celle-ci est disponible</t>
        </r>
      </text>
    </comment>
    <comment ref="AB4" authorId="0" shapeId="0">
      <text>
        <r>
          <rPr>
            <b/>
            <sz val="9"/>
            <color indexed="81"/>
            <rFont val="Tahoma"/>
            <family val="2"/>
          </rPr>
          <t>FAVERAIS Laurent:</t>
        </r>
        <r>
          <rPr>
            <sz val="9"/>
            <color indexed="81"/>
            <rFont val="Tahoma"/>
            <family val="2"/>
          </rPr>
          <t xml:space="preserve">
Contient la consommation de chaleur, déduite de la consommation estivale (ECS+Cuisson) si celle-ci est disponible</t>
        </r>
      </text>
    </comment>
    <comment ref="AL4" authorId="0" shapeId="0">
      <text>
        <r>
          <rPr>
            <b/>
            <sz val="9"/>
            <color indexed="81"/>
            <rFont val="Tahoma"/>
            <family val="2"/>
          </rPr>
          <t>FAVERAIS Laurent:</t>
        </r>
        <r>
          <rPr>
            <sz val="9"/>
            <color indexed="81"/>
            <rFont val="Tahoma"/>
            <family val="2"/>
          </rPr>
          <t xml:space="preserve">
Contient la consommation de chaleur, déduite de la consommation estivale (ECS+Cuisson) si celle-ci est disponible</t>
        </r>
      </text>
    </comment>
    <comment ref="AV4" authorId="0" shapeId="0">
      <text>
        <r>
          <rPr>
            <b/>
            <sz val="9"/>
            <color indexed="81"/>
            <rFont val="Tahoma"/>
            <family val="2"/>
          </rPr>
          <t>FAVERAIS Laurent:</t>
        </r>
        <r>
          <rPr>
            <sz val="9"/>
            <color indexed="81"/>
            <rFont val="Tahoma"/>
            <family val="2"/>
          </rPr>
          <t xml:space="preserve">
Contient la consommation de chaleur, déduite de la consommation estivale (ECS+Cuisson) si celle-ci est disponible</t>
        </r>
      </text>
    </comment>
    <comment ref="BF4" authorId="0" shapeId="0">
      <text>
        <r>
          <rPr>
            <b/>
            <sz val="9"/>
            <color indexed="81"/>
            <rFont val="Tahoma"/>
            <family val="2"/>
          </rPr>
          <t>FAVERAIS Laurent:</t>
        </r>
        <r>
          <rPr>
            <sz val="9"/>
            <color indexed="81"/>
            <rFont val="Tahoma"/>
            <family val="2"/>
          </rPr>
          <t xml:space="preserve">
Contient la consommation de chaleur, déduite de la consommation estivale (ECS+Cuisson) si celle-ci est disponible</t>
        </r>
      </text>
    </comment>
    <comment ref="D29" authorId="1" shapeId="0">
      <text>
        <r>
          <rPr>
            <b/>
            <sz val="9"/>
            <color indexed="81"/>
            <rFont val="Tahoma"/>
            <family val="2"/>
          </rPr>
          <t>ANKOU Mel:</t>
        </r>
        <r>
          <rPr>
            <sz val="9"/>
            <color indexed="81"/>
            <rFont val="Tahoma"/>
            <family val="2"/>
          </rPr>
          <t xml:space="preserve">
Donnée échangée avec celle de Nov</t>
        </r>
      </text>
    </comment>
    <comment ref="F36" authorId="0" shapeId="0">
      <text>
        <r>
          <rPr>
            <b/>
            <sz val="9"/>
            <color indexed="81"/>
            <rFont val="Tahoma"/>
            <family val="2"/>
          </rPr>
          <t>FAVERAIS Laurent:</t>
        </r>
        <r>
          <rPr>
            <sz val="9"/>
            <color indexed="81"/>
            <rFont val="Tahoma"/>
            <family val="2"/>
          </rPr>
          <t xml:space="preserve">
</t>
        </r>
        <r>
          <rPr>
            <sz val="11"/>
            <color indexed="81"/>
            <rFont val="Tahoma"/>
            <family val="2"/>
          </rPr>
          <t>mettre les valeurs annuelles sur la ligne 2</t>
        </r>
      </text>
    </comment>
  </commentList>
</comments>
</file>

<file path=xl/comments6.xml><?xml version="1.0" encoding="utf-8"?>
<comments xmlns="http://schemas.openxmlformats.org/spreadsheetml/2006/main">
  <authors>
    <author>Fabien Rouault</author>
    <author>FAVERAIS Laurent</author>
  </authors>
  <commentList>
    <comment ref="K1" authorId="0" shapeId="0">
      <text>
        <r>
          <rPr>
            <sz val="9"/>
            <color indexed="81"/>
            <rFont val="Tahoma"/>
            <family val="2"/>
          </rPr>
          <t xml:space="preserve">Indiquez un nom au compteur dans l'onglet "SITE" pour le reconnaitre dans les onglets "Suvi Compteur" et "Suivi Sous_compteur"...
</t>
        </r>
      </text>
    </comment>
    <comment ref="K2" authorId="0" shapeId="0">
      <text>
        <r>
          <rPr>
            <sz val="9"/>
            <color indexed="81"/>
            <rFont val="Tahoma"/>
            <family val="2"/>
          </rPr>
          <t xml:space="preserve">Indiquez un nom au compteur dans l'onglet "SITE" pour le reconnaitre dans les onglets "Suvi Compteur" et "Suivi Sous_compteur"...
</t>
        </r>
      </text>
    </comment>
    <comment ref="L10" authorId="1" shapeId="0">
      <text>
        <r>
          <rPr>
            <b/>
            <sz val="9"/>
            <color indexed="81"/>
            <rFont val="Tahoma"/>
            <family val="2"/>
          </rPr>
          <t>FAVERAIS Laurent:</t>
        </r>
        <r>
          <rPr>
            <sz val="9"/>
            <color indexed="81"/>
            <rFont val="Tahoma"/>
            <family val="2"/>
          </rPr>
          <t xml:space="preserve">
Consommation minimum annuelle atteinte au plus petit pas de temps disponible selon les données ENEDIS (5, 10 ou 30 min)
Cette valeur peut être obtenue grâce à l'outil Optitupe, lien via le bouton vert de cette page.  </t>
        </r>
      </text>
    </comment>
  </commentList>
</comments>
</file>

<file path=xl/comments7.xml><?xml version="1.0" encoding="utf-8"?>
<comments xmlns="http://schemas.openxmlformats.org/spreadsheetml/2006/main">
  <authors>
    <author>Fabien Rouault</author>
  </authors>
  <commentList>
    <comment ref="K1" authorId="0" shapeId="0">
      <text>
        <r>
          <rPr>
            <sz val="9"/>
            <color indexed="81"/>
            <rFont val="Tahoma"/>
            <family val="2"/>
          </rPr>
          <t xml:space="preserve">Indiquez un nom au compteur dans l'onglet "SITE" pour le reconnaitre dans les onglets "Suvi Compteur" et "Suivi Sous_compteur"...
</t>
        </r>
      </text>
    </comment>
    <comment ref="K2" authorId="0" shapeId="0">
      <text>
        <r>
          <rPr>
            <sz val="9"/>
            <color indexed="81"/>
            <rFont val="Tahoma"/>
            <family val="2"/>
          </rPr>
          <t xml:space="preserve">Indiquez un nom au compteur dans l'onglet "SITE" pour le reconnaitre dans les onglets "Suvi Compteur" et "Suivi Sous_compteur"...
</t>
        </r>
      </text>
    </comment>
  </commentList>
</comments>
</file>

<file path=xl/comments8.xml><?xml version="1.0" encoding="utf-8"?>
<comments xmlns="http://schemas.openxmlformats.org/spreadsheetml/2006/main">
  <authors>
    <author>Fabien Rouault</author>
  </authors>
  <commentList>
    <comment ref="K1" authorId="0" shapeId="0">
      <text>
        <r>
          <rPr>
            <sz val="9"/>
            <color indexed="81"/>
            <rFont val="Tahoma"/>
            <family val="2"/>
          </rPr>
          <t xml:space="preserve">Indiquez un nom au compteur dans l'onglet "SITE" pour le reconnaitre dans les onglets "Suvi Compteur" et "Suivi Sous_compteur"...
</t>
        </r>
      </text>
    </comment>
    <comment ref="K2" authorId="0" shapeId="0">
      <text>
        <r>
          <rPr>
            <sz val="9"/>
            <color indexed="81"/>
            <rFont val="Tahoma"/>
            <family val="2"/>
          </rPr>
          <t xml:space="preserve">Indiquez un nom au compteur dans l'onglet "SITE" pour le reconnaitre dans les onglets "Suvi Compteur" et "Suivi Sous_compteur"...
</t>
        </r>
      </text>
    </comment>
  </commentList>
</comments>
</file>

<file path=xl/comments9.xml><?xml version="1.0" encoding="utf-8"?>
<comments xmlns="http://schemas.openxmlformats.org/spreadsheetml/2006/main">
  <authors>
    <author>Fabien Rouault</author>
  </authors>
  <commentList>
    <comment ref="K1" authorId="0" shapeId="0">
      <text>
        <r>
          <rPr>
            <sz val="9"/>
            <color indexed="81"/>
            <rFont val="Tahoma"/>
            <family val="2"/>
          </rPr>
          <t xml:space="preserve">Indiquez un nom au compteur dans l'onglet "SITE" pour le reconnaitre dans les onglets "Suvi Compteur" et "Suivi Sous_compteur"...
</t>
        </r>
      </text>
    </comment>
    <comment ref="K2" authorId="0" shapeId="0">
      <text>
        <r>
          <rPr>
            <sz val="9"/>
            <color indexed="81"/>
            <rFont val="Tahoma"/>
            <family val="2"/>
          </rPr>
          <t xml:space="preserve">Indiquez un nom au compteur dans l'onglet "SITE" pour le reconnaitre dans les onglets "Suvi Compteur" et "Suivi Sous_compteur"...
</t>
        </r>
      </text>
    </comment>
  </commentList>
</comments>
</file>

<file path=xl/connections.xml><?xml version="1.0" encoding="utf-8"?>
<connections xmlns="http://schemas.openxmlformats.org/spreadsheetml/2006/main">
  <connection id="1" keepAlive="1" name="Requête - Tab_Compteur_2" description="Connexion à la requête « Tab_Compteur_2 » dans le classeur." type="5" refreshedVersion="0" background="1">
    <dbPr connection="Provider=Microsoft.Mashup.OleDb.1;Data Source=$Workbook$;Location=Tab_Compteur_2;Extended Properties=&quot;&quot;" command="SELECT * FROM [Tab_Compteur_2]"/>
  </connection>
  <connection id="2" keepAlive="1" name="Requête - Tab_Compteur_3" description="Connexion à la requête « Tab_Compteur_3 » dans le classeur." type="5" refreshedVersion="0" background="1">
    <dbPr connection="Provider=Microsoft.Mashup.OleDb.1;Data Source=$Workbook$;Location=Tab_Compteur_3;Extended Properties=&quot;&quot;" command="SELECT * FROM [Tab_Compteur_3]"/>
  </connection>
  <connection id="3" keepAlive="1" name="Requête - Tab_Compteur_4" description="Connexion à la requête « Tab_Compteur_4 » dans le classeur." type="5" refreshedVersion="0" background="1">
    <dbPr connection="Provider=Microsoft.Mashup.OleDb.1;Data Source=$Workbook$;Location=Tab_Compteur_4;Extended Properties=&quot;&quot;" command="SELECT * FROM [Tab_Compteur_4]"/>
  </connection>
  <connection id="4" keepAlive="1" name="Requête - Tab_Compteur_5" description="Connexion à la requête « Tab_Compteur_5 » dans le classeur." type="5" refreshedVersion="0" background="1">
    <dbPr connection="Provider=Microsoft.Mashup.OleDb.1;Data Source=$Workbook$;Location=Tab_Compteur_5;Extended Properties=&quot;&quot;" command="SELECT * FROM [Tab_Compteur_5]"/>
  </connection>
  <connection id="5" keepAlive="1" name="Requête - Tab_Compteur_6" description="Connexion à la requête « Tab_Compteur_6 » dans le classeur." type="5" refreshedVersion="0" background="1">
    <dbPr connection="Provider=Microsoft.Mashup.OleDb.1;Data Source=$Workbook$;Location=Tab_Compteur_6;Extended Properties=&quot;&quot;" command="SELECT * FROM [Tab_Compteur_6]"/>
  </connection>
  <connection id="6" keepAlive="1" name="Requête - Tab_Compteur_7" description="Connexion à la requête « Tab_Compteur_7 » dans le classeur." type="5" refreshedVersion="0" background="1">
    <dbPr connection="Provider=Microsoft.Mashup.OleDb.1;Data Source=$Workbook$;Location=Tab_Compteur_7;Extended Properties=&quot;&quot;" command="SELECT * FROM [Tab_Compteur_7]"/>
  </connection>
  <connection id="7" keepAlive="1" name="Requête - Tab_Compteur_8" description="Connexion à la requête « Tab_Compteur_8 » dans le classeur." type="5" refreshedVersion="0" background="1">
    <dbPr connection="Provider=Microsoft.Mashup.OleDb.1;Data Source=$Workbook$;Location=Tab_Compteur_8;Extended Properties=&quot;&quot;" command="SELECT * FROM [Tab_Compteur_8]"/>
  </connection>
  <connection id="8" name="Requête - Tab_concat" description="Connexion à la requête « Tab_concat » dans le classeur." type="100" refreshedVersion="7" minRefreshableVersion="5">
    <extLst>
      <ext xmlns:x15="http://schemas.microsoft.com/office/spreadsheetml/2010/11/main" uri="{DE250136-89BD-433C-8126-D09CA5730AF9}">
        <x15:connection id="cae3b230-15c6-43d9-809b-58218ae4aee4"/>
      </ext>
    </extLst>
  </connection>
  <connection id="9" keepAlive="1" name="Requête - Tableau9" description="Connexion à la requête « Tableau9 » dans le classeur." type="5" refreshedVersion="0" background="1">
    <dbPr connection="Provider=Microsoft.Mashup.OleDb.1;Data Source=$Workbook$;Location=Tableau9;Extended Properties=&quot;&quot;" command="SELECT * FROM [Tableau9]"/>
  </connection>
  <connection id="10" name="Tableau16" type="102" refreshedVersion="7" minRefreshableVersion="5" saveData="1">
    <extLst>
      <ext xmlns:x15="http://schemas.microsoft.com/office/spreadsheetml/2010/11/main" uri="{DE250136-89BD-433C-8126-D09CA5730AF9}">
        <x15:connection id="Tableau16">
          <x15:rangePr sourceName="_xlcn.Tableau161"/>
        </x15:connection>
      </ext>
    </extLst>
  </connection>
  <connection id="11" keepAlive="1" name="ThisWorkbookDataModel" description="Modèle de données"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2" name="WorksheetConnection_TB_Energie_Eau_1.999_Vierge_LMS.xlsx!Tableau_annees" type="102" refreshedVersion="7" minRefreshableVersion="5">
    <extLst>
      <ext xmlns:x15="http://schemas.microsoft.com/office/spreadsheetml/2010/11/main" uri="{DE250136-89BD-433C-8126-D09CA5730AF9}">
        <x15:connection id="Tableau_annees">
          <x15:rangePr sourceName="_xlcn.WorksheetConnection_TB_Energie_Eau_1.999_Vierge_LMS.xlsxTableau_annees1"/>
        </x15:connection>
      </ext>
    </extLst>
  </connection>
  <connection id="13" name="WorksheetConnection_TB_Energie_Eau_1.999_Vierge_LMS.xlsx!Tableau_combustible" type="102" refreshedVersion="7" minRefreshableVersion="5">
    <extLst>
      <ext xmlns:x15="http://schemas.microsoft.com/office/spreadsheetml/2010/11/main" uri="{DE250136-89BD-433C-8126-D09CA5730AF9}">
        <x15:connection id="Tableau_combustible">
          <x15:rangePr sourceName="_xlcn.WorksheetConnection_TB_Energie_Eau_1.999_Vierge_LMS.xlsxTableau_combustible1"/>
        </x15:connection>
      </ext>
    </extLst>
  </connection>
  <connection id="14" name="WorksheetConnection_TB_Energie_Eau_1.999_Vierge_LMS.xlsx!Tableau_mois" type="102" refreshedVersion="7" minRefreshableVersion="5">
    <extLst>
      <ext xmlns:x15="http://schemas.microsoft.com/office/spreadsheetml/2010/11/main" uri="{DE250136-89BD-433C-8126-D09CA5730AF9}">
        <x15:connection id="Tableau_mois">
          <x15:rangePr sourceName="_xlcn.WorksheetConnection_TB_Energie_Eau_1.999_Vierge_LMS.xlsxTableau_mois1"/>
        </x15:connection>
      </ext>
    </extLst>
  </connection>
  <connection id="15" name="WorksheetConnection_TB_Energie_Eau_1.999_Vierge_LMS.xlsx!Tableau_source" type="102" refreshedVersion="7" minRefreshableVersion="5">
    <extLst>
      <ext xmlns:x15="http://schemas.microsoft.com/office/spreadsheetml/2010/11/main" uri="{DE250136-89BD-433C-8126-D09CA5730AF9}">
        <x15:connection id="Tableau_source">
          <x15:rangePr sourceName="_xlcn.WorksheetConnection_TB_Energie_Eau_1.999_Vierge_LMS.xlsxTableau_source1"/>
        </x15:connection>
      </ext>
    </extLst>
  </connection>
  <connection id="16" name="WorksheetConnection_TB_Energie_Eau_1.999_Vierge_LMS.xlsx!Tableau_usage" type="102" refreshedVersion="7" minRefreshableVersion="5">
    <extLst>
      <ext xmlns:x15="http://schemas.microsoft.com/office/spreadsheetml/2010/11/main" uri="{DE250136-89BD-433C-8126-D09CA5730AF9}">
        <x15:connection id="Tableau_usage">
          <x15:rangePr sourceName="_xlcn.WorksheetConnection_TB_Energie_Eau_1.999_Vierge_LMS.xlsxTableau_usage1"/>
        </x15:connection>
      </ext>
    </extLst>
  </connection>
  <connection id="17" name="WorksheetConnection_TB_Energie_Eau_1.999_Vierge_LMS.xlsx!Tableau14" type="102" refreshedVersion="7" minRefreshableVersion="5">
    <extLst>
      <ext xmlns:x15="http://schemas.microsoft.com/office/spreadsheetml/2010/11/main" uri="{DE250136-89BD-433C-8126-D09CA5730AF9}">
        <x15:connection id="Tableau14">
          <x15:rangePr sourceName="_xlcn.WorksheetConnection_TB_Energie_Eau_1.999_Vierge_LMS.xlsxTableau141"/>
        </x15:connection>
      </ext>
    </extLst>
  </connection>
</connections>
</file>

<file path=xl/metadata.xml><?xml version="1.0" encoding="utf-8"?>
<metadata xmlns="http://schemas.openxmlformats.org/spreadsheetml/2006/main">
  <metadataTypes count="2">
    <metadataType name="XLMDX"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metadataStrings count="13">
    <s v="ThisWorkbookDataModel"/>
    <s v="{[Tab_concat].[Source].[All]}"/>
    <s v="{[Tab_concat].[Mois].[All]}"/>
    <s v="{[Tab_concat].[Type].[All]}"/>
    <s v="{[Tab_concat].[Nom].[All]}"/>
    <s v="{[Tableau_source].[Source].&amp;[Eau]}"/>
    <s v="{[Tableau_type].[Type].&amp;[Consommation]}"/>
    <s v="{[Tab_concat].[Annee].&amp;[2025]}"/>
    <s v="{[Tab_concat].[Dates (année)].&amp;[2025]}"/>
    <s v="{[Tab_concat].[Nom].&amp;[Elec général]}"/>
    <s v="{[Tab_concat].[Nom].&amp;[Gaz général]}"/>
    <s v="{[Tableau16].[Nom].&amp;[Gaz général]}"/>
    <s v="[Tableau16].[Nom].&amp;[Gaz général]"/>
  </metadataStrings>
  <mdxMetadata count="12">
    <mdx n="0" f="s">
      <ms ns="1" c="0"/>
    </mdx>
    <mdx n="0" f="s">
      <ms ns="2" c="0"/>
    </mdx>
    <mdx n="0" f="s">
      <ms ns="3" c="0"/>
    </mdx>
    <mdx n="0" f="s">
      <ms ns="4" c="0"/>
    </mdx>
    <mdx n="0" f="s">
      <ms ns="5" c="0"/>
    </mdx>
    <mdx n="0" f="s">
      <ms ns="6" c="0"/>
    </mdx>
    <mdx n="0" f="s">
      <ms ns="7" c="0"/>
    </mdx>
    <mdx n="0" f="s">
      <ms ns="8" c="0"/>
    </mdx>
    <mdx n="0" f="s">
      <ms ns="9" c="0"/>
    </mdx>
    <mdx n="0" f="s">
      <ms ns="10" c="0"/>
    </mdx>
    <mdx n="0" f="s">
      <ms ns="11" c="0"/>
    </mdx>
    <mdx n="0" f="r">
      <t c="1">
        <n x="12"/>
      </t>
    </mdx>
  </mdxMetadata>
  <futureMetadata name="XLDAPR" count="1">
    <bk>
      <extLst>
        <ext xmlns:xda="http://schemas.microsoft.com/office/spreadsheetml/2017/dynamicarray" uri="{bdbb8cdc-fa1e-496e-a857-3c3f30c029c3}">
          <xda:dynamicArrayProperties fDynamic="1" fCollapsed="0"/>
        </ext>
      </extLst>
    </bk>
  </futureMetadata>
  <cellMetadata count="1">
    <bk>
      <rc t="2" v="0"/>
    </bk>
  </cellMetadata>
  <valueMetadata count="12">
    <bk>
      <rc t="1" v="0"/>
    </bk>
    <bk>
      <rc t="1" v="1"/>
    </bk>
    <bk>
      <rc t="1" v="2"/>
    </bk>
    <bk>
      <rc t="1" v="3"/>
    </bk>
    <bk>
      <rc t="1" v="4"/>
    </bk>
    <bk>
      <rc t="1" v="5"/>
    </bk>
    <bk>
      <rc t="1" v="6"/>
    </bk>
    <bk>
      <rc t="1" v="7"/>
    </bk>
    <bk>
      <rc t="1" v="8"/>
    </bk>
    <bk>
      <rc t="1" v="9"/>
    </bk>
    <bk>
      <rc t="1" v="10"/>
    </bk>
    <bk>
      <rc t="1" v="11"/>
    </bk>
  </valueMetadata>
</metadata>
</file>

<file path=xl/sharedStrings.xml><?xml version="1.0" encoding="utf-8"?>
<sst xmlns="http://schemas.openxmlformats.org/spreadsheetml/2006/main" count="4643" uniqueCount="1075">
  <si>
    <t xml:space="preserve">Nom du site : </t>
  </si>
  <si>
    <t>Bâtiment et Activité</t>
  </si>
  <si>
    <t xml:space="preserve">Version : </t>
  </si>
  <si>
    <t>Surfaces</t>
  </si>
  <si>
    <t>Accueil</t>
  </si>
  <si>
    <t>Données OPERAT</t>
  </si>
  <si>
    <t>Evénements dans la vie du site</t>
  </si>
  <si>
    <t>Année</t>
  </si>
  <si>
    <t>Totale- m²</t>
  </si>
  <si>
    <t>Chauffée - m²</t>
  </si>
  <si>
    <t>Refroidie - m²</t>
  </si>
  <si>
    <t xml:space="preserve">Lits </t>
  </si>
  <si>
    <t>Places de jour</t>
  </si>
  <si>
    <t>Cabs</t>
  </si>
  <si>
    <t xml:space="preserve">Activité principal du site : </t>
  </si>
  <si>
    <t xml:space="preserve">Fonctionnement du site : </t>
  </si>
  <si>
    <t>Nombre de places de parking :</t>
  </si>
  <si>
    <t>Comptage energie et eau</t>
  </si>
  <si>
    <t>Compteur/ Livraison</t>
  </si>
  <si>
    <t>Nom</t>
  </si>
  <si>
    <t>Type</t>
  </si>
  <si>
    <t>Source</t>
  </si>
  <si>
    <t>Detail usage</t>
  </si>
  <si>
    <t>Combustible (Seulement Conso)</t>
  </si>
  <si>
    <t>Type de données saisies</t>
  </si>
  <si>
    <t>Compteur 1</t>
  </si>
  <si>
    <t>Consommation</t>
  </si>
  <si>
    <t>Electricité</t>
  </si>
  <si>
    <t>Elec_Général</t>
  </si>
  <si>
    <t>Electricité (kWh)</t>
  </si>
  <si>
    <t>Compteur 2</t>
  </si>
  <si>
    <t>Chaleur</t>
  </si>
  <si>
    <t>ECS et Chauffage</t>
  </si>
  <si>
    <t>Fioul domestique (litres)</t>
  </si>
  <si>
    <t>Compteur 3</t>
  </si>
  <si>
    <t>Eau</t>
  </si>
  <si>
    <t>General EF</t>
  </si>
  <si>
    <t>Eau (m3)</t>
  </si>
  <si>
    <t>Compteur 4</t>
  </si>
  <si>
    <t>Compteur 5</t>
  </si>
  <si>
    <t>Compteur 6</t>
  </si>
  <si>
    <t>Compteur 7</t>
  </si>
  <si>
    <t>Compteur 8</t>
  </si>
  <si>
    <t xml:space="preserve">Données Climatiques </t>
  </si>
  <si>
    <t xml:space="preserve">Altitude du site : </t>
  </si>
  <si>
    <t>Suivi Dispositif Eco Energie Tertiaire</t>
  </si>
  <si>
    <t xml:space="preserve">Usages de l'énergie thermique </t>
  </si>
  <si>
    <t>Séparer le chauffage des autres usages :</t>
  </si>
  <si>
    <t xml:space="preserve">Année de référence choisie : </t>
  </si>
  <si>
    <t xml:space="preserve">Dernière année déclarée : </t>
  </si>
  <si>
    <t xml:space="preserve">Si oui indiquez % chauffage : </t>
  </si>
  <si>
    <t>%</t>
  </si>
  <si>
    <t>Indiquez un nombre entre 1 et 100 seulement si vous souhaitez forcer la part chauffage</t>
  </si>
  <si>
    <t>Régime TVA</t>
  </si>
  <si>
    <t>régime TVA appliqué :</t>
  </si>
  <si>
    <t xml:space="preserve">Pour communiquer les resultats, les différents onglets sont imprimables en orientation paysage. Pour la planète, Préférez une impression au format numérique .pdf. Les onglets des tableaux de bord correspondent aux 10 premières pages </t>
  </si>
  <si>
    <t xml:space="preserve">Station météo : </t>
  </si>
  <si>
    <t xml:space="preserve"> </t>
  </si>
  <si>
    <t>Dernière année déclarée :</t>
  </si>
  <si>
    <t xml:space="preserve">Année de référence: </t>
  </si>
  <si>
    <t>Sélectionnez l'année à déclarer</t>
  </si>
  <si>
    <t>Si et seulement si les données saisies sont bien celles de vos factures, 
vous pouvez utiliser ce tableau pour la saisie OPERAT :</t>
  </si>
  <si>
    <t>Sélectionnez l'année dans le tableau de droite et reportez vos consommations :</t>
  </si>
  <si>
    <t>https://operat.ademe.fr/#/public/signin</t>
  </si>
  <si>
    <t>Étiquettes de lignes</t>
  </si>
  <si>
    <t>Année 1</t>
  </si>
  <si>
    <t>Correction DJU</t>
  </si>
  <si>
    <t>Année 2</t>
  </si>
  <si>
    <t>Mois</t>
  </si>
  <si>
    <t>nom mois</t>
  </si>
  <si>
    <t>Conso</t>
  </si>
  <si>
    <t>DJU</t>
  </si>
  <si>
    <t>DJU Moyen</t>
  </si>
  <si>
    <t>janv</t>
  </si>
  <si>
    <t>Étiquettes de colonnes</t>
  </si>
  <si>
    <t>Le Mans</t>
  </si>
  <si>
    <t>(vide)</t>
  </si>
  <si>
    <t>mars</t>
  </si>
  <si>
    <t>Somme de DJU(chauffagiste)</t>
  </si>
  <si>
    <t>avr</t>
  </si>
  <si>
    <t>mai</t>
  </si>
  <si>
    <t>juin</t>
  </si>
  <si>
    <t>juil</t>
  </si>
  <si>
    <t>sept</t>
  </si>
  <si>
    <t>oct</t>
  </si>
  <si>
    <t>nov</t>
  </si>
  <si>
    <t>Total général</t>
  </si>
  <si>
    <t>L'usage de cet onglet nécessite le renseignement des données de comptage mensuelles ou de chaque livraison pour les combustibles stockables.</t>
  </si>
  <si>
    <t>Si toute les sources d'énergie n'apparaissent pas, vérifiez en cliquant sur le boutont "Combustible" du graphique ainsi que la période sélectionnée</t>
  </si>
  <si>
    <t>Information compteur :</t>
  </si>
  <si>
    <t>Combustible</t>
  </si>
  <si>
    <t>Sous_comptage</t>
  </si>
  <si>
    <t>Colonne1</t>
  </si>
  <si>
    <t xml:space="preserve">Combustible </t>
  </si>
  <si>
    <t>Sous_comptage_Chaleur</t>
  </si>
  <si>
    <t>Sous_comptage_elec</t>
  </si>
  <si>
    <t>Sous_comptage_eau</t>
  </si>
  <si>
    <t>Information sous-compteur :</t>
  </si>
  <si>
    <t>Mise en forme pour fichier PENSEE</t>
  </si>
  <si>
    <t>Données de l'onglet "Suivi DEET", influencées par Cabs et légèrement différentes des données de l'onglet "Synthèse"</t>
  </si>
  <si>
    <t>Année de référence choisie</t>
  </si>
  <si>
    <t>Surface année de référence</t>
  </si>
  <si>
    <t>Consommation thermique - kWh 
PCI</t>
  </si>
  <si>
    <t>Consommation électrique - kWh</t>
  </si>
  <si>
    <t>Consommation eau froide - m3</t>
  </si>
  <si>
    <t>kWh(DJU) / m²</t>
  </si>
  <si>
    <t>kWh(ECS) / m²</t>
  </si>
  <si>
    <t>kWh thermique / m²</t>
  </si>
  <si>
    <t>kWh électrique / m²</t>
  </si>
  <si>
    <t>L eau / jour / lit</t>
  </si>
  <si>
    <t>Surface année 2021</t>
  </si>
  <si>
    <t>Surface année 2022</t>
  </si>
  <si>
    <t>Surface année 2023</t>
  </si>
  <si>
    <t>Surface année 2024</t>
  </si>
  <si>
    <t>Attention le calcul imposé par le décret applique une part de DJU sur l'élec</t>
  </si>
  <si>
    <t xml:space="preserve">Table de conversion </t>
  </si>
  <si>
    <t>Cette table de conversion permet de passer de l'ancien au nouveau fichier de Suivi Energie</t>
  </si>
  <si>
    <t>Si vous n'avez des données annuelles, les saisir sur la première ligne</t>
  </si>
  <si>
    <t>Si vous avez des données complètes, copier/coller vos données ci-dessous</t>
  </si>
  <si>
    <t>Puis faites un Copier/Coller "Valeur" de vos données (fond vert) dans l'onglet "Compteur_X" choisi, en fonction de la périodicité souhaitée</t>
  </si>
  <si>
    <t>Janvier ou
Données Annuelles</t>
  </si>
  <si>
    <t>Février</t>
  </si>
  <si>
    <t>Mars</t>
  </si>
  <si>
    <t>Avril</t>
  </si>
  <si>
    <t>Mai</t>
  </si>
  <si>
    <t>Juin</t>
  </si>
  <si>
    <t>Juillet</t>
  </si>
  <si>
    <t>Août</t>
  </si>
  <si>
    <t>Septembre</t>
  </si>
  <si>
    <t>Octobre</t>
  </si>
  <si>
    <t>Novembre</t>
  </si>
  <si>
    <t>Décembre</t>
  </si>
  <si>
    <t>Valeurs Bases mensuelles</t>
  </si>
  <si>
    <t>Valeurs Bases annuelles</t>
  </si>
  <si>
    <t>Valeurs Base semestrielle</t>
  </si>
  <si>
    <t>Zone climatique</t>
  </si>
  <si>
    <t>Altitude</t>
  </si>
  <si>
    <t>Production</t>
  </si>
  <si>
    <t>Process</t>
  </si>
  <si>
    <t>Photovolaïque</t>
  </si>
  <si>
    <t>Cogénération</t>
  </si>
  <si>
    <t>Collecteurs_solaires</t>
  </si>
  <si>
    <t>Type de combustilbe</t>
  </si>
  <si>
    <t>H1a</t>
  </si>
  <si>
    <t>Altitude &lt; 400 m</t>
  </si>
  <si>
    <t>ECS seule</t>
  </si>
  <si>
    <t>Cuisine</t>
  </si>
  <si>
    <t>Bois - Plaquettes (tonnes)</t>
  </si>
  <si>
    <t>PV_autoconsommé</t>
  </si>
  <si>
    <t>Cogé_elec_autoconsomée</t>
  </si>
  <si>
    <t>ECS_solaire</t>
  </si>
  <si>
    <t xml:space="preserve">Chauffage </t>
  </si>
  <si>
    <t>Borne_IRVE</t>
  </si>
  <si>
    <t>Sous-comptage EF</t>
  </si>
  <si>
    <t>Sources d'énergie</t>
  </si>
  <si>
    <t>PCI</t>
  </si>
  <si>
    <t>PCI_DEET</t>
  </si>
  <si>
    <t xml:space="preserve"> Emissions
KgCO2/kWh PCI</t>
  </si>
  <si>
    <t>Rapport
PCS/PCI</t>
  </si>
  <si>
    <t>Evol. prix de l'énergie</t>
  </si>
  <si>
    <t>H1b</t>
  </si>
  <si>
    <t>Altitude 400 à 800 m</t>
  </si>
  <si>
    <t>Chauffage seul</t>
  </si>
  <si>
    <t>Laverie</t>
  </si>
  <si>
    <t>Bois - Granulés (tonnes)</t>
  </si>
  <si>
    <t>Comptage récupération</t>
  </si>
  <si>
    <t>PV_revente</t>
  </si>
  <si>
    <t>Cogé_elec_revendue</t>
  </si>
  <si>
    <t>ECS</t>
  </si>
  <si>
    <t>Sous-comptage Climatisation</t>
  </si>
  <si>
    <t>Sous-comptage ECS</t>
  </si>
  <si>
    <t>kWh par tonne</t>
  </si>
  <si>
    <t>H1c</t>
  </si>
  <si>
    <t>Altitude 800 à 1200 m</t>
  </si>
  <si>
    <t>Bois - Bûches (stères)</t>
  </si>
  <si>
    <t>Cogé_chaleur</t>
  </si>
  <si>
    <t>Sous-comptage_Zone</t>
  </si>
  <si>
    <t>Sous-comptage Arrosage</t>
  </si>
  <si>
    <t>H2a</t>
  </si>
  <si>
    <t>Altitude 1200 m -1600m</t>
  </si>
  <si>
    <t>ECS, Chauffage et Cuisson</t>
  </si>
  <si>
    <t>Gaz naturel (kWh)</t>
  </si>
  <si>
    <t>kWh par stère</t>
  </si>
  <si>
    <t>H2b</t>
  </si>
  <si>
    <t>Altitude &gt; 1600m</t>
  </si>
  <si>
    <t>Cuisson</t>
  </si>
  <si>
    <t>Gaz naturel (m3)</t>
  </si>
  <si>
    <t>kWh par kWh</t>
  </si>
  <si>
    <t>H2c</t>
  </si>
  <si>
    <t>Gaz propane (tonnes)</t>
  </si>
  <si>
    <t>kWh par m3</t>
  </si>
  <si>
    <t>H2d</t>
  </si>
  <si>
    <t>Gaz propane (m3)</t>
  </si>
  <si>
    <t>H3</t>
  </si>
  <si>
    <t>Gaz butane (tonnes)</t>
  </si>
  <si>
    <t>Gaz butane (litres)</t>
  </si>
  <si>
    <t>Gaz butane (m3)</t>
  </si>
  <si>
    <t>kWh par litre</t>
  </si>
  <si>
    <t xml:space="preserve">Station Meteo et Zones climatiques </t>
  </si>
  <si>
    <t>Regime TVA</t>
  </si>
  <si>
    <t xml:space="preserve">Ouverture </t>
  </si>
  <si>
    <t>Oui/Non</t>
  </si>
  <si>
    <t>Conso/Index</t>
  </si>
  <si>
    <t>Pompe A Chaleur (kWh)</t>
  </si>
  <si>
    <t>Saint-Brieuc</t>
  </si>
  <si>
    <t>Réseau de chaleur (kWh)</t>
  </si>
  <si>
    <t>Brest - Guipavas</t>
  </si>
  <si>
    <t>HT</t>
  </si>
  <si>
    <t>Continu</t>
  </si>
  <si>
    <t>Oui</t>
  </si>
  <si>
    <t>Quimper</t>
  </si>
  <si>
    <t>TTC</t>
  </si>
  <si>
    <t xml:space="preserve">Jours ouvrés </t>
  </si>
  <si>
    <t>Non</t>
  </si>
  <si>
    <t>Index</t>
  </si>
  <si>
    <t>Rennes - St Jacques</t>
  </si>
  <si>
    <t>Jours ouvrés + samedi</t>
  </si>
  <si>
    <t>Compteurs Différents</t>
  </si>
  <si>
    <t>Dinard</t>
  </si>
  <si>
    <t>Lorient - Lann Bihoue</t>
  </si>
  <si>
    <t>Vannes-Sene</t>
  </si>
  <si>
    <t>Nantes - Bouguenais</t>
  </si>
  <si>
    <t>Angers - Beaucouzé</t>
  </si>
  <si>
    <t>INDICATEURS</t>
  </si>
  <si>
    <t>Type d'étblissement</t>
  </si>
  <si>
    <t>Thermique - kWh/m²</t>
  </si>
  <si>
    <t>Electrique - kWh/m²</t>
  </si>
  <si>
    <t>Totale - kWh/m²</t>
  </si>
  <si>
    <t>CHAUFFAGE - (CH/DJU/m²)x1000</t>
  </si>
  <si>
    <t>ECS - kWh/m²</t>
  </si>
  <si>
    <t>Ratio surface usagers</t>
  </si>
  <si>
    <t>Niort</t>
  </si>
  <si>
    <t>CHU</t>
  </si>
  <si>
    <t>-</t>
  </si>
  <si>
    <t>Paris - Montsouris</t>
  </si>
  <si>
    <t>CH / CLINIQUE</t>
  </si>
  <si>
    <t>Marseille - Marignane</t>
  </si>
  <si>
    <t>EHPAD</t>
  </si>
  <si>
    <t>Laval</t>
  </si>
  <si>
    <t>ESAT</t>
  </si>
  <si>
    <t>IME - ITEP</t>
  </si>
  <si>
    <t>La Roche sur Yon</t>
  </si>
  <si>
    <t>FAM - MAS - FDV</t>
  </si>
  <si>
    <t>Alençon</t>
  </si>
  <si>
    <t>AUTRES</t>
  </si>
  <si>
    <t>Composante CVC</t>
  </si>
  <si>
    <t>DPE</t>
  </si>
  <si>
    <t xml:space="preserve">Graphique Jauge </t>
  </si>
  <si>
    <t>Hebergement</t>
  </si>
  <si>
    <t xml:space="preserve">Accueil de jour </t>
  </si>
  <si>
    <t>Bâtiment à occupation continue</t>
  </si>
  <si>
    <t>Bâtiment à usage de bureau ou d'administration</t>
  </si>
  <si>
    <t>A</t>
  </si>
  <si>
    <t>B</t>
  </si>
  <si>
    <t>C</t>
  </si>
  <si>
    <t>D</t>
  </si>
  <si>
    <t>E</t>
  </si>
  <si>
    <t>Jours Fériés</t>
  </si>
  <si>
    <t>date</t>
  </si>
  <si>
    <t>annee</t>
  </si>
  <si>
    <t>zone</t>
  </si>
  <si>
    <t>nom_jour_ferie</t>
  </si>
  <si>
    <t>Jours</t>
  </si>
  <si>
    <t xml:space="preserve">Jour semaine </t>
  </si>
  <si>
    <t>Samedi</t>
  </si>
  <si>
    <t xml:space="preserve">Dimanche </t>
  </si>
  <si>
    <t>Fériés</t>
  </si>
  <si>
    <t>Fermé</t>
  </si>
  <si>
    <t>MÃ©tropole</t>
  </si>
  <si>
    <t>1er janvier</t>
  </si>
  <si>
    <t>Lundi de PÃ¢ques</t>
  </si>
  <si>
    <t>1er mai</t>
  </si>
  <si>
    <t>Jour ouvrés moins petites vacances scolaires</t>
  </si>
  <si>
    <t>Jour ouvrés moins toutes vacances scolaires</t>
  </si>
  <si>
    <t>Ascension</t>
  </si>
  <si>
    <t>Lundi de PentecÃ´te</t>
  </si>
  <si>
    <t>Nombre de jours fermés</t>
  </si>
  <si>
    <t>Assomption</t>
  </si>
  <si>
    <t>Toussaint</t>
  </si>
  <si>
    <t>Jour de NoÃ«l</t>
  </si>
  <si>
    <t>Type de combustible</t>
  </si>
  <si>
    <t>Compteur/Livraison</t>
  </si>
  <si>
    <t>Compteur_1</t>
  </si>
  <si>
    <t>Compteur_2</t>
  </si>
  <si>
    <t>Compteur_3</t>
  </si>
  <si>
    <t>Compteur_4</t>
  </si>
  <si>
    <t>Compteur_5</t>
  </si>
  <si>
    <t>Compteur_6</t>
  </si>
  <si>
    <t>Compteur_7</t>
  </si>
  <si>
    <t>Compteur_8</t>
  </si>
  <si>
    <t>Indicqteurs de performances</t>
  </si>
  <si>
    <t xml:space="preserve">type </t>
  </si>
  <si>
    <t>Cabs - kWh/m2,an</t>
  </si>
  <si>
    <t>USE</t>
  </si>
  <si>
    <t>CVC</t>
  </si>
  <si>
    <t>Ratio surface/usager</t>
  </si>
  <si>
    <t>Valeur CVC chauf</t>
  </si>
  <si>
    <t>Valeur CVC refroid</t>
  </si>
  <si>
    <t xml:space="preserve">Ouverture du site </t>
  </si>
  <si>
    <t>Séparation chauffage</t>
  </si>
  <si>
    <t xml:space="preserve">Forçage Chauffage </t>
  </si>
  <si>
    <t>Valeur du forçage</t>
  </si>
  <si>
    <t>Conso annuelle :</t>
  </si>
  <si>
    <t>Cout annuel:</t>
  </si>
  <si>
    <t xml:space="preserve">Année </t>
  </si>
  <si>
    <t>Surface total</t>
  </si>
  <si>
    <t>Surface Chauffée</t>
  </si>
  <si>
    <t>Surface refroidie</t>
  </si>
  <si>
    <t>Places</t>
  </si>
  <si>
    <t xml:space="preserve">Intensité d'usage </t>
  </si>
  <si>
    <t>Total</t>
  </si>
  <si>
    <t>Energie MWh</t>
  </si>
  <si>
    <t>Energie Cout</t>
  </si>
  <si>
    <t>Camembert Usage</t>
  </si>
  <si>
    <t xml:space="preserve">Indicateur de performances </t>
  </si>
  <si>
    <t>Thermique</t>
  </si>
  <si>
    <t>Conso EF</t>
  </si>
  <si>
    <t>Conso EP</t>
  </si>
  <si>
    <t>Calcul DPE</t>
  </si>
  <si>
    <t xml:space="preserve">hébergement </t>
  </si>
  <si>
    <t>Conso annuelle EAU :</t>
  </si>
  <si>
    <t>Différence</t>
  </si>
  <si>
    <t>ECS et chauffage</t>
  </si>
  <si>
    <t xml:space="preserve">index </t>
  </si>
  <si>
    <t>Total thermique</t>
  </si>
  <si>
    <t>DJU moyen</t>
  </si>
  <si>
    <t>DJU année</t>
  </si>
  <si>
    <t>Valeur indicateur</t>
  </si>
  <si>
    <t xml:space="preserve">Electricité </t>
  </si>
  <si>
    <t>debut aiguille</t>
  </si>
  <si>
    <t>Bornes IRVE</t>
  </si>
  <si>
    <t>largeur aiguille</t>
  </si>
  <si>
    <t>total Elec</t>
  </si>
  <si>
    <t xml:space="preserve">Reste </t>
  </si>
  <si>
    <t>Total energie</t>
  </si>
  <si>
    <t xml:space="preserve">Njour année </t>
  </si>
  <si>
    <t>Fermeture</t>
  </si>
  <si>
    <t>Ouverture</t>
  </si>
  <si>
    <t>Indicateur eau</t>
  </si>
  <si>
    <t>chauffage</t>
  </si>
  <si>
    <t>clim</t>
  </si>
  <si>
    <t xml:space="preserve">Sous -Comptage Chauffage </t>
  </si>
  <si>
    <t xml:space="preserve">Energie chauffage </t>
  </si>
  <si>
    <t xml:space="preserve">Sous - comptage Climatisation </t>
  </si>
  <si>
    <t>Sous-comptage Borne IRVE</t>
  </si>
  <si>
    <t>Année de référence</t>
  </si>
  <si>
    <t xml:space="preserve">indicateurs </t>
  </si>
  <si>
    <t>Référence</t>
  </si>
  <si>
    <t>objectif -40</t>
  </si>
  <si>
    <t>objectif -50</t>
  </si>
  <si>
    <t>objectif -60</t>
  </si>
  <si>
    <t>selection année</t>
  </si>
  <si>
    <t>Comptage DEET</t>
  </si>
  <si>
    <t>année</t>
  </si>
  <si>
    <t>Ajustement climatique Chauffage</t>
  </si>
  <si>
    <t>DJU chauffage</t>
  </si>
  <si>
    <t>SDP tot</t>
  </si>
  <si>
    <t>CVC chauf</t>
  </si>
  <si>
    <t>SDP Chauffé</t>
  </si>
  <si>
    <t>ajust chauf</t>
  </si>
  <si>
    <t>Ajustement Chauffage</t>
  </si>
  <si>
    <t>ajust clim</t>
  </si>
  <si>
    <t>Ajustement climatique Refroidissement</t>
  </si>
  <si>
    <t>intensité tot</t>
  </si>
  <si>
    <t>DJU climatisation</t>
  </si>
  <si>
    <t>Reduction</t>
  </si>
  <si>
    <t>CVC refroid</t>
  </si>
  <si>
    <t>SDP Refroidi</t>
  </si>
  <si>
    <t>Ajustement Clim</t>
  </si>
  <si>
    <t>Energie Thermique</t>
  </si>
  <si>
    <t>Totale</t>
  </si>
  <si>
    <t>Totale ajustée</t>
  </si>
  <si>
    <t>Intensités surfacique</t>
  </si>
  <si>
    <t>SDP total</t>
  </si>
  <si>
    <t>Chauffage</t>
  </si>
  <si>
    <t>Ajust. Chauffage</t>
  </si>
  <si>
    <t>Ajust. Refroidissement</t>
  </si>
  <si>
    <t>Intensité totale ajustée</t>
  </si>
  <si>
    <t>rampe limite basse</t>
  </si>
  <si>
    <t>objectif anuel</t>
  </si>
  <si>
    <t>rampe limite haute</t>
  </si>
  <si>
    <t>Valeur référence</t>
  </si>
  <si>
    <t>INF</t>
  </si>
  <si>
    <t>Variation DJU</t>
  </si>
  <si>
    <t>Positif</t>
  </si>
  <si>
    <t>Negatif</t>
  </si>
  <si>
    <t>Sous-comptage clim</t>
  </si>
  <si>
    <t>DEET</t>
  </si>
  <si>
    <t xml:space="preserve">Total conso </t>
  </si>
  <si>
    <t>Total ECS</t>
  </si>
  <si>
    <t>Consommation estimée ECS</t>
  </si>
  <si>
    <t>Bilan Synthèse</t>
  </si>
  <si>
    <t>ECS seul</t>
  </si>
  <si>
    <t>Début de période</t>
  </si>
  <si>
    <t>Fin de période</t>
  </si>
  <si>
    <t>Quantité</t>
  </si>
  <si>
    <t>Delta Jour</t>
  </si>
  <si>
    <t>Demande_jour</t>
  </si>
  <si>
    <t>Cout_jour</t>
  </si>
  <si>
    <t>Conso/Jour</t>
  </si>
  <si>
    <t>Commentaires</t>
  </si>
  <si>
    <t>Valeur Initiale Index</t>
  </si>
  <si>
    <t>Créateur : Fabien Rouault (CTEES Groupement BRE123)
Contributeurs : Allan Fontaine (Econome de flux, ALE du Pays de Fougère), Laurent Faverais (CME49, MAPES Pays de la Loire)</t>
  </si>
  <si>
    <t xml:space="preserve">Crédit Flaticon : </t>
  </si>
  <si>
    <t>Freepik</t>
  </si>
  <si>
    <t>logo parking</t>
  </si>
  <si>
    <t>Version</t>
  </si>
  <si>
    <t>0.7</t>
  </si>
  <si>
    <t>- Correction date initiale compteur 1 
- Changement de la feuille "Données" en "Site" pour éviter la confusion avec l'onglet "Données" de la barre d'outils
- Création du tableau suivi d'eau
- Suppression de l'ajustement climatique en attente de l'arrêté valeur absolue 
- limitation des DJU chauffage aux mois d'octobre à mai et refroidissement de juin à septembre
- Création d'un tableau d'analyse chauffage vs. DJU</t>
  </si>
  <si>
    <t>0.8</t>
  </si>
  <si>
    <t>-Ajout de l'item "Eau (m3)" dans la liste des combustible pour éviter erreur 
- Correction référence bouton de retour a l'onglet Site dans les onglets de Compteur
- Suppression de l'ajustement climatique dans le graphique "Choix DEET"+ ajout Disclaimer
- Ajout DJU Paris et Marseille (pour fondation SJD)</t>
  </si>
  <si>
    <t>0.9</t>
  </si>
  <si>
    <t>- Ajout des DJU des villes de Le Mans, Laval et la Roche-sur-Yon pour couvrir les Pays de la Loire 
- Ajout d'une colonne Cabs dans l'onglet "Sites" nécessaires pour le calcul de l'ajustement climatique
- Ajout d'une liste déroulante dans l'onglet "Sites" pour la sélection de l'altitude nécessaire pour le calcul de l'ajustement
- Ajout de l'ajustement climatique chauffage et refroidissement dans les onglets "Choix DEET" et "Suivi DEET" + courbe de l'intensité totale ajustée 
- Ajout d'un graphique Etiquette énergétique type DPE
- Ajout de la valeur Cabs sur le graphique de "Suivi DEET"
- Correction erreur intensité énergétique graphique "Suivi DEET"
- Correction erreur DJU moyen
- Différenciation des facteurs de conversion DEET et réels (DEET : RC = 0,77)</t>
  </si>
  <si>
    <t>1.0</t>
  </si>
  <si>
    <t>- Retouches Onglets graphiques : Ajout nom de site, ajout logo Dispositif ÉTÉ, Correction pour faire réapparaitre la station météo
- Ajout "Cuisson" à "Chauffage et ECS" dans la liste "Chaleur"
- Ajout "Sous compteur" dans la liste "Type Compteur"
- Pré saisie des dates de début et fin des onglets Compteurs, sur la base d'une périodicité ajoutée dans l'onglet Site
- Remplacement des chaines de caractères "Chaleur" de la colonne M par les valeurs définies par celles de l’onglet Liste de manière à ce que les changements de noms se propagent
- Idem dans onglet Calcul DEET, colonne C
- Ajout Page de conversion des données compteurs depuis l'ancien fichier</t>
  </si>
  <si>
    <t>1.1</t>
  </si>
  <si>
    <t>- Mises à jour graphiques
- Onglet Synthèse : afficher les ratios thermiques en kWh EF PCI corrigés du DJU
-Tous Onglets : Ajout  EP/EF, PCS/PCI, Corrigé DJU ou non pour éviter confusion
- Onglet Site et Synthèse : Ajout nb places de parking pour suivi des obligations de solarisation
-Ajout fonctionnement site pour corriger la consommation journalière d'eau
- Fautes d'orthographe : "Sation" au lieu de Station sur onglet site, Manque un "v" à niveau sur onglet DEET
- Onglet Site, remplacer "Date du premier comptage" par "Date de fin de consommation de la première facture"
- Onglet Suivi Compteur : Graphique dynamique avec modification du pas de temps (mensuel, trimestriel, annuel)
- Mise en forme des donnée en Monétaire pour la colonne Cout de chaque compteur
- Ajout estimation ECS dans onglets Suivi DEET et Choix DEET
- Ajout d'un graphique en secteur des usages avec ECS estimée</t>
  </si>
  <si>
    <t>1.2</t>
  </si>
  <si>
    <t>Onglet Synthèse : affiché les ratios thermiques en kWh EF PCI corrigés du DJU
Tous Onglets : bien préciser les unités (EP/EF, PCS/PCI, Corrigé DJU ou non) pour éviter les erreurs
Re créer les données liées aux estimations de consommations induites par l'ECS+Cuisson :
   - Select Box pour choisir de séparer ou non "ECS + Cuisson" du chauffage et sa la méthode d'estimation  :
   - Si non : Estimation de la conso d'ECS annuel sur la base des 4 mois d'été (moyenne des 4 mois étendu sur 12 mois)
   - Si oui : pas de possibilité de définir la conso d'ECS estivale/Chauffage, un champ "forçage %" sur l'Onglet SITE permet de forcer de la part chauffage (mettre en commentaire, valeur moyenne= 70%)
   - introduire ces données de conso ECS dans les différents graphiques : Synthèse, Choix DEET, Suivi DEET
Onglet Site et Synthèse : Ajout nb places de parking pour suivi des obligation de solarisation
Ajouter le nombre de jour ouvrés pour corriger la consommation journalière d'eau
Ajouter le numéro de version du fichier sur l'onglet Site, pour un meilleur suivi avec les utilisateurs
Ajouter Alençon dans les stations météo
Ajouter des titres et revoir la mise en place des graph sur onglets Suivi compteurs / Coût énergie
Onglet Site, remplacer "Date du premier comptage" par "Date de fin de consommation de la première facture"
Faire une passe sur les mises en forme des cellules et leur verrouillage, notament les onglets compteurs (pour les données saisies)
Remplir Release Note (1,1 et futur dev)
Onglet Suivi Compteur : remettre la possibilité de changer le pas de temps, Ex : Quelle conso par année ?
Ajout onglet "Déclaration Operat"
Reprise de mises en forme et commentaires suite relecture avec les CME
Ajout des DJU 2023</t>
  </si>
  <si>
    <t>1.3</t>
  </si>
  <si>
    <t>Actualisation des valeurs par défaut suite à la parution de l'arrêté valeur absolue 4
Actualisation de l'onglet Aide_CME</t>
  </si>
  <si>
    <t>mois</t>
  </si>
  <si>
    <t>mois_numero</t>
  </si>
  <si>
    <t>DJU(chauffagiste)</t>
  </si>
  <si>
    <t>DJU(climaticien)</t>
  </si>
  <si>
    <t>Somme de DJU(climaticien)</t>
  </si>
  <si>
    <t>Implémentation de l'onglet "Suivi Mensuel"
Actualisation des DJU pour S1 2024
Ajout de la possibilité de saisir des index dans les onglets compteurs (Onglet Site &amp; Compteurs)
Possibilité de saisir année de ref jusqu'en 2022 + modification des affichages impactés
Ajout indicateur surface/usager + Ajout de valeurs moyennes par établissement
Ratio de consommation EAU dorénavent basé sur total lits + places
Actualisation de l'onglet Aide_CME
Ajout conso journalière dans onglets compteurs
Actualisation des valeurs par défaut + formule de calcul de correction des DJU suite arrêté 5
Diverses corrections mineures</t>
  </si>
  <si>
    <t>Eau - L/j/Usager</t>
  </si>
  <si>
    <t>Montant</t>
  </si>
  <si>
    <t>1.4</t>
  </si>
  <si>
    <t>1.5</t>
  </si>
  <si>
    <t>Tableau Comparatif Mensuel EAU</t>
  </si>
  <si>
    <t>Analyse Electricité</t>
  </si>
  <si>
    <t>Analyse Chauffage</t>
  </si>
  <si>
    <t>Analyse EAU</t>
  </si>
  <si>
    <t>Implémentation des valeurs de l'arrêté 5 du DEET : https://www.legifrance.gouv.fr/jorf/id/JORFTEXT000049950583
Prise en compte des DJU hiver pendant les mois d'été et réciproquement pour les DJU climaticien
Gestion de l'affichage TTC/HT dans les onglets compteurs
Détection et ignorance des valeurs non saisies dans les onglets compteurs pour éviter les résultats négatifs dans la ligne qui suit la dernière valeur saisie 
Onglet Site : Ajout lien vers Tuto et Base doc MAPES
Gestion de l'eau dans l'onglet Suivi Mensuel 
Correction d'un bug dans le comptage des compteurs si année incomplète
Corrections de bugs mineurs</t>
  </si>
  <si>
    <t>Gestion des Solaires Th et PV =&gt;  unité spécifique, non intégration DEET mais mise en avant de l'autoconso, onglet spécifique à interoger ? ...</t>
  </si>
  <si>
    <t>Pour le bon fonctionnement des calculs, il est nécessaire de respecter l'ordre chonologique des données 
Dans le cas des consommations, la quantité doit correspondre à l'unité indiquée dans "Site". Pour les données de production l'unité par défaut est le kWh et pour l'eau, le m3.  
Dans le cas d'un manque de donnée sur une période donnée, indiquez les dates de début et de fin de cette période en laissant les cellules de Quantité et Montant vide
En cas de multiples factures/livraisons pour un même mois, merci d'additionner les quantités et les montants et de mettre la dernière date. 
Une fois toutes vos données de comptage complétées, Cliquez sur le bouton "Actualiser tout" la barre d'outils "Données" ou avec  le raccourcis clavier Ctrl+alt+F5</t>
  </si>
  <si>
    <t>Comment actualiser les DJU ?</t>
  </si>
  <si>
    <t>2. Ajouter les valeurs souhaitées en bas du tableau le plus à gauche dans cet onglet</t>
  </si>
  <si>
    <t>Plus d'infos climatologiques disponibles sur infoclimat :</t>
  </si>
  <si>
    <t>https://www.infoclimat.fr/climatologie/annee/2024/le-mans-arnage/valeurs/07235.html</t>
  </si>
  <si>
    <t>1. Récupérer les données DJU, issues du site meteo.gouv.fr via le lien ci-dessous :</t>
  </si>
  <si>
    <t>Ou ici :</t>
  </si>
  <si>
    <t>Observations</t>
  </si>
  <si>
    <t>Quantité restante dans la cuve après le plein</t>
  </si>
  <si>
    <t>Remplissage / 
Quantité remise</t>
  </si>
  <si>
    <t>Test Cohérence</t>
  </si>
  <si>
    <t>Nom de votre Cuve</t>
  </si>
  <si>
    <t>Unité de votre cuve</t>
  </si>
  <si>
    <t>Outil vous permettant de convertir vos niveaux 
de cuve en quantités consommées</t>
  </si>
  <si>
    <t>Onglets Compteurs : Ajout onglet "ConversionCuveQuantite" : pour faciliter la gestion des énergies de stock, y compris remplissage cuve…
Onglet DJU :  Ajout des DJU 2024 pour les Pays de la Loire (S2 en 53 = données Grez-en-bouere au lieu de Laval)
Onglet DJU : Ajout d'instructions pour actualiser les DJU</t>
  </si>
  <si>
    <t>1.53</t>
  </si>
  <si>
    <t>Forme de la cuve</t>
  </si>
  <si>
    <t>% remplissage</t>
  </si>
  <si>
    <t>Liste des formes de cuves</t>
  </si>
  <si>
    <t>Rectangulaire</t>
  </si>
  <si>
    <t>Cylindrique</t>
  </si>
  <si>
    <t>Volume contenu</t>
  </si>
  <si>
    <t>Volume de la cuve</t>
  </si>
  <si>
    <t>Sphère / Calcul non implémenté, en faire la demande</t>
  </si>
  <si>
    <t>Quantité
/Jour</t>
  </si>
  <si>
    <t>Date de 
relève</t>
  </si>
  <si>
    <t>Quantité restante dans la cuve
(si remplissage, valeur 
avant le plein)</t>
  </si>
  <si>
    <t>Fioul</t>
  </si>
  <si>
    <t>litres</t>
  </si>
  <si>
    <t>REFERENCE - Consommation thermique - kWh</t>
  </si>
  <si>
    <t>2021 - Consommation thermique - kWh</t>
  </si>
  <si>
    <t>2022 - Consommation thermique - kWh</t>
  </si>
  <si>
    <t>2023 - Consommation thermique - kWh</t>
  </si>
  <si>
    <t>2024 - Consommation thermique - kWh</t>
  </si>
  <si>
    <t>2025 - Consommation thermique - kWh</t>
  </si>
  <si>
    <t>2026 - Consommation thermique - kWh</t>
  </si>
  <si>
    <t>REFERENCE - Consommation électrique - kWh</t>
  </si>
  <si>
    <t>2021 - Consommation électrique - kWh</t>
  </si>
  <si>
    <t>2022 - Consommation électrique - kWh</t>
  </si>
  <si>
    <t>2023 - Consommation électrique - kWh</t>
  </si>
  <si>
    <t>2024 - Consommation électrique - kWh</t>
  </si>
  <si>
    <t>2025 - Consommation électrique - kWh</t>
  </si>
  <si>
    <t>2026 - Consommation électrique - kWh</t>
  </si>
  <si>
    <t>REFERENCE - Consommation eau froide - m3</t>
  </si>
  <si>
    <t>2021 - Consommation eau froide - m3</t>
  </si>
  <si>
    <t>2022 - Consommation eau froide - m3</t>
  </si>
  <si>
    <t>2023 - Consommation eau froide - m3</t>
  </si>
  <si>
    <t>2024 - Consommation eau froide - m3</t>
  </si>
  <si>
    <t>2025 - Consommation eau froide - m3</t>
  </si>
  <si>
    <t>2026 - Consommation eau froide - m3</t>
  </si>
  <si>
    <t>REFERENCE - kWh(DJU)/m² ou kWh/m² si kWh(ECS)/m² = NC</t>
  </si>
  <si>
    <t>2021 - kWh(DJU)/m² ou kWh/m² si kWh(ECS)/m² = NC</t>
  </si>
  <si>
    <t>2022 - kWh(DJU)/m² ou kWh/m² si kWh(ECS)/m² = NC</t>
  </si>
  <si>
    <t>2023 - kWh(DJU)/m² ou kWh/m² si kWh(ECS)/m² = NC</t>
  </si>
  <si>
    <t>2024 - kWh(DJU)/m² ou kWh/m² si kWh(ECS)/m² = NC</t>
  </si>
  <si>
    <t>2025 - kWh(DJU)/m² ou kWh/m² si kWh(ECS)/m² = NC</t>
  </si>
  <si>
    <t>2026 - kWh(DJU)/m² ou kWh/m² si kWh(ECS)/m² = NC</t>
  </si>
  <si>
    <t>REFERENCE - kWh(ECS)/m²</t>
  </si>
  <si>
    <t>2021 - kWh(ECS)/m²</t>
  </si>
  <si>
    <t>2022 - kWh(ECS)/m²</t>
  </si>
  <si>
    <t>2023 - kWh(ECS)/m²</t>
  </si>
  <si>
    <t>2024 - kWh(ECS)/m²</t>
  </si>
  <si>
    <t>2025 - kWh(ECS)/m²</t>
  </si>
  <si>
    <t>2026 - kWh(ECS)/m²</t>
  </si>
  <si>
    <t>PENSEE 2</t>
  </si>
  <si>
    <t>PENSEE 1</t>
  </si>
  <si>
    <t>Rappel dernière 
année saisie</t>
  </si>
  <si>
    <t>1.54</t>
  </si>
  <si>
    <t>Gestion de l'année 2026 dans différents onglets
MAJ onglet "Aide CME" pour tableau PENSEE2
MAJ DJU</t>
  </si>
  <si>
    <t>Ne pas saisir les volumes pour l'assainissement</t>
  </si>
  <si>
    <t xml:space="preserve"> (sinon, cela compte double)</t>
  </si>
  <si>
    <t xml:space="preserve">Pour l'assainissement, mettre date à J+1 de la </t>
  </si>
  <si>
    <t>date de colonne A</t>
  </si>
  <si>
    <t>1.55</t>
  </si>
  <si>
    <t xml:space="preserve">Instructions pour remplir le suivi des consommations de vos cuves </t>
  </si>
  <si>
    <t>Remplir uniquement les cases grisées</t>
  </si>
  <si>
    <t xml:space="preserve">Vous pouvez conserver des cases "rouge", c'est juste un point d'attention </t>
  </si>
  <si>
    <t>Pour autant, certaines jauges de mesure étant peu fiables, vous pouvez forcer ces valeurs à vos mesures</t>
  </si>
  <si>
    <t>Si une case se colore de rouge, c'est qu'il y a une incohérence, qui peut être due à l'imprecision de la jauge</t>
  </si>
  <si>
    <t>Montant 
HT ou TTC</t>
  </si>
  <si>
    <t xml:space="preserve">Une fois le tableau rempli, vous pouvez faire un copier/coller des colonnes "Fin de période", "Quantité" </t>
  </si>
  <si>
    <t>Date de début de la 1ère facture</t>
  </si>
  <si>
    <t>Suppression de la prise en compte des sous compteurs dans l'onglet "Déclaration OPERAT"
Suppression des sous compteurs dans les comptages généraux (chaleur/élec…) (même si cela ne semblait pas provoquer de bug)
Gestion de la remise à 0 d'un index d'un (sous) compteur : mettre une ligne avec la meme date de début et fin et index = 0
Suppression des dates de fin de période dans les onglets Compteurs + MAJ sur Onglet Synthèse
Amélioration de la gestion des énergies stockées : cuve fioul, gaz...</t>
  </si>
  <si>
    <t xml:space="preserve">Zone climatique : </t>
  </si>
  <si>
    <t xml:space="preserve">Altitude : </t>
  </si>
  <si>
    <t>m²</t>
  </si>
  <si>
    <t>Cabs EFA</t>
  </si>
  <si>
    <t>kWh/m2.an</t>
  </si>
  <si>
    <t>Nom des zones</t>
  </si>
  <si>
    <t xml:space="preserve">Début d'activité </t>
  </si>
  <si>
    <t>Fin d'activité</t>
  </si>
  <si>
    <t>Catégorie Principale</t>
  </si>
  <si>
    <t xml:space="preserve">Sous-Catégorie </t>
  </si>
  <si>
    <t>Surface de plancher</t>
  </si>
  <si>
    <t>Refroidssiment</t>
  </si>
  <si>
    <t>Cabs modulé</t>
  </si>
  <si>
    <t>Use modulé</t>
  </si>
  <si>
    <t>use etalon</t>
  </si>
  <si>
    <t>CVC+etalon</t>
  </si>
  <si>
    <t>% use variable</t>
  </si>
  <si>
    <t>indicateur d'intensité 1</t>
  </si>
  <si>
    <t>Valeur étalon intensité 1</t>
  </si>
  <si>
    <t>Valeur  intensité 1</t>
  </si>
  <si>
    <t>indicateur d'intensité 2</t>
  </si>
  <si>
    <t>Valeur étalon intensité 2</t>
  </si>
  <si>
    <t>Valeur intensité 2</t>
  </si>
  <si>
    <t>indicateur d'intensité 3</t>
  </si>
  <si>
    <t>Valeur étalon intensité 3</t>
  </si>
  <si>
    <t>Valeur intensité 3</t>
  </si>
  <si>
    <t>Consomation totale</t>
  </si>
  <si>
    <t>Catégorie 1</t>
  </si>
  <si>
    <t>Catégorie 2</t>
  </si>
  <si>
    <t>Catégorie 3</t>
  </si>
  <si>
    <t>Catégorie 4</t>
  </si>
  <si>
    <t>Catégorie 5</t>
  </si>
  <si>
    <t>Catégorie 6</t>
  </si>
  <si>
    <t>Catégorie 7</t>
  </si>
  <si>
    <t>Catégorie 8</t>
  </si>
  <si>
    <t>Catégorie 9</t>
  </si>
  <si>
    <t>Catégorie 10</t>
  </si>
  <si>
    <t>Catégorie 11</t>
  </si>
  <si>
    <t>Catégorie 12</t>
  </si>
  <si>
    <t>Catégorie 13</t>
  </si>
  <si>
    <t>Catégorie 14</t>
  </si>
  <si>
    <t>Catégorie 15</t>
  </si>
  <si>
    <t>Catégorie 16</t>
  </si>
  <si>
    <t>Catégorie 17</t>
  </si>
  <si>
    <t>Catégorie 18</t>
  </si>
  <si>
    <t>Catégorie 19</t>
  </si>
  <si>
    <t>Catégorie 20</t>
  </si>
  <si>
    <t>Catégorie 21</t>
  </si>
  <si>
    <t>Catégorie 22</t>
  </si>
  <si>
    <t>Catégorie 23</t>
  </si>
  <si>
    <t>Catégorie 24</t>
  </si>
  <si>
    <t>Catégorie 25</t>
  </si>
  <si>
    <t>Catégorie 26</t>
  </si>
  <si>
    <t>Catégorie 27</t>
  </si>
  <si>
    <t>Catégorie 28</t>
  </si>
  <si>
    <t>Catégorie 29</t>
  </si>
  <si>
    <t>Catégorie 30</t>
  </si>
  <si>
    <t>USE Modulé</t>
  </si>
  <si>
    <t>Variables</t>
  </si>
  <si>
    <t>Sous catégorie</t>
  </si>
  <si>
    <t xml:space="preserve">Indicateur </t>
  </si>
  <si>
    <t xml:space="preserve">Valeur </t>
  </si>
  <si>
    <t>Etablissements médico-sociaux - Administration et bureaux</t>
  </si>
  <si>
    <r>
      <t xml:space="preserve">Amplitude horaire annuelle (h ouvrées/an) </t>
    </r>
    <r>
      <rPr>
        <b/>
        <sz val="10"/>
        <color theme="1"/>
        <rFont val="Calibri"/>
        <family val="2"/>
        <scheme val="minor"/>
      </rPr>
      <t>Nb_h ouvrées</t>
    </r>
  </si>
  <si>
    <r>
      <t xml:space="preserve">Surface Plancher / poste de travail </t>
    </r>
    <r>
      <rPr>
        <sz val="9"/>
        <color theme="1"/>
        <rFont val="Calibri"/>
        <family val="2"/>
        <scheme val="minor"/>
      </rPr>
      <t xml:space="preserve">ou Surface Utile Brute </t>
    </r>
    <r>
      <rPr>
        <sz val="10"/>
        <color theme="1"/>
        <rFont val="Calibri"/>
        <family val="2"/>
        <scheme val="minor"/>
      </rPr>
      <t xml:space="preserve">(m²/poste) </t>
    </r>
    <r>
      <rPr>
        <b/>
        <sz val="9"/>
        <color theme="1"/>
        <rFont val="Calibri"/>
        <family val="2"/>
        <scheme val="minor"/>
      </rPr>
      <t>Surf_poste</t>
    </r>
  </si>
  <si>
    <r>
      <t xml:space="preserve">Taux d’occupation (%)  </t>
    </r>
    <r>
      <rPr>
        <b/>
        <sz val="10"/>
        <color theme="1"/>
        <rFont val="Calibri"/>
        <family val="2"/>
        <scheme val="minor"/>
      </rPr>
      <t xml:space="preserve">T_occ </t>
    </r>
  </si>
  <si>
    <t xml:space="preserve">Centre médical (Maison médicale - Protection Maternelle et Infantile) </t>
  </si>
  <si>
    <r>
      <t xml:space="preserve">Surface Plancher / salle consultation ou Surface Utile Brute (m²/salle) </t>
    </r>
    <r>
      <rPr>
        <b/>
        <sz val="10"/>
        <color theme="1"/>
        <rFont val="Calibri"/>
        <family val="2"/>
        <scheme val="minor"/>
      </rPr>
      <t>Surf_consult</t>
    </r>
  </si>
  <si>
    <t xml:space="preserve">Centre médical spécialisé pour enfants et adolescents (CAMSP – CMPP) </t>
  </si>
  <si>
    <t>Etablissement d'hébergement pour personnes âgées dépendantes (EHPAD) - Zones de vie</t>
  </si>
  <si>
    <r>
      <t xml:space="preserve">Surface utile par lit (m²/lit) </t>
    </r>
    <r>
      <rPr>
        <b/>
        <sz val="10"/>
        <color theme="1"/>
        <rFont val="Calibri"/>
        <family val="2"/>
        <scheme val="minor"/>
      </rPr>
      <t>Surf</t>
    </r>
  </si>
  <si>
    <r>
      <t xml:space="preserve">Taux d’utilisation (%)  </t>
    </r>
    <r>
      <rPr>
        <b/>
        <sz val="10"/>
        <color theme="1"/>
        <rFont val="Calibri"/>
        <family val="2"/>
      </rPr>
      <t>T_util</t>
    </r>
  </si>
  <si>
    <t>Etablissement médicalisé d'hébergement permanent pour adultes dépendants (MAS – FAM/EAM) - Zones de vie</t>
  </si>
  <si>
    <t>Etablissement de prise en charge pour les enfants et adolescents (IEM – EEAP – IME – IDA – IDV - ITEP) - Zones de vie</t>
  </si>
  <si>
    <r>
      <t>Surface par chambre</t>
    </r>
    <r>
      <rPr>
        <sz val="9"/>
        <color rgb="FF000000"/>
        <rFont val="Calibri"/>
        <family val="2"/>
        <scheme val="minor"/>
      </rPr>
      <t xml:space="preserve"> </t>
    </r>
    <r>
      <rPr>
        <sz val="10"/>
        <color rgb="FF000000"/>
        <rFont val="Calibri"/>
        <family val="2"/>
        <scheme val="minor"/>
      </rPr>
      <t xml:space="preserve">(m²) </t>
    </r>
    <r>
      <rPr>
        <b/>
        <sz val="9"/>
        <color rgb="FF000000"/>
        <rFont val="Calibri"/>
        <family val="2"/>
        <scheme val="minor"/>
      </rPr>
      <t>Surf</t>
    </r>
  </si>
  <si>
    <t>Etablissements médico-sociaux –Blanchisserie</t>
  </si>
  <si>
    <t>Etablissement médico-social –Laverie</t>
  </si>
  <si>
    <t>Amplitude horaire annuelle (h ouvrées/an) Nb_h_ouvrées</t>
  </si>
  <si>
    <t>Nombre de résidents Nb_résidents</t>
  </si>
  <si>
    <t>Etablissements médico-sociaux –Restauration collective</t>
  </si>
  <si>
    <r>
      <t xml:space="preserve">Amplitude horaire annuelle (h ouvrées/an) </t>
    </r>
    <r>
      <rPr>
        <b/>
        <sz val="10"/>
        <color theme="1"/>
        <rFont val="Calibri"/>
        <family val="2"/>
        <scheme val="minor"/>
      </rPr>
      <t>Nb_h_ouvrées</t>
    </r>
  </si>
  <si>
    <t>Ratio surfacique cuisine (%) Surf_cuisine</t>
  </si>
  <si>
    <t xml:space="preserve">Parametre supplémentaire 1 </t>
  </si>
  <si>
    <t>Densité cuisine (kWh/m²/an) DE_cuisineétalon</t>
  </si>
  <si>
    <t>Parametre supplémentaire 2</t>
  </si>
  <si>
    <t>Densité salle (kWh/m²/an) DE_salleétalon</t>
  </si>
  <si>
    <t>Parametre supplémentaire 3</t>
  </si>
  <si>
    <t>Densité totale (kWh/m²/an) DE_restaurantétalon</t>
  </si>
  <si>
    <t>Etablissements médico-sociaux – Valeur par défaut</t>
  </si>
  <si>
    <t>Etablissement d'hébergement social ou médico-social de mineurs en difficultés (MECS) - Zones de vie</t>
  </si>
  <si>
    <t xml:space="preserve">Centre Hospitalier-Restauration collective avec services – Restauration inter-entreprises </t>
  </si>
  <si>
    <t>Pente (kWh/an/(nombre de couverts servis)²)</t>
  </si>
  <si>
    <r>
      <t xml:space="preserve">Ordonnée à l’origine (kWh/an, par nombre de couverts servis) </t>
    </r>
    <r>
      <rPr>
        <b/>
        <sz val="10"/>
        <color theme="1"/>
        <rFont val="Calibri"/>
        <family val="2"/>
        <scheme val="minor"/>
      </rPr>
      <t>B</t>
    </r>
  </si>
  <si>
    <t>Centre Hospitalier-Restauration collective cuisine centrale (plateau repas)</t>
  </si>
  <si>
    <r>
      <t xml:space="preserve">Nombre de couverts (servis par jour) </t>
    </r>
    <r>
      <rPr>
        <b/>
        <sz val="10"/>
        <color theme="1"/>
        <rFont val="Calibri"/>
        <family val="2"/>
        <scheme val="minor"/>
      </rPr>
      <t>Nb_couverts</t>
    </r>
  </si>
  <si>
    <t>Surface plancher (m2)</t>
  </si>
  <si>
    <t>Centre Hospitalier-Administration</t>
  </si>
  <si>
    <t>Surface Plancher / poste de travail</t>
  </si>
  <si>
    <r>
      <t xml:space="preserve">Taux d’utilisation (%)  </t>
    </r>
    <r>
      <rPr>
        <b/>
        <sz val="10"/>
        <color theme="1"/>
        <rFont val="Calibri"/>
        <family val="2"/>
        <scheme val="minor"/>
      </rPr>
      <t>T_util</t>
    </r>
  </si>
  <si>
    <t>Centre Hospitalier-Consultations</t>
  </si>
  <si>
    <r>
      <t xml:space="preserve">Surface Plancher salle consultation ou Surface Utile Brute (m²/salle) </t>
    </r>
    <r>
      <rPr>
        <b/>
        <sz val="10"/>
        <color theme="1"/>
        <rFont val="Calibri"/>
        <family val="2"/>
        <scheme val="minor"/>
      </rPr>
      <t>Surf_consult</t>
    </r>
  </si>
  <si>
    <t>Centre Hospitalier-Hospitalisation conventionnelle</t>
  </si>
  <si>
    <t>Centre Hospitalier-Hospitalisation ambulatoire</t>
  </si>
  <si>
    <t>Centre Hospitalier-Zone accueil public</t>
  </si>
  <si>
    <t>Centre Hospitalier-Valeur par défaut</t>
  </si>
  <si>
    <t>Centre Hospitalier-Blanchisserie</t>
  </si>
  <si>
    <t>Production renseignée (t/an) P</t>
  </si>
  <si>
    <t xml:space="preserve">Surface </t>
  </si>
  <si>
    <t>Centres hospitaliers – Blocs opératoires</t>
  </si>
  <si>
    <t>Amplitude horaire annuelle blocs opératoires (h ouvrées/ an)</t>
  </si>
  <si>
    <t>Surface de plancher par bloc (m²/bloc opératoire) SDP_par_bloc</t>
  </si>
  <si>
    <t>Taux d’utilisation (%) T_util</t>
  </si>
  <si>
    <t>Centres hospitaliers – Réanimation</t>
  </si>
  <si>
    <t>Amplitude horaire annuelle (h ouvrées/ an) Nb_h_ouvrées</t>
  </si>
  <si>
    <t>Surface de plancher par lit (m²/lit) SDP_par_lit</t>
  </si>
  <si>
    <t>Centres hospitaliers – Salles blanches</t>
  </si>
  <si>
    <t>Amplitude horaire annuelle (h ouvrées/an)
Nb_h_ouvrées</t>
  </si>
  <si>
    <t>Densité énergétique réelle (kWh/m²/an) Deréelle</t>
  </si>
  <si>
    <t>Centres hospitaliers – Chambres froides positives</t>
  </si>
  <si>
    <t>Etablissement de Balnéothérapie – Bassins et Piscines (dont vestiaires et douches)</t>
  </si>
  <si>
    <t>Ratio surfacique des bassins (%) %Sbassin</t>
  </si>
  <si>
    <t>Variation de consommation selon l’amplitude horaire
(kWh/m²/an/h ouvrée) Variation_amplitude</t>
  </si>
  <si>
    <t>Variation de consommation selon le ratio surfacique bassins
(kWh/m²/an/%) Variation_%Sbassin</t>
  </si>
  <si>
    <t>Etablissement de Balnéothérapie – Zone de soins (Massages, Sauna et Hammam)</t>
  </si>
  <si>
    <t>Surface par chambre (m²) SDP_par_chambre</t>
  </si>
  <si>
    <t>Logistique - Entrepôt à température ambiante</t>
  </si>
  <si>
    <t>Logistique - Entrepôt sans maitien en température</t>
  </si>
  <si>
    <t>Salles serveurs - Local serveurs (surface salle IT &lt; 20 m²)</t>
  </si>
  <si>
    <t>PUE_Zone</t>
  </si>
  <si>
    <t>Consommation annuelle réelle des équipements informatiques (kWh/an)</t>
  </si>
  <si>
    <t>Surface</t>
  </si>
  <si>
    <t>Salles serveurs - Salle serveurs (20 m² ≤ surface salle IT &lt; 100 m²)</t>
  </si>
  <si>
    <t>Bureau - Bureaux standards</t>
  </si>
  <si>
    <t>Bureau - Open Space</t>
  </si>
  <si>
    <t>Bureau - Zone Accueil Public</t>
  </si>
  <si>
    <r>
      <t xml:space="preserve">Surface Plancher / guichet </t>
    </r>
    <r>
      <rPr>
        <sz val="9"/>
        <color theme="1"/>
        <rFont val="Calibri"/>
        <family val="2"/>
        <scheme val="minor"/>
      </rPr>
      <t xml:space="preserve">ou Surface Utile Brute </t>
    </r>
    <r>
      <rPr>
        <sz val="10"/>
        <color theme="1"/>
        <rFont val="Calibri"/>
        <family val="2"/>
        <scheme val="minor"/>
      </rPr>
      <t xml:space="preserve">(m²/guichet) </t>
    </r>
    <r>
      <rPr>
        <b/>
        <sz val="9"/>
        <color theme="1"/>
        <rFont val="Calibri"/>
        <family val="2"/>
        <scheme val="minor"/>
      </rPr>
      <t>Surf_poste</t>
    </r>
  </si>
  <si>
    <t>Bureau - Grande salle de réunion - Auditorium - Amphithéatre</t>
  </si>
  <si>
    <r>
      <t xml:space="preserve">Surface Plancher / place </t>
    </r>
    <r>
      <rPr>
        <sz val="9"/>
        <color theme="1"/>
        <rFont val="Calibri"/>
        <family val="2"/>
        <scheme val="minor"/>
      </rPr>
      <t xml:space="preserve">ou Surface Utile Brute </t>
    </r>
    <r>
      <rPr>
        <sz val="10"/>
        <color theme="1"/>
        <rFont val="Calibri"/>
        <family val="2"/>
        <scheme val="minor"/>
      </rPr>
      <t xml:space="preserve">(m²/guichet) </t>
    </r>
    <r>
      <rPr>
        <b/>
        <sz val="9"/>
        <color theme="1"/>
        <rFont val="Calibri"/>
        <family val="2"/>
        <scheme val="minor"/>
      </rPr>
      <t>Surf_poste</t>
    </r>
  </si>
  <si>
    <t>Enseignement - Maternelle</t>
  </si>
  <si>
    <t>Durée supplémentaire d'ouverture en période de chauffe par rappoirt à l'étalon (h/an)</t>
  </si>
  <si>
    <t>Durée supplémentaire d'ouverture hors période de chauffe par rappoirt à l'étalon (h/an)</t>
  </si>
  <si>
    <t>Enseignement - Elémentaire</t>
  </si>
  <si>
    <t>Enseignement - Salle multi-activités et Périscolaire</t>
  </si>
  <si>
    <t>Enseignement - Internat Primaire</t>
  </si>
  <si>
    <t>Enseignement - Collège</t>
  </si>
  <si>
    <t xml:space="preserve">Enseignement - Lycée </t>
  </si>
  <si>
    <t>Enseignement - Etablissement régional d'enseignement adapté</t>
  </si>
  <si>
    <t>Enseignement - Internat secondaire</t>
  </si>
  <si>
    <t>Centre Hospitalier - Soins et Supports - Rééducation fonctionnelle, Kinésithérapie</t>
  </si>
  <si>
    <r>
      <t>Densité énergétique moyenne</t>
    </r>
    <r>
      <rPr>
        <b/>
        <sz val="10"/>
        <color theme="1"/>
        <rFont val="Calibri"/>
        <family val="2"/>
        <scheme val="minor"/>
      </rPr>
      <t xml:space="preserve"> </t>
    </r>
    <r>
      <rPr>
        <sz val="10"/>
        <color theme="1"/>
        <rFont val="Calibri"/>
        <family val="2"/>
        <scheme val="minor"/>
      </rPr>
      <t xml:space="preserve">(Wh/m²/an) </t>
    </r>
    <r>
      <rPr>
        <b/>
        <sz val="10"/>
        <color theme="1"/>
        <rFont val="Calibri"/>
        <family val="2"/>
        <scheme val="minor"/>
      </rPr>
      <t>DE</t>
    </r>
    <r>
      <rPr>
        <b/>
        <vertAlign val="subscript"/>
        <sz val="10"/>
        <color theme="1"/>
        <rFont val="Calibri"/>
        <family val="2"/>
        <scheme val="minor"/>
      </rPr>
      <t>réelle</t>
    </r>
  </si>
  <si>
    <t>Centres hospitaliers – Laboratoires classés P2, P3, P4</t>
  </si>
  <si>
    <t>Centres hospitaliers – Laboratoires classés P2, P3, P5</t>
  </si>
  <si>
    <t>Centres hospitaliers – Laboratoires classés P2, P3, P6</t>
  </si>
  <si>
    <t>Centres hospitaliers – Laboratoires classés P2, P3, P7</t>
  </si>
  <si>
    <t>Centres hospitaliers – Laboratoires classés P2, P3, P8</t>
  </si>
  <si>
    <t>Centres hospitaliers – Laboratoires classés P2, P3, P9</t>
  </si>
  <si>
    <t>Densité énergétique réelle (kWh/m²/an) DEréelle</t>
  </si>
  <si>
    <t>Centres hospitaliers – Laboratoires classés P2, P3, P10</t>
  </si>
  <si>
    <t>Centres hospitaliers – Laboratoires classés P2, P3, P11</t>
  </si>
  <si>
    <t>Centres hospitaliers – Stérilisation</t>
  </si>
  <si>
    <t>Centres hospitaliers – Imageries médicales</t>
  </si>
  <si>
    <t>Amplitude horaire annuelle (h ouvrées/an)</t>
  </si>
  <si>
    <t>Densité énergétique réelle (kWh/m²/an)</t>
  </si>
  <si>
    <t>Centres hospitaliers – Laboratoires courants</t>
  </si>
  <si>
    <t>Collège ‐ Salles d'enseignements professionnels adaptés</t>
  </si>
  <si>
    <t>Enseignement secondaire ‐ Salles de TP</t>
  </si>
  <si>
    <t>Zones Géographiques</t>
  </si>
  <si>
    <t>en kWh/m²/an</t>
  </si>
  <si>
    <t>Guadeloupe</t>
  </si>
  <si>
    <t>Martinique</t>
  </si>
  <si>
    <t>Guyane</t>
  </si>
  <si>
    <t>Réunion</t>
  </si>
  <si>
    <t>Mayotte</t>
  </si>
  <si>
    <t>Définie par arrêté</t>
  </si>
  <si>
    <t xml:space="preserve">Définie par arrêté </t>
  </si>
  <si>
    <t xml:space="preserve">  </t>
  </si>
  <si>
    <t>Logistique - Logistique ou messagerie température dirigée +12 à +17°C</t>
  </si>
  <si>
    <t>Catégories</t>
  </si>
  <si>
    <t>Etablissements_Médico_sociaux</t>
  </si>
  <si>
    <t>Centre_Hospitalier</t>
  </si>
  <si>
    <t>Etablissement_Balneo</t>
  </si>
  <si>
    <t>Logistique</t>
  </si>
  <si>
    <t>Bureau_services_Publics</t>
  </si>
  <si>
    <t>Enseignement</t>
  </si>
  <si>
    <t>Salles_serveurs</t>
  </si>
  <si>
    <t xml:space="preserve">Penser à ajouter les nouvelles sous catégories dans les feuilles CABS_CVC, Calcul_CABS et SurfaceXactvités </t>
  </si>
  <si>
    <t>Moyenne</t>
  </si>
  <si>
    <t>DJU Mensuels Climaticien</t>
  </si>
  <si>
    <t>DJU Mensuels DJU Chauffagiste</t>
  </si>
  <si>
    <t>Calcul du DJU moyen</t>
  </si>
  <si>
    <t>Numéro</t>
  </si>
  <si>
    <t>Département</t>
  </si>
  <si>
    <t>Ain</t>
  </si>
  <si>
    <t>Aisne</t>
  </si>
  <si>
    <t>Allier</t>
  </si>
  <si>
    <t>Alpes-de-Haute-Provence</t>
  </si>
  <si>
    <t>Hautes-Alpes</t>
  </si>
  <si>
    <t>Alpes-Maritimes</t>
  </si>
  <si>
    <t>Ardèche</t>
  </si>
  <si>
    <t>Ardennes</t>
  </si>
  <si>
    <t>Ariège</t>
  </si>
  <si>
    <t>Aube</t>
  </si>
  <si>
    <t>Aude</t>
  </si>
  <si>
    <t>Aveyron</t>
  </si>
  <si>
    <t>Bouches-du-Rhône</t>
  </si>
  <si>
    <t>Calvados</t>
  </si>
  <si>
    <t>Cantal</t>
  </si>
  <si>
    <t>Charente</t>
  </si>
  <si>
    <t>Charente-Maritime</t>
  </si>
  <si>
    <t>Cher</t>
  </si>
  <si>
    <t>Corrèze</t>
  </si>
  <si>
    <t>Corse-du-Sud / Haute-Corse</t>
  </si>
  <si>
    <t>Côte-d’Or</t>
  </si>
  <si>
    <t>Côtes-d’Armor</t>
  </si>
  <si>
    <t>Creuse</t>
  </si>
  <si>
    <t>Dordogne</t>
  </si>
  <si>
    <t>Doubs</t>
  </si>
  <si>
    <t>Drôme</t>
  </si>
  <si>
    <t>Eure</t>
  </si>
  <si>
    <t>Eure-et-Loir</t>
  </si>
  <si>
    <t>Finistère</t>
  </si>
  <si>
    <t>Gard</t>
  </si>
  <si>
    <t>Haute-Garonne</t>
  </si>
  <si>
    <t>Gers</t>
  </si>
  <si>
    <t>Gironde</t>
  </si>
  <si>
    <t>Hérault</t>
  </si>
  <si>
    <t>Ille-et-Vilaine</t>
  </si>
  <si>
    <t>Indre</t>
  </si>
  <si>
    <t>Indre-et-Loire</t>
  </si>
  <si>
    <t>Isère</t>
  </si>
  <si>
    <t>Jura</t>
  </si>
  <si>
    <t>Landes</t>
  </si>
  <si>
    <t>Loir-et-Cher</t>
  </si>
  <si>
    <t>Loire</t>
  </si>
  <si>
    <t>Haute-Loire</t>
  </si>
  <si>
    <t>Loire-Atlantique</t>
  </si>
  <si>
    <t>Loiret</t>
  </si>
  <si>
    <t>Lot</t>
  </si>
  <si>
    <t>Lot-et-Garonne</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</si>
  <si>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</si>
  <si>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</si>
  <si>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</si>
  <si>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</si>
  <si>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</si>
  <si>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</si>
  <si>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</si>
  <si>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</si>
  <si>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</si>
  <si>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</si>
  <si>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</si>
  <si>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</si>
  <si>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</si>
  <si>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</si>
  <si>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</si>
  <si>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</si>
  <si>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</si>
  <si>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</si>
  <si>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Pyrénées-Orientales</t>
  </si>
  <si>
    <t>Bas-Rhin</t>
  </si>
  <si>
    <t>Haut-Rhin</t>
  </si>
  <si>
    <t>Rhône</t>
  </si>
  <si>
    <t>Haute-Saône</t>
  </si>
  <si>
    <t>Saône-et-Loire</t>
  </si>
  <si>
    <t>Sarthe</t>
  </si>
  <si>
    <t>Savoie</t>
  </si>
  <si>
    <t>Haute-Savoie</t>
  </si>
  <si>
    <t>Paris</t>
  </si>
  <si>
    <t>Seine-Maritime</t>
  </si>
  <si>
    <t>Seine-et-Marne</t>
  </si>
  <si>
    <t>Yvelines</t>
  </si>
  <si>
    <t>Deux-Sèvres</t>
  </si>
  <si>
    <t>Somme</t>
  </si>
  <si>
    <t>Tarn</t>
  </si>
  <si>
    <t>Tarn-et-Garonne</t>
  </si>
  <si>
    <t>Var</t>
  </si>
  <si>
    <t>Vaucluse</t>
  </si>
  <si>
    <t>Vendée</t>
  </si>
  <si>
    <t>Vienne</t>
  </si>
  <si>
    <t>Haute-Vienne</t>
  </si>
  <si>
    <t>Vosges</t>
  </si>
  <si>
    <t>Yonne</t>
  </si>
  <si>
    <t>Territoire de Belfort</t>
  </si>
  <si>
    <t>Essonne</t>
  </si>
  <si>
    <t>Hauts-de-Seine</t>
  </si>
  <si>
    <t>Seine-Saint-Denis</t>
  </si>
  <si>
    <t>Val-de-Marne</t>
  </si>
  <si>
    <t>Val-d’Oise</t>
  </si>
  <si>
    <t>Auvergne-Rhône-Alpes</t>
  </si>
  <si>
    <t>Hauts-de-France</t>
  </si>
  <si>
    <t>Provence-Alpes-Côte d'Azur</t>
  </si>
  <si>
    <t>Grand Est</t>
  </si>
  <si>
    <t>Occitanie</t>
  </si>
  <si>
    <t>Normandie</t>
  </si>
  <si>
    <t>Nouvelle-Aquitaine</t>
  </si>
  <si>
    <t>Centre-Val de Loire</t>
  </si>
  <si>
    <t>Bourgogne-Franche-Comté</t>
  </si>
  <si>
    <t>Bretagne</t>
  </si>
  <si>
    <t>Pays de la Loire</t>
  </si>
  <si>
    <t>Île-de-France</t>
  </si>
  <si>
    <t>Corse</t>
  </si>
  <si>
    <t>Region</t>
  </si>
  <si>
    <t>La Réunion</t>
  </si>
  <si>
    <t>Outre-mer</t>
  </si>
  <si>
    <t>1.56</t>
  </si>
  <si>
    <t xml:space="preserve">Gestion des DJU depuis une BDD externe pour diffusion nationale du fichier
Module calcul du Cabs pour le décret tertiaire avec les modulations
</t>
  </si>
  <si>
    <t xml:space="preserve">Par défaut, la colonne "Quantité Restante dans la cuve après plein" (colonne D) se remplit </t>
  </si>
  <si>
    <t>automatiquement avec la valeur déduite des lignes précédentes</t>
  </si>
  <si>
    <t>et "Montant" (Colonnes F, G et H) dans l'onglet compteur approprié ou faire des liens entre cellules.</t>
  </si>
  <si>
    <t>Test Cohérence des données DJU</t>
  </si>
  <si>
    <t>Si des valeurs apparaissent en rouge ci-dessous, vos données climatiques sont erronnées</t>
  </si>
  <si>
    <t>Station Météo</t>
  </si>
  <si>
    <t>3. Actualisez les tableaux croisés dynamiques ci-dessous en cliquant sur l'onglet "Données" puis le bouton "Actualiser tout"</t>
  </si>
  <si>
    <t>si toujours en activité indiquer une année lointaine (ex: 2030)</t>
  </si>
  <si>
    <t>Si très ancien indiquer 2010</t>
  </si>
  <si>
    <r>
      <t xml:space="preserve">Une fois les données de comptage remplies, veuillez les actualiser en faisant Ctrl+Alt+F5 ou en cliquant sur le bouton "Actualiser tout" dans l'onglet "Données" de la barre d'Outils Excel
</t>
    </r>
    <r>
      <rPr>
        <sz val="11"/>
        <color theme="1"/>
        <rFont val="Calibri"/>
        <family val="2"/>
        <scheme val="minor"/>
      </rPr>
      <t>Accès aux onglets des compteurs :</t>
    </r>
  </si>
  <si>
    <t>1.57</t>
  </si>
  <si>
    <t>Mise à jour avec le jeu de données de test "EHPAD IDEAL"</t>
  </si>
  <si>
    <t>Somme de Conso_kWh_PCI</t>
  </si>
  <si>
    <t>PCI_EP</t>
  </si>
  <si>
    <t>PCI/EP</t>
  </si>
  <si>
    <t>Annee</t>
  </si>
  <si>
    <t>Somme de Cout_jour</t>
  </si>
  <si>
    <t>Somme de Demande_jour</t>
  </si>
  <si>
    <t>Moyenne de Conso_kWh_PCI</t>
  </si>
  <si>
    <t>févr</t>
  </si>
  <si>
    <t>août</t>
  </si>
  <si>
    <t>déc</t>
  </si>
  <si>
    <t>Nombre de DJU(chauffagiste)</t>
  </si>
  <si>
    <t>Nombre de DJU(climaticien)</t>
  </si>
  <si>
    <t>Moyenne de DJU(chauffagiste)</t>
  </si>
  <si>
    <t xml:space="preserve">Nom: </t>
  </si>
  <si>
    <t>Type :</t>
  </si>
  <si>
    <t>Source :</t>
  </si>
  <si>
    <t>Detail usage :</t>
  </si>
  <si>
    <t>Combustible :</t>
  </si>
  <si>
    <t>All</t>
  </si>
  <si>
    <t>Talon :</t>
  </si>
  <si>
    <t>Indicateur elec</t>
  </si>
  <si>
    <t>Indicateur thermique</t>
  </si>
  <si>
    <t>Talon thermique</t>
  </si>
  <si>
    <t>Talon elec</t>
  </si>
  <si>
    <t>Talon Thermique</t>
  </si>
  <si>
    <t>Talon Elec</t>
  </si>
  <si>
    <t>Synthèse!C6</t>
  </si>
  <si>
    <t>Synthèse!C9:C10</t>
  </si>
  <si>
    <t>Conso_DJU</t>
  </si>
  <si>
    <t>Nom du site</t>
  </si>
  <si>
    <t>Conso [MWh]</t>
  </si>
  <si>
    <t>Conso Corrigée [MWh]</t>
  </si>
  <si>
    <t xml:space="preserve">Talon de consommation électrique </t>
  </si>
  <si>
    <t>Surface totale</t>
  </si>
  <si>
    <t>Valeur [kW] ou kVA</t>
  </si>
  <si>
    <t>Eau - General EF</t>
  </si>
  <si>
    <t>Conso annuelle</t>
  </si>
  <si>
    <t xml:space="preserve"> (ECS, Cuisson et Blanchisserie)</t>
  </si>
  <si>
    <t>Ou Forcer la part chauffage ?</t>
  </si>
  <si>
    <t>Complétez ici les talons de consommations issus d'Optiturpe :</t>
  </si>
  <si>
    <t>Conso_brut</t>
  </si>
  <si>
    <t>Dates (année)</t>
  </si>
  <si>
    <t>Colonne2</t>
  </si>
  <si>
    <t>nouveau compteur posé par Engie</t>
  </si>
  <si>
    <t>Evolution principale et majeure : 
Refonte de la métode d'aggregation des données en passant par Power Query et Power Pivot
Cette refonte vient corriger les erreurs de calcul lorsque des consommations ou factures étaient à cheval sur une période (anné ou mois...)
Correction Calcul Energie Primaire Thermique dans Calcul_Bilan_Energie
Ajout d'un segment dans l'onglet Site pour sélectionner les mois à considérer pour l'ECS
Amélioration de la gestion des cuves 
Intégration des talons de conso élec et chaleur
Mise en place d'une mise en forme conditionnelle pour que les dates qui ne respectent pas l'ordre chronologique apparaissent en rouge
Extension du fichier jusqu'en 2030
Actualisation des statistiques de consommations régionales
Suppression de l'onglet "Sous Compteurs" et regroupement des sous compteurs avec les compteurs
Ajout de messages d'alerte s'il manque des DJU
Correction des erreurs liées à l'addition de comptage + sous comptage dans certains onglets</t>
  </si>
  <si>
    <t>Conso jour période estivale</t>
  </si>
  <si>
    <t>Si la liste des compteurs n'est pas bonne
re-sélectionner les années sur la frise chronologique</t>
  </si>
  <si>
    <t>Les chiffres sont les données brutes issues de vos saisies, 
non corrigés de la rigueur climatique</t>
  </si>
  <si>
    <t>Pour bénéficier d'un objectif plus favorable, vous devez déclarer le détail de vos surfaces : "Zones de vie" + "Restauration Collective" + "Laverie"…</t>
  </si>
  <si>
    <t>Si les mois ne s'affichent pas, vous pourrez sélectionner les mois 
sans chauffage après avoir rempli un onglet compteur et actualisé les données :</t>
  </si>
  <si>
    <t xml:space="preserve">Année référence conseillée : </t>
  </si>
  <si>
    <t>Si les champs "Type" des 4 TCD ne sont pas sur "Consommation"
Les forcer car ils ont sauté !</t>
  </si>
  <si>
    <t xml:space="preserve">Mois </t>
  </si>
  <si>
    <t>2021</t>
  </si>
  <si>
    <t>2022</t>
  </si>
  <si>
    <t>2023</t>
  </si>
  <si>
    <t>2024</t>
  </si>
  <si>
    <t xml:space="preserve">finess géo : </t>
  </si>
  <si>
    <t>2017</t>
  </si>
  <si>
    <t>2018</t>
  </si>
  <si>
    <t>2019</t>
  </si>
  <si>
    <t>2020</t>
  </si>
  <si>
    <t>2025</t>
  </si>
  <si>
    <t>Total Moyenne de Conso_kWh_PCI</t>
  </si>
  <si>
    <t>Total Moyenne de Conso_kWh_DEET</t>
  </si>
  <si>
    <t>Moyenne de Conso_kWh_DEET</t>
  </si>
  <si>
    <t>Total Somme de Demande_jour</t>
  </si>
  <si>
    <t>Total Somme de Conso_kWh_PCI</t>
  </si>
  <si>
    <t>Total Somme de Conso_kWh_DEET</t>
  </si>
  <si>
    <t>Total Somme de Conso_kWhEP</t>
  </si>
  <si>
    <t>Somme de Conso_kWh_DEET</t>
  </si>
  <si>
    <t>Somme de Conso_kWhEP</t>
  </si>
  <si>
    <t>2.0A</t>
  </si>
  <si>
    <t>2013</t>
  </si>
  <si>
    <t>2014</t>
  </si>
  <si>
    <t>2015</t>
  </si>
  <si>
    <t>2016</t>
  </si>
  <si>
    <t>Onglet SYNTHESE : Je trouve cela top qu'il y a le indicateur ETBS vs MOY REG, mais je pense qu'il pourrait être intéressant d'associer (colonne H) pour chaque valeur la différence entre % entre ETBS et MOY. et mettre pourquoi pas un code couleur VERT / ORANGE / ROUGE, cela permettra de plus attirer l'oeil sur ou on est bon ou pas bon</t>
  </si>
  <si>
    <t>Onglet SUIVI DEET : Je trouve cela bien de bien faire ressortir le gains (182 kWh/m²DJU soit 31%) mais je pense qu'il pourrait intéressant d'ajouter (je ne sais sous quelle forme) - valeur au hasard : 
Il faudrait atteindre 155 kWh/m² soit 9% pour atteindre C rel 
Il faudrait atteindre 160 kWh/m&amp; soit 7% pour atteindre C abs
Cela permettraient une meilleur projection pour les établissements/conseiller je pense  =&gt; Je note l'idée pour la prochaine version ;-)</t>
  </si>
  <si>
    <t>Plaquette Broyat Classe  A (10% humidité)</t>
  </si>
  <si>
    <t>Plaquette Broyat Classe  A (15% humidité)</t>
  </si>
  <si>
    <t>Plaquette forestière  P31 à 30% d'humidité</t>
  </si>
  <si>
    <t>PCI BOIS selon ISO 17225</t>
  </si>
  <si>
    <t>Plaquette forestière  P16, 15% d'humidité</t>
  </si>
  <si>
    <t>Puissance chaudière</t>
  </si>
  <si>
    <t>&lt;200kW</t>
  </si>
  <si>
    <t>&lt;500kW</t>
  </si>
  <si>
    <t>&gt;500kW</t>
  </si>
  <si>
    <t>Plaquette forestière  P45 à 40% d'humidité</t>
  </si>
  <si>
    <t>2.0B</t>
  </si>
  <si>
    <t>Bois - Plaquettes Broyat Classe A 15%HB (tonnes)</t>
  </si>
  <si>
    <t>Bois - Plaquettes P45 à 40%HB (tonnes)</t>
  </si>
  <si>
    <t>Bois - Plaquettes P31 à 30%HB (tonnes)</t>
  </si>
  <si>
    <t>Bois - Plaquettes P16 à 15%HB (tonnes)</t>
  </si>
  <si>
    <t>Attention : le DEET attribue un pouvoir calorifique de 2700 pour la plaquette bois alors que selon la nature réelle du combustible, les valeurs peuvent être bien différentes !</t>
  </si>
  <si>
    <t>Ceci explique l'écart important que vous aurez en conso thermique entre les vues Synthèse ou Suivi Energie et _DEET</t>
  </si>
  <si>
    <t>Combustibles : Ajout des principaux types de bois plaquettes
Actualisation des moyennes régionales, données TEO</t>
  </si>
  <si>
    <t>Données 2024</t>
  </si>
  <si>
    <t>Ratios de Consommation Utilisés
Données TEO 06/2026</t>
  </si>
  <si>
    <t>Petit CH / CLINIQUE</t>
  </si>
  <si>
    <t>RA</t>
  </si>
  <si>
    <t/>
  </si>
  <si>
    <t>Nb d'établissement pour
calculer cette moyenne
Elec</t>
  </si>
  <si>
    <t>Nb d'établissement pour
calculer cette moyenne
Chaleur</t>
  </si>
  <si>
    <t>Nb d'établissement pour
calculer cette moyenne
Eau</t>
  </si>
  <si>
    <t>Trim1</t>
  </si>
  <si>
    <t>Trim2</t>
  </si>
  <si>
    <t>Trim3</t>
  </si>
  <si>
    <t>Trim4</t>
  </si>
  <si>
    <t xml:space="preserve">Nom du site </t>
  </si>
  <si>
    <t xml:space="preserve">Adresse </t>
  </si>
  <si>
    <t xml:space="preserve">Finess geographique </t>
  </si>
  <si>
    <t>Engagement de la démarche</t>
  </si>
  <si>
    <t>Etablisssement contacté :</t>
  </si>
  <si>
    <t>Commentaires à destination de l'ANAP et du coordo</t>
  </si>
  <si>
    <t>Etablissement visité :</t>
  </si>
  <si>
    <t>Niveau d'engagement</t>
  </si>
  <si>
    <t>0 : pas engagé à 5 : établissement moteur</t>
  </si>
  <si>
    <t xml:space="preserve">Bilan Carbone </t>
  </si>
  <si>
    <t>Etablissement soumis au DEET :</t>
  </si>
  <si>
    <t xml:space="preserve">Soumis au Bilan Carbone ?  </t>
  </si>
  <si>
    <t>Date du dernier BEGES/Bilan Carbone</t>
  </si>
  <si>
    <t>(JJ/MM/AAAA)</t>
  </si>
  <si>
    <t>Emissions Carbones directes (scope 1 &amp; 2)</t>
  </si>
  <si>
    <t>[tCO2eq]</t>
  </si>
  <si>
    <t>Emissions Carbones indirectes (scope 3)</t>
  </si>
  <si>
    <t xml:space="preserve">Suivi des déchets </t>
  </si>
  <si>
    <t>[t / an]</t>
  </si>
  <si>
    <t>Déchets DAOM</t>
  </si>
  <si>
    <t>Déchets DASRI</t>
  </si>
  <si>
    <t>Déchets valorisés</t>
  </si>
  <si>
    <t>Biodéchets</t>
  </si>
  <si>
    <t>Autres</t>
  </si>
  <si>
    <t>Permet de discriminer les cellules où un écart jugé trop important existe entre les consommations globales brutes et la somme des vecteurs</t>
  </si>
  <si>
    <t xml:space="preserve">Cellules permettant de mettre en lumière les valeurs extrèmes constatées </t>
  </si>
  <si>
    <t>Nb sites avec Elec = 0 ou vide</t>
  </si>
  <si>
    <t>Cellules permettant de mettre en lumière les valeurs extrèmes constatées et de les exclure des indicateurs "Impacts"</t>
  </si>
  <si>
    <t>Permet de discriminer les sites où les consommations d'ECS sont anormalement grandes par rapport aux consommations globales.</t>
  </si>
  <si>
    <t>Degré Jour Unifié (DJU)</t>
  </si>
  <si>
    <t>Suivi de la démarche</t>
  </si>
  <si>
    <t>Surface de plancher [m²]</t>
  </si>
  <si>
    <t xml:space="preserve">Nombre de lits et places </t>
  </si>
  <si>
    <t>Consommations Energétiques Globales 
tous vecteurs confondus [kWh EF] données brutes CTEES</t>
  </si>
  <si>
    <t>Consommation électricité (réseau et autoconsommation collective le cas échéant)
(kWh EF]</t>
  </si>
  <si>
    <t>Consommation gaz (réseau et/ou GPL)
[kWh PCS]</t>
  </si>
  <si>
    <t>Consommation RCU 
[kWh]</t>
  </si>
  <si>
    <t>Consommation RFU 
[kWh]</t>
  </si>
  <si>
    <t>Consommation fioul 
[kWh PCS]</t>
  </si>
  <si>
    <t>Consommation biomasse
[kWh PCS]</t>
  </si>
  <si>
    <t>Production autoconsommée photovoltaïque
[kWh]</t>
  </si>
  <si>
    <t>Production autoconsommée géothermie
[kWh]</t>
  </si>
  <si>
    <t>Production autoconsommée solaire thermique
[kWh]</t>
  </si>
  <si>
    <t>Consommation d'eau
[m3]</t>
  </si>
  <si>
    <t>Consommation d'ECS
(Estimée ou issue de sous comptage)
[kWh EF]</t>
  </si>
  <si>
    <r>
      <t xml:space="preserve">Dépense énergétique globale - tous vecteurs confondus 
</t>
    </r>
    <r>
      <rPr>
        <b/>
        <sz val="11"/>
        <color rgb="FFFF0000"/>
        <rFont val="Calibri"/>
        <family val="2"/>
        <charset val="1"/>
      </rPr>
      <t xml:space="preserve"> [en </t>
    </r>
    <r>
      <rPr>
        <b/>
        <u/>
        <sz val="11"/>
        <color rgb="FFFF0000"/>
        <rFont val="Calibri"/>
        <family val="2"/>
        <charset val="1"/>
      </rPr>
      <t>EURO</t>
    </r>
    <r>
      <rPr>
        <b/>
        <sz val="11"/>
        <color rgb="FFFF0000"/>
        <rFont val="Calibri"/>
        <family val="2"/>
        <charset val="1"/>
      </rPr>
      <t xml:space="preserve"> TTC]</t>
    </r>
  </si>
  <si>
    <r>
      <t xml:space="preserve">Dépense chauffage 
</t>
    </r>
    <r>
      <rPr>
        <b/>
        <sz val="11"/>
        <color rgb="FFFF0000"/>
        <rFont val="Calibri"/>
        <family val="2"/>
        <charset val="1"/>
      </rPr>
      <t xml:space="preserve">[en </t>
    </r>
    <r>
      <rPr>
        <b/>
        <u/>
        <sz val="11"/>
        <color rgb="FFFF0000"/>
        <rFont val="Calibri"/>
        <family val="2"/>
      </rPr>
      <t>EURO</t>
    </r>
    <r>
      <rPr>
        <b/>
        <sz val="11"/>
        <color rgb="FFFF0000"/>
        <rFont val="Calibri"/>
        <family val="2"/>
        <charset val="1"/>
      </rPr>
      <t xml:space="preserve"> TTC]</t>
    </r>
  </si>
  <si>
    <r>
      <rPr>
        <b/>
        <sz val="11"/>
        <color theme="1"/>
        <rFont val="Calibri"/>
        <family val="2"/>
        <charset val="1"/>
      </rPr>
      <t xml:space="preserve">Dépense électricité réseau
</t>
    </r>
    <r>
      <rPr>
        <b/>
        <sz val="11"/>
        <color rgb="FFFF0000"/>
        <rFont val="Calibri"/>
        <family val="2"/>
        <charset val="1"/>
      </rPr>
      <t xml:space="preserve"> [en </t>
    </r>
    <r>
      <rPr>
        <b/>
        <u/>
        <sz val="11"/>
        <color rgb="FFFF0000"/>
        <rFont val="Calibri"/>
        <family val="2"/>
        <charset val="1"/>
      </rPr>
      <t>EURO</t>
    </r>
    <r>
      <rPr>
        <b/>
        <sz val="11"/>
        <color rgb="FFFF0000"/>
        <rFont val="Calibri"/>
        <family val="2"/>
        <charset val="1"/>
      </rPr>
      <t xml:space="preserve"> TTC]</t>
    </r>
  </si>
  <si>
    <r>
      <rPr>
        <b/>
        <sz val="11"/>
        <color theme="1"/>
        <rFont val="Calibri"/>
        <family val="2"/>
        <charset val="1"/>
      </rPr>
      <t xml:space="preserve">Dépense gaz
</t>
    </r>
    <r>
      <rPr>
        <b/>
        <sz val="11"/>
        <color rgb="FFFF0000"/>
        <rFont val="Calibri"/>
        <family val="2"/>
        <charset val="1"/>
      </rPr>
      <t xml:space="preserve"> [en </t>
    </r>
    <r>
      <rPr>
        <b/>
        <u/>
        <sz val="11"/>
        <color rgb="FFFF0000"/>
        <rFont val="Calibri"/>
        <family val="2"/>
        <charset val="1"/>
      </rPr>
      <t>EURO</t>
    </r>
    <r>
      <rPr>
        <b/>
        <sz val="11"/>
        <color rgb="FFFF0000"/>
        <rFont val="Calibri"/>
        <family val="2"/>
        <charset val="1"/>
      </rPr>
      <t xml:space="preserve"> TTC]</t>
    </r>
  </si>
  <si>
    <r>
      <rPr>
        <b/>
        <sz val="11"/>
        <color theme="1"/>
        <rFont val="Calibri"/>
        <family val="2"/>
        <charset val="1"/>
      </rPr>
      <t xml:space="preserve">Dépense RCU 
 </t>
    </r>
    <r>
      <rPr>
        <b/>
        <sz val="11"/>
        <color rgb="FFFF0000"/>
        <rFont val="Calibri"/>
        <family val="2"/>
        <charset val="1"/>
      </rPr>
      <t xml:space="preserve">[en </t>
    </r>
    <r>
      <rPr>
        <b/>
        <u/>
        <sz val="11"/>
        <color rgb="FFFF0000"/>
        <rFont val="Calibri"/>
        <family val="2"/>
        <charset val="1"/>
      </rPr>
      <t>EURO</t>
    </r>
    <r>
      <rPr>
        <b/>
        <sz val="11"/>
        <color rgb="FFFF0000"/>
        <rFont val="Calibri"/>
        <family val="2"/>
        <charset val="1"/>
      </rPr>
      <t xml:space="preserve"> TTC]</t>
    </r>
  </si>
  <si>
    <r>
      <t xml:space="preserve">Dépense RFU 
</t>
    </r>
    <r>
      <rPr>
        <b/>
        <sz val="11"/>
        <color rgb="FFFF0000"/>
        <rFont val="Calibri"/>
        <family val="2"/>
        <charset val="1"/>
      </rPr>
      <t xml:space="preserve"> [en </t>
    </r>
    <r>
      <rPr>
        <b/>
        <u/>
        <sz val="11"/>
        <color rgb="FFFF0000"/>
        <rFont val="Calibri"/>
        <family val="2"/>
        <charset val="1"/>
      </rPr>
      <t>EURO</t>
    </r>
    <r>
      <rPr>
        <b/>
        <sz val="11"/>
        <color rgb="FFFF0000"/>
        <rFont val="Calibri"/>
        <family val="2"/>
        <charset val="1"/>
      </rPr>
      <t xml:space="preserve"> TTC]</t>
    </r>
  </si>
  <si>
    <r>
      <t xml:space="preserve">Dépense fioul 
</t>
    </r>
    <r>
      <rPr>
        <b/>
        <sz val="11"/>
        <color rgb="FFFF0000"/>
        <rFont val="Calibri"/>
        <family val="2"/>
        <charset val="1"/>
      </rPr>
      <t xml:space="preserve"> [en </t>
    </r>
    <r>
      <rPr>
        <b/>
        <u/>
        <sz val="11"/>
        <color rgb="FFFF0000"/>
        <rFont val="Calibri"/>
        <family val="2"/>
      </rPr>
      <t>EURO</t>
    </r>
    <r>
      <rPr>
        <b/>
        <sz val="11"/>
        <color rgb="FFFF0000"/>
        <rFont val="Calibri"/>
        <family val="2"/>
        <charset val="1"/>
      </rPr>
      <t xml:space="preserve"> TTC]</t>
    </r>
  </si>
  <si>
    <r>
      <t xml:space="preserve">Dépense photovoltaïque (cas d'autoconsommation collective)
</t>
    </r>
    <r>
      <rPr>
        <b/>
        <sz val="11"/>
        <color rgb="FFFF0000"/>
        <rFont val="Calibri"/>
        <family val="2"/>
        <charset val="1"/>
      </rPr>
      <t xml:space="preserve"> [en </t>
    </r>
    <r>
      <rPr>
        <b/>
        <u/>
        <sz val="11"/>
        <color rgb="FFFF0000"/>
        <rFont val="Calibri"/>
        <family val="2"/>
      </rPr>
      <t>EURO</t>
    </r>
    <r>
      <rPr>
        <b/>
        <sz val="11"/>
        <color rgb="FFFF0000"/>
        <rFont val="Calibri"/>
        <family val="2"/>
        <charset val="1"/>
      </rPr>
      <t xml:space="preserve"> TTC]</t>
    </r>
  </si>
  <si>
    <r>
      <t xml:space="preserve">Dépense biomasse
</t>
    </r>
    <r>
      <rPr>
        <b/>
        <sz val="11"/>
        <color rgb="FFFF0000"/>
        <rFont val="Calibri"/>
        <family val="2"/>
        <charset val="1"/>
      </rPr>
      <t xml:space="preserve"> [en </t>
    </r>
    <r>
      <rPr>
        <b/>
        <u/>
        <sz val="11"/>
        <color rgb="FFFF0000"/>
        <rFont val="Calibri"/>
        <family val="2"/>
      </rPr>
      <t>EURO</t>
    </r>
    <r>
      <rPr>
        <b/>
        <sz val="11"/>
        <color rgb="FFFF0000"/>
        <rFont val="Calibri"/>
        <family val="2"/>
        <charset val="1"/>
      </rPr>
      <t xml:space="preserve"> TTC]</t>
    </r>
  </si>
  <si>
    <r>
      <t xml:space="preserve">Dépense eau
</t>
    </r>
    <r>
      <rPr>
        <b/>
        <sz val="11"/>
        <color rgb="FFFF0000"/>
        <rFont val="Calibri"/>
        <family val="2"/>
        <charset val="1"/>
      </rPr>
      <t xml:space="preserve"> [en </t>
    </r>
    <r>
      <rPr>
        <b/>
        <u/>
        <sz val="11"/>
        <color rgb="FFFF0000"/>
        <rFont val="Calibri"/>
        <family val="2"/>
      </rPr>
      <t>EURO</t>
    </r>
    <r>
      <rPr>
        <b/>
        <sz val="11"/>
        <color rgb="FFFF0000"/>
        <rFont val="Calibri"/>
        <family val="2"/>
        <charset val="1"/>
      </rPr>
      <t xml:space="preserve"> TTC]</t>
    </r>
  </si>
  <si>
    <t>Empreinte carbone</t>
  </si>
  <si>
    <t>Déchets DAOM
[t / an]</t>
  </si>
  <si>
    <t>Déchets DASRI
[t / an]</t>
  </si>
  <si>
    <t>Déchets valorisés
[t / an]</t>
  </si>
  <si>
    <t>Biodéchets
[t/an]</t>
  </si>
  <si>
    <t>Autres
[t/an]</t>
  </si>
  <si>
    <t>Consommations Energétiques Globales 
tous vecteurs confondus [kWh EF] Sommes des vecteurs</t>
  </si>
  <si>
    <t>Consommations Energétiques Globales 
tous vecteurs confondus [kWh EF]</t>
  </si>
  <si>
    <t>Ecart entre les consommations globales et la somme des vecteurs</t>
  </si>
  <si>
    <t xml:space="preserve">Evolution des consommations globales </t>
  </si>
  <si>
    <t>Le vecteur électrique est-il manquant ?</t>
  </si>
  <si>
    <t xml:space="preserve">Evolution surface de plancher </t>
  </si>
  <si>
    <t>Evolution du nombre de lits</t>
  </si>
  <si>
    <t>Coût unitaire de l'énergie consommée
[€/MWh]</t>
  </si>
  <si>
    <t>Consommations énergétiques globales corrigées du climat 
(tous vecteurs et usages confondus)
[kW EF *DJU 2001-2020/ DJU Année N]</t>
  </si>
  <si>
    <t>Evolution des conso énergétiques globales corrigées du climat 
(tous vecteurs et usages confondus)
[kW EF *DJU 2001-2020/ DJU Année N]</t>
  </si>
  <si>
    <t>Consommations estimées de chaud (chauffage et ECS) corrigées du climat
[kW EF *DJU 2001-2020/ DJU Année N]</t>
  </si>
  <si>
    <t>Consommations estimées de chauffage corrigées du climat
[kW EF *DJU 2001-2020/ DJU Année N]</t>
  </si>
  <si>
    <t>part de la consommation ECS dans les consommations globales</t>
  </si>
  <si>
    <t>Consommations estimées de chauffage corrigées du climat + autres consommations non corrigées
[kW EF *DJU 2001-2020/ DJU Année N]</t>
  </si>
  <si>
    <t>Consommations énergétiques globales les plus précises obtenues
corrigées du climat dans la mesure du possible
[kW EF *DJU 2001-2020/ DJU Année N]</t>
  </si>
  <si>
    <t>Consommation énergétique surfacique
Non corrigée du climat
[kWh EF / m² Surface De Plancher]</t>
  </si>
  <si>
    <t>Consommations énergétiques surfacique 
Chauffage corrigé du climat
[kWh EF / m² Surface De Plancher]</t>
  </si>
  <si>
    <t>Consommations énergétiques surfacique
Tous vecteurs corrigés du climat
[kWh EF / m² Surface De Plancher]</t>
  </si>
  <si>
    <t>Consommations énergétiques surfacique corrigées du climat
(Donnée la plus précise disponible)
[kWh EF / m² Surface De Plancher]</t>
  </si>
  <si>
    <t>Evolution Conso énergétiques /m²</t>
  </si>
  <si>
    <t>Consommations énergétiques / capacitaire
Non corrigées du climat 
[kWh EF / Nb de lits + places]</t>
  </si>
  <si>
    <t>Consommations énergétiques  / capacitaire 
 les plus précises obtenues corrigées du climat dans la mesure du possible
[kWh EF / Nb de lits + places]</t>
  </si>
  <si>
    <t>Evolution conso énergétique / lit</t>
  </si>
  <si>
    <t>Consommation d'eau / capacitaire 
[m3 d'eau / Nb de lits + places]</t>
  </si>
  <si>
    <t>Evolution conso eau / lit</t>
  </si>
  <si>
    <t>Masse de déchet / capacitaire 
[t totale de déchets / Nb de lits + places]</t>
  </si>
  <si>
    <t xml:space="preserve">Evolution des consommations à partir des données les plus précises obtenues en MWh </t>
  </si>
  <si>
    <t>Impact k€</t>
  </si>
  <si>
    <t>FINESS GEO</t>
  </si>
  <si>
    <t>STATION DJU</t>
  </si>
  <si>
    <t>Référence (2001-2020)</t>
  </si>
  <si>
    <t>Contact établi avec l’établissement [Oui/Non]</t>
  </si>
  <si>
    <t>Etablissement visité [Oui/Non]</t>
  </si>
  <si>
    <t>Niveau d'engagement de la structure
(de 0 : pas engagé à 5 : établissement moteur)</t>
  </si>
  <si>
    <t>Nombre de bâtiments</t>
  </si>
  <si>
    <t>Mode de chauffage majoritaire</t>
  </si>
  <si>
    <t>Si existant, mode de chauffage secondaire</t>
  </si>
  <si>
    <t>Mode de production d'ECS majoritaire</t>
  </si>
  <si>
    <t>Etablissement soumis au DEET (Oui/Non)</t>
  </si>
  <si>
    <t>Soumis au Bilan Carbone ?  
(Oui/Non)</t>
  </si>
  <si>
    <t>Date du dernier BEGES/Bilan Carbone
(JJ/MM/AAAA)</t>
  </si>
  <si>
    <t>Emissions Carbones directes (scope 1 &amp; 2)
[tCO2eq]</t>
  </si>
  <si>
    <t>Emissions Carbones indirectes (scope 3)
[tCO2eq]</t>
  </si>
  <si>
    <t>Commentaire CTEES / Coordo</t>
  </si>
  <si>
    <t>2021-&gt;2022</t>
  </si>
  <si>
    <t>2022-&gt;2023</t>
  </si>
  <si>
    <t>2023-&gt;2024</t>
  </si>
  <si>
    <t>2024-&gt;2025</t>
  </si>
  <si>
    <t>2025-&gt;2026</t>
  </si>
  <si>
    <t>Surface de plancher prise en compte dans les calculs
(m²)</t>
  </si>
  <si>
    <t>réduction en % depuis le debut du reporting.</t>
  </si>
  <si>
    <t>ANAP : Modification/prise en compte des commentaire/Commentaire</t>
  </si>
  <si>
    <t>Froid</t>
  </si>
  <si>
    <t>Réseau de froid (kWh)</t>
  </si>
  <si>
    <t>Total Somme de Cout_jour</t>
  </si>
  <si>
    <t>Réseau de Froid</t>
  </si>
  <si>
    <t>2026</t>
  </si>
  <si>
    <t>Mode de chauffage majoritaire :</t>
  </si>
  <si>
    <t>Si existant, mode de chauffage secondaire :</t>
  </si>
  <si>
    <t>Mode de production d'ECS majoritaire :</t>
  </si>
  <si>
    <t>Géothermie</t>
  </si>
  <si>
    <t>géothermie_autoconsommé</t>
  </si>
  <si>
    <t>Chaleur (kWh)</t>
  </si>
  <si>
    <t>Elec général</t>
  </si>
  <si>
    <t>Gaz général</t>
  </si>
  <si>
    <t>2010</t>
  </si>
  <si>
    <t>2011</t>
  </si>
  <si>
    <t>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</si>
</sst>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164" formatCode="_(&quot;€&quot;* #,##0.00_);_(&quot;€&quot;* \(#,##0.00\);_(&quot;€&quot;* &quot;-&quot;??_);_(@_)"/>
    <numFmt numFmtId="165" formatCode="_(* #,##0.00_);_(* \(#,##0.00\);_(* &quot;-&quot;??_);_(@_)"/>
    <numFmt numFmtId="166" formatCode="0.000"/>
    <numFmt numFmtId="167" formatCode="_-* #,##0.0\ _€_-;\-* #,##0.0\ _€_-;_-* \-?\ _€_-;_-@_-"/>
    <numFmt numFmtId="168" formatCode="_-* #,##0.00\ _€_-;\-* #,##0.00\ _€_-;_-* \-??\ _€_-;_-@_-"/>
    <numFmt numFmtId="169" formatCode="_-* #,##0.0\ _€_-;\-* #,##0.0\ _€_-;_-* \-??\ _€_-;_-@_-"/>
    <numFmt numFmtId="170" formatCode="0.0&quot; kWh/m².an&quot;"/>
    <numFmt numFmtId="171" formatCode="_-* #,##0\ &quot;€&quot;_-;\-* #,##0\ &quot;€&quot;_-;_-* &quot;-&quot;??\ &quot;€&quot;_-;_-@_-"/>
    <numFmt numFmtId="172" formatCode="0.0&quot; l/j.lit&quot;"/>
    <numFmt numFmtId="173" formatCode="_-* #,##0_-;\-* #,##0_-;_-* &quot;-&quot;??_-;_-@_-"/>
    <numFmt numFmtId="174" formatCode="0.0&quot; kWhEP/m².an&quot;"/>
    <numFmt numFmtId="175" formatCode="0.00&quot; MWh [EF PCI]&quot;"/>
    <numFmt numFmtId="176" formatCode="0.0&quot; kWh [EP PCI]/m².an&quot;"/>
    <numFmt numFmtId="177" formatCode="0.0&quot; kWh [EF PCI]/m².an&quot;"/>
    <numFmt numFmtId="178" formatCode="0.0"/>
    <numFmt numFmtId="179" formatCode="0&quot; m²/usager&quot;"/>
    <numFmt numFmtId="180" formatCode="0.0%"/>
    <numFmt numFmtId="181" formatCode="_-* #,##0.0_-;\-* #,##0.0_-;_-* &quot;-&quot;??_-;_-@_-"/>
    <numFmt numFmtId="182" formatCode="0.0&quot; l/j.Usager&quot;"/>
    <numFmt numFmtId="183" formatCode="0.0&quot; W/m²&quot;"/>
    <numFmt numFmtId="184" formatCode="0.0&quot; kWh/mois.m²&quot;"/>
    <numFmt numFmtId="185" formatCode="_-* #,##0.0\ _€_-;\-* #,##0.0\ _€_-;_-* &quot;-&quot;?\ _€_-;_-@_-"/>
    <numFmt numFmtId="186" formatCode="_-* #,##0.000000\ _€_-;\-* #,##0.000000\ _€_-;_-* &quot;-&quot;?\ _€_-;_-@_-"/>
    <numFmt numFmtId="187" formatCode="#,##0.00\ &quot;€&quot;"/>
    <numFmt numFmtId="188" formatCode="_-* #,##0_-;\-* #,##0_-;_-* \-??_-;_-@_-"/>
  </numFmts>
  <fonts count="92">
    <font>
      <sz val="11"/>
      <color theme="1"/>
      <name val="Calibri"/>
      <family val="2"/>
      <scheme val="minor"/>
    </font>
    <font>
      <sz val="11"/>
      <color theme="1"/>
      <name val="Calibri"/>
      <family val="2"/>
      <scheme val="minor"/>
    </font>
    <font>
      <b/>
      <sz val="11"/>
      <color theme="0"/>
      <name val="Calibri"/>
      <family val="2"/>
      <scheme val="minor"/>
    </font>
    <font>
      <b/>
      <sz val="10"/>
      <color theme="1"/>
      <name val="Calibri"/>
      <family val="2"/>
      <scheme val="minor"/>
    </font>
    <font>
      <sz val="10"/>
      <color rgb="FF000000"/>
      <name val="Calibri"/>
      <family val="2"/>
    </font>
    <font>
      <b/>
      <sz val="10"/>
      <color theme="1"/>
      <name val="Arial"/>
      <family val="2"/>
    </font>
    <font>
      <sz val="10"/>
      <color theme="1"/>
      <name val="Calibri"/>
      <family val="2"/>
      <scheme val="minor"/>
    </font>
    <font>
      <sz val="10"/>
      <color rgb="FF000000"/>
      <name val="Calibri"/>
      <family val="2"/>
      <charset val="1"/>
    </font>
    <font>
      <b/>
      <sz val="11"/>
      <color theme="1"/>
      <name val="Calibri"/>
      <family val="2"/>
      <scheme val="minor"/>
    </font>
    <font>
      <sz val="11"/>
      <color rgb="FF000000"/>
      <name val="Calibri"/>
      <family val="2"/>
      <charset val="1"/>
    </font>
    <font>
      <b/>
      <sz val="11"/>
      <color rgb="FFFFFFFF"/>
      <name val="Calibri"/>
      <family val="2"/>
      <charset val="1"/>
    </font>
    <font>
      <b/>
      <sz val="14"/>
      <color theme="1"/>
      <name val="Calibri"/>
      <family val="2"/>
      <scheme val="minor"/>
    </font>
    <font>
      <b/>
      <sz val="10"/>
      <color rgb="FF000000"/>
      <name val="Calibri"/>
      <family val="2"/>
      <charset val="1"/>
    </font>
    <font>
      <sz val="11"/>
      <color rgb="FFFF0000"/>
      <name val="Calibri"/>
      <family val="2"/>
      <scheme val="minor"/>
    </font>
    <font>
      <b/>
      <sz val="10"/>
      <color theme="0"/>
      <name val="Calibri Light"/>
      <family val="2"/>
      <scheme val="major"/>
    </font>
    <font>
      <b/>
      <sz val="10"/>
      <color theme="1"/>
      <name val="Calibri Light"/>
      <family val="2"/>
      <scheme val="major"/>
    </font>
    <font>
      <sz val="11"/>
      <name val="Calibri"/>
      <family val="2"/>
      <scheme val="minor"/>
    </font>
    <font>
      <b/>
      <sz val="10"/>
      <color rgb="FF000000"/>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0"/>
      <color theme="1"/>
      <name val="Calibri"/>
      <family val="2"/>
    </font>
    <font>
      <b/>
      <sz val="9"/>
      <color theme="1"/>
      <name val="Calibri"/>
      <family val="2"/>
    </font>
    <font>
      <sz val="10"/>
      <color rgb="FFFF0000"/>
      <name val="Calibri"/>
      <family val="2"/>
      <scheme val="minor"/>
    </font>
    <font>
      <sz val="8"/>
      <color rgb="FFFF0000"/>
      <name val="Calibri"/>
      <family val="2"/>
      <scheme val="minor"/>
    </font>
    <font>
      <b/>
      <sz val="9"/>
      <color theme="1"/>
      <name val="Calibri"/>
      <family val="2"/>
      <scheme val="minor"/>
    </font>
    <font>
      <sz val="9"/>
      <color theme="1"/>
      <name val="Calibri"/>
      <family val="2"/>
      <scheme val="minor"/>
    </font>
    <font>
      <b/>
      <sz val="9"/>
      <color indexed="81"/>
      <name val="Tahoma"/>
      <family val="2"/>
    </font>
    <font>
      <sz val="9"/>
      <color indexed="81"/>
      <name val="Tahoma"/>
      <family val="2"/>
    </font>
    <font>
      <sz val="11"/>
      <color indexed="81"/>
      <name val="Tahoma"/>
      <family val="2"/>
    </font>
    <font>
      <sz val="9"/>
      <color rgb="FFFF0000"/>
      <name val="Calibri"/>
      <family val="2"/>
      <scheme val="minor"/>
    </font>
    <font>
      <b/>
      <sz val="16"/>
      <color theme="1"/>
      <name val="Calibri"/>
      <family val="2"/>
      <scheme val="minor"/>
    </font>
    <font>
      <sz val="8"/>
      <name val="Calibri"/>
      <family val="2"/>
      <scheme val="minor"/>
    </font>
    <font>
      <u/>
      <sz val="11"/>
      <color theme="10"/>
      <name val="Calibri"/>
      <family val="2"/>
      <scheme val="minor"/>
    </font>
    <font>
      <sz val="11"/>
      <color rgb="FF0070C0"/>
      <name val="Calibri"/>
      <family val="2"/>
      <scheme val="minor"/>
    </font>
    <font>
      <sz val="8"/>
      <color theme="1"/>
      <name val="Calibri"/>
      <family val="2"/>
      <scheme val="minor"/>
    </font>
    <font>
      <sz val="11"/>
      <color rgb="FF9933FF"/>
      <name val="Calibri"/>
      <family val="2"/>
      <scheme val="minor"/>
    </font>
    <font>
      <sz val="11"/>
      <color rgb="FF1506DE"/>
      <name val="Calibri"/>
      <family val="2"/>
      <scheme val="minor"/>
    </font>
    <font>
      <sz val="12"/>
      <color theme="1"/>
      <name val="Calibri"/>
      <family val="2"/>
      <scheme val="minor"/>
    </font>
    <font>
      <sz val="10"/>
      <name val="Calibri"/>
      <family val="2"/>
      <scheme val="minor"/>
    </font>
    <font>
      <sz val="11"/>
      <color theme="1"/>
      <name val="Calibri"/>
      <family val="2"/>
    </font>
    <font>
      <b/>
      <sz val="10"/>
      <color theme="1"/>
      <name val="Calibri"/>
      <family val="2"/>
    </font>
    <font>
      <sz val="10"/>
      <color rgb="FF000000"/>
      <name val="Calibri"/>
      <family val="2"/>
      <scheme val="minor"/>
    </font>
    <font>
      <sz val="9"/>
      <color rgb="FF000000"/>
      <name val="Calibri"/>
      <family val="2"/>
      <scheme val="minor"/>
    </font>
    <font>
      <b/>
      <sz val="9"/>
      <color rgb="FF000000"/>
      <name val="Calibri"/>
      <family val="2"/>
      <scheme val="minor"/>
    </font>
    <font>
      <b/>
      <vertAlign val="subscript"/>
      <sz val="10"/>
      <color theme="1"/>
      <name val="Calibri"/>
      <family val="2"/>
      <scheme val="minor"/>
    </font>
    <font>
      <sz val="8"/>
      <color theme="1"/>
      <name val="Calibri"/>
      <family val="2"/>
    </font>
    <font>
      <sz val="10"/>
      <color rgb="FF00B050"/>
      <name val="Calibri"/>
      <family val="2"/>
    </font>
    <font>
      <b/>
      <sz val="10"/>
      <color rgb="FF00B050"/>
      <name val="Calibri"/>
      <family val="2"/>
    </font>
    <font>
      <sz val="8"/>
      <color rgb="FF00B050"/>
      <name val="Calibri"/>
      <family val="2"/>
    </font>
    <font>
      <sz val="11"/>
      <color rgb="FF000000"/>
      <name val="Calibri"/>
      <family val="2"/>
    </font>
    <font>
      <b/>
      <sz val="10"/>
      <color rgb="FF0000FF"/>
      <name val="Calibri"/>
      <family val="2"/>
    </font>
    <font>
      <sz val="8"/>
      <color rgb="FF0000FF"/>
      <name val="Calibri"/>
      <family val="2"/>
    </font>
    <font>
      <sz val="10"/>
      <color rgb="FFFF0000"/>
      <name val="Calibri"/>
      <family val="2"/>
    </font>
    <font>
      <b/>
      <sz val="10"/>
      <color rgb="FFFF0000"/>
      <name val="Calibri"/>
      <family val="2"/>
    </font>
    <font>
      <sz val="8"/>
      <color rgb="FFFF0000"/>
      <name val="Calibri"/>
      <family val="2"/>
    </font>
    <font>
      <sz val="10"/>
      <color rgb="FF0000FF"/>
      <name val="Calibri"/>
      <family val="2"/>
    </font>
    <font>
      <i/>
      <sz val="10"/>
      <color theme="1"/>
      <name val="Calibri"/>
      <family val="2"/>
    </font>
    <font>
      <i/>
      <sz val="10"/>
      <color rgb="FF0000FF"/>
      <name val="Calibri"/>
      <family val="2"/>
    </font>
    <font>
      <i/>
      <sz val="8"/>
      <color theme="1"/>
      <name val="Calibri"/>
      <family val="2"/>
    </font>
    <font>
      <b/>
      <sz val="11"/>
      <color rgb="FFFF0000"/>
      <name val="Calibri"/>
      <family val="2"/>
      <scheme val="minor"/>
    </font>
    <font>
      <b/>
      <u/>
      <sz val="11"/>
      <color theme="1"/>
      <name val="Calibri"/>
      <family val="2"/>
      <scheme val="minor"/>
    </font>
    <font>
      <sz val="11"/>
      <name val="Calibri"/>
      <family val="2"/>
    </font>
    <font>
      <b/>
      <sz val="11"/>
      <color theme="0"/>
      <name val="Calibri"/>
      <family val="2"/>
      <scheme val="minor"/>
    </font>
    <font>
      <b/>
      <i/>
      <sz val="11"/>
      <color theme="1"/>
      <name val="Calibri"/>
      <family val="2"/>
      <scheme val="minor"/>
    </font>
    <font>
      <i/>
      <sz val="11"/>
      <color theme="1"/>
      <name val="Calibri"/>
      <family val="2"/>
      <scheme val="minor"/>
    </font>
    <font>
      <b/>
      <sz val="11"/>
      <color theme="1"/>
      <name val="Calibri"/>
      <family val="2"/>
      <charset val="1"/>
    </font>
    <font>
      <sz val="11"/>
      <color theme="1"/>
      <name val="Calibri"/>
      <family val="2"/>
      <charset val="1"/>
    </font>
    <font>
      <sz val="11"/>
      <name val="Calibri"/>
      <family val="2"/>
      <charset val="1"/>
    </font>
    <font>
      <b/>
      <sz val="11"/>
      <color rgb="FFFF0000"/>
      <name val="Calibri"/>
      <family val="2"/>
      <charset val="1"/>
    </font>
    <font>
      <b/>
      <u/>
      <sz val="11"/>
      <color rgb="FFFF0000"/>
      <name val="Calibri"/>
      <family val="2"/>
      <charset val="1"/>
    </font>
    <font>
      <b/>
      <u/>
      <sz val="11"/>
      <color rgb="FFFF0000"/>
      <name val="Calibri"/>
      <family val="2"/>
    </font>
    <font>
      <b/>
      <sz val="11"/>
      <color theme="1"/>
      <name val="Aptos Narrow"/>
      <family val="2"/>
    </font>
    <font>
      <b/>
      <sz val="11"/>
      <color theme="1"/>
      <name val="Calibri"/>
      <family val="2"/>
    </font>
    <font>
      <sz val="11"/>
      <name val="Aptos Narrow"/>
      <family val="2"/>
      <charset val="1"/>
    </font>
    <font>
      <b/>
      <sz val="11"/>
      <name val="Calibri"/>
      <family val="2"/>
      <charset val="1"/>
    </font>
    <font>
      <b/>
      <sz val="11"/>
      <color rgb="FF1E1C11"/>
      <name val="Calibri"/>
      <family val="2"/>
      <charset val="1"/>
    </font>
    <font>
      <b/>
      <sz val="11"/>
      <color rgb="FF000000"/>
      <name val="Calibri"/>
      <family val="2"/>
      <charset val="1"/>
    </font>
    <font>
      <sz val="11"/>
      <name val="Aptos Narrow"/>
      <family val="2"/>
    </font>
    <font>
      <sz val="11"/>
      <color theme="1"/>
      <name val="Aptos Narrow"/>
      <family val="2"/>
      <charset val="1"/>
    </font>
    <font>
      <sz val="10"/>
      <color theme="1"/>
      <name val="Arial"/>
      <family val="2"/>
    </font>
    <font>
      <sz val="10"/>
      <name val="Arial"/>
      <family val="2"/>
    </font>
  </fonts>
  <fills count="91">
    <fill>
      <patternFill patternType="none"/>
    </fill>
    <fill>
      <patternFill patternType="gray125"/>
    </fill>
    <fill>
      <patternFill patternType="solid">
        <fgColor theme="4"/>
        <bgColor theme="4"/>
      </patternFill>
    </fill>
    <fill>
      <patternFill patternType="solid">
        <fgColor theme="8" tint="0.39997558519241921"/>
        <bgColor indexed="64"/>
      </patternFill>
    </fill>
    <fill>
      <patternFill patternType="solid">
        <fgColor theme="4" tint="0.59999389629810485"/>
        <bgColor rgb="FFFFFFD7"/>
      </patternFill>
    </fill>
    <fill>
      <patternFill patternType="solid">
        <fgColor theme="0" tint="-0.14999847407452621"/>
        <bgColor indexed="64"/>
      </patternFill>
    </fill>
    <fill>
      <patternFill patternType="solid">
        <fgColor theme="0"/>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bgColor indexed="64"/>
      </patternFill>
    </fill>
    <fill>
      <patternFill patternType="solid">
        <fgColor rgb="FF5B9BD5"/>
        <bgColor rgb="FF4F81BD"/>
      </patternFill>
    </fill>
    <fill>
      <patternFill patternType="solid">
        <fgColor theme="0"/>
        <bgColor rgb="FFFFFFD7"/>
      </patternFill>
    </fill>
    <fill>
      <patternFill patternType="solid">
        <fgColor theme="0"/>
        <bgColor rgb="FF4F81BD"/>
      </patternFill>
    </fill>
    <fill>
      <patternFill patternType="solid">
        <fgColor theme="0"/>
        <bgColor rgb="FFFF99CC"/>
      </patternFill>
    </fill>
    <fill>
      <patternFill patternType="solid">
        <fgColor rgb="FFFFFFFF"/>
        <bgColor rgb="FFF2F2F2"/>
      </patternFill>
    </fill>
    <fill>
      <patternFill patternType="solid">
        <fgColor theme="8" tint="-0.249977111117893"/>
        <bgColor rgb="FFFFE598"/>
      </patternFill>
    </fill>
    <fill>
      <patternFill patternType="solid">
        <fgColor theme="8" tint="0.39997558519241921"/>
        <bgColor rgb="FFFFE598"/>
      </patternFill>
    </fill>
    <fill>
      <patternFill patternType="solid">
        <fgColor theme="4" tint="0.39997558519241921"/>
        <bgColor rgb="FF4F81BD"/>
      </patternFill>
    </fill>
    <fill>
      <patternFill patternType="solid">
        <fgColor theme="4" tint="0.39997558519241921"/>
        <bgColor indexed="64"/>
      </patternFill>
    </fill>
    <fill>
      <patternFill patternType="solid">
        <fgColor theme="4" tint="0.79998168889431442"/>
        <bgColor rgb="FFFFFFD7"/>
      </patternFill>
    </fill>
    <fill>
      <patternFill patternType="solid">
        <fgColor theme="2"/>
        <bgColor rgb="FFFF99CC"/>
      </patternFill>
    </fill>
    <fill>
      <patternFill patternType="solid">
        <fgColor theme="2"/>
        <bgColor indexed="64"/>
      </patternFill>
    </fill>
    <fill>
      <patternFill patternType="solid">
        <fgColor theme="4" tint="0.39997558519241921"/>
        <bgColor rgb="FFFFFFD7"/>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DD6EE"/>
        <bgColor indexed="64"/>
      </patternFill>
    </fill>
    <fill>
      <patternFill patternType="solid">
        <fgColor theme="4" tint="0.79998168889431442"/>
        <bgColor theme="4" tint="0.79998168889431442"/>
      </patternFill>
    </fill>
    <fill>
      <patternFill patternType="solid">
        <fgColor theme="9" tint="0.39997558519241921"/>
        <bgColor indexed="64"/>
      </patternFill>
    </fill>
    <fill>
      <patternFill patternType="solid">
        <fgColor theme="9"/>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rgb="FFE5B8B7"/>
        <bgColor rgb="FFE5B8B7"/>
      </patternFill>
    </fill>
    <fill>
      <patternFill patternType="solid">
        <fgColor theme="0"/>
        <bgColor theme="0"/>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33CC33"/>
        <bgColor indexed="64"/>
      </patternFill>
    </fill>
    <fill>
      <patternFill patternType="solid">
        <fgColor rgb="FFFFFF00"/>
        <bgColor rgb="FFFF99CC"/>
      </patternFill>
    </fill>
    <fill>
      <patternFill patternType="solid">
        <fgColor rgb="FFFFFFFF"/>
        <bgColor indexed="64"/>
      </patternFill>
    </fill>
    <fill>
      <patternFill patternType="solid">
        <fgColor rgb="FF92D050"/>
        <bgColor rgb="FFFBD4B4"/>
      </patternFill>
    </fill>
    <fill>
      <patternFill patternType="solid">
        <fgColor rgb="FFFFC000"/>
        <bgColor rgb="FFFBD4B4"/>
      </patternFill>
    </fill>
    <fill>
      <patternFill patternType="solid">
        <fgColor theme="4" tint="0.39997558519241921"/>
        <bgColor rgb="FFFBD4B4"/>
      </patternFill>
    </fill>
    <fill>
      <patternFill patternType="solid">
        <fgColor theme="9" tint="0.59999389629810485"/>
        <bgColor rgb="FFFBD4B4"/>
      </patternFill>
    </fill>
    <fill>
      <patternFill patternType="solid">
        <fgColor theme="0" tint="-0.249977111117893"/>
        <bgColor indexed="64"/>
      </patternFill>
    </fill>
    <fill>
      <patternFill patternType="solid">
        <fgColor theme="6" tint="0.39988402966399123"/>
        <bgColor rgb="FF4EA72E"/>
      </patternFill>
    </fill>
    <fill>
      <patternFill patternType="solid">
        <fgColor theme="0" tint="-0.34998626667073579"/>
        <bgColor rgb="FFE59EDD"/>
      </patternFill>
    </fill>
    <fill>
      <patternFill patternType="solid">
        <fgColor theme="5" tint="0.39988402966399123"/>
        <bgColor rgb="FFF6C6AD"/>
      </patternFill>
    </fill>
    <fill>
      <patternFill patternType="solid">
        <fgColor theme="5" tint="0.39997558519241921"/>
        <bgColor rgb="FFF6C6AD"/>
      </patternFill>
    </fill>
    <fill>
      <patternFill patternType="solid">
        <fgColor theme="0"/>
        <bgColor rgb="FFFBE3D6"/>
      </patternFill>
    </fill>
    <fill>
      <patternFill patternType="solid">
        <fgColor theme="6" tint="0.39997558519241921"/>
        <bgColor rgb="FFF6C6AD"/>
      </patternFill>
    </fill>
    <fill>
      <patternFill patternType="solid">
        <fgColor theme="6" tint="0.79998168889431442"/>
        <bgColor indexed="64"/>
      </patternFill>
    </fill>
    <fill>
      <patternFill patternType="solid">
        <fgColor theme="6" tint="0.39997558519241921"/>
        <bgColor rgb="FF4EA72E"/>
      </patternFill>
    </fill>
    <fill>
      <patternFill patternType="solid">
        <fgColor theme="6" tint="0.39997558519241921"/>
        <bgColor indexed="64"/>
      </patternFill>
    </fill>
    <fill>
      <patternFill patternType="solid">
        <fgColor theme="8" tint="0.79998168889431442"/>
        <bgColor rgb="FFF2CFEE"/>
      </patternFill>
    </fill>
    <fill>
      <patternFill patternType="solid">
        <fgColor theme="3" tint="0.749992370372631"/>
        <bgColor rgb="FFE59EDD"/>
      </patternFill>
    </fill>
    <fill>
      <patternFill patternType="solid">
        <fgColor theme="5" tint="0.59987182226020086"/>
        <bgColor rgb="FFF2CFEE"/>
      </patternFill>
    </fill>
    <fill>
      <patternFill patternType="solid">
        <fgColor rgb="FFFFCC66"/>
        <bgColor indexed="64"/>
      </patternFill>
    </fill>
    <fill>
      <patternFill patternType="solid">
        <fgColor theme="6" tint="0.39997558519241921"/>
        <bgColor rgb="FFF2CFEE"/>
      </patternFill>
    </fill>
    <fill>
      <patternFill patternType="solid">
        <fgColor theme="6" tint="0.79998168889431442"/>
        <bgColor rgb="FFF2CFEE"/>
      </patternFill>
    </fill>
    <fill>
      <patternFill patternType="solid">
        <fgColor theme="6" tint="0.79998168889431442"/>
        <bgColor rgb="FF4EA72E"/>
      </patternFill>
    </fill>
    <fill>
      <patternFill patternType="solid">
        <fgColor theme="7" tint="0.79998168889431442"/>
        <bgColor rgb="FFD1D1D1"/>
      </patternFill>
    </fill>
  </fills>
  <borders count="107">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theme="1"/>
      </left>
      <right/>
      <top style="medium">
        <color theme="1"/>
      </top>
      <bottom style="medium">
        <color theme="1"/>
      </bottom>
      <diagonal/>
    </border>
    <border>
      <left style="medium">
        <color indexed="64"/>
      </left>
      <right/>
      <top style="medium">
        <color theme="1"/>
      </top>
      <bottom style="medium">
        <color theme="1"/>
      </bottom>
      <diagonal/>
    </border>
    <border>
      <left/>
      <right style="medium">
        <color indexed="64"/>
      </right>
      <top style="medium">
        <color theme="1"/>
      </top>
      <bottom style="medium">
        <color theme="1"/>
      </bottom>
      <diagonal/>
    </border>
    <border>
      <left/>
      <right style="thin">
        <color auto="1"/>
      </right>
      <top style="medium">
        <color theme="1"/>
      </top>
      <bottom style="medium">
        <color theme="1"/>
      </bottom>
      <diagonal/>
    </border>
    <border>
      <left style="thin">
        <color auto="1"/>
      </left>
      <right style="medium">
        <color indexed="64"/>
      </right>
      <top style="medium">
        <color theme="1"/>
      </top>
      <bottom style="medium">
        <color theme="1"/>
      </bottom>
      <diagonal/>
    </border>
    <border>
      <left style="thin">
        <color auto="1"/>
      </left>
      <right style="medium">
        <color theme="1"/>
      </right>
      <top style="medium">
        <color theme="1"/>
      </top>
      <bottom style="medium">
        <color theme="1"/>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right style="thin">
        <color auto="1"/>
      </right>
      <top style="thin">
        <color auto="1"/>
      </top>
      <bottom style="thin">
        <color auto="1"/>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diagonal/>
    </border>
    <border>
      <left/>
      <right style="thin">
        <color indexed="64"/>
      </right>
      <top style="thin">
        <color indexed="64"/>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tint="0.39997558519241921"/>
      </left>
      <right style="thin">
        <color theme="4" tint="0.39997558519241921"/>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theme="1"/>
      </left>
      <right/>
      <top style="medium">
        <color theme="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thin">
        <color theme="4" tint="0.39997558519241921"/>
      </bottom>
      <diagonal/>
    </border>
    <border>
      <left style="medium">
        <color indexed="64"/>
      </left>
      <right/>
      <top style="medium">
        <color indexed="64"/>
      </top>
      <bottom style="medium">
        <color indexed="64"/>
      </bottom>
      <diagonal/>
    </border>
    <border>
      <left/>
      <right style="thin">
        <color theme="4" tint="0.39997558519241921"/>
      </right>
      <top/>
      <bottom style="thin">
        <color theme="4" tint="0.39997558519241921"/>
      </bottom>
      <diagonal/>
    </border>
    <border>
      <left/>
      <right/>
      <top/>
      <bottom style="thin">
        <color rgb="FF9BC2E6"/>
      </bottom>
      <diagonal/>
    </border>
    <border>
      <left/>
      <right style="thin">
        <color theme="4" tint="0.39997558519241921"/>
      </right>
      <top/>
      <bottom style="thin">
        <color rgb="FF9BC2E6"/>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style="thin">
        <color auto="1"/>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thin">
        <color theme="4"/>
      </left>
      <right/>
      <top style="thin">
        <color theme="4"/>
      </top>
      <bottom style="thin">
        <color theme="4" tint="0.39997558519241921"/>
      </bottom>
      <diagonal/>
    </border>
    <border>
      <left style="thin">
        <color theme="4"/>
      </left>
      <right/>
      <top style="thin">
        <color theme="4" tint="0.39997558519241921"/>
      </top>
      <bottom style="thin">
        <color theme="4" tint="0.39997558519241921"/>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thin">
        <color theme="4"/>
      </left>
      <right/>
      <top/>
      <bottom style="thin">
        <color theme="4" tint="0.3999755851924192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thin">
        <color auto="1"/>
      </top>
      <bottom style="thin">
        <color auto="1"/>
      </bottom>
      <diagonal/>
    </border>
    <border>
      <left style="thin">
        <color theme="4"/>
      </left>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auto="1"/>
      </right>
      <top style="thin">
        <color indexed="64"/>
      </top>
      <bottom style="medium">
        <color indexed="64"/>
      </bottom>
      <diagonal/>
    </border>
    <border>
      <left style="thick">
        <color indexed="64"/>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auto="1"/>
      </right>
      <top/>
      <bottom/>
      <diagonal/>
    </border>
    <border>
      <left style="medium">
        <color indexed="64"/>
      </left>
      <right/>
      <top style="medium">
        <color indexed="64"/>
      </top>
      <bottom/>
      <diagonal/>
    </border>
    <border>
      <left/>
      <right style="medium">
        <color indexed="64"/>
      </right>
      <top style="thin">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style="medium">
        <color auto="1"/>
      </right>
      <top/>
      <bottom/>
      <diagonal/>
    </border>
    <border>
      <left style="medium">
        <color indexed="64"/>
      </left>
      <right style="thin">
        <color indexed="64"/>
      </right>
      <top/>
      <bottom/>
      <diagonal/>
    </border>
  </borders>
  <cellStyleXfs count="74">
    <xf numFmtId="0" fontId="0" fillId="0" borderId="0"/>
    <xf numFmtId="165" fontId="1" fillId="0" borderId="0" applyFont="0" applyFill="0" applyBorder="0" applyAlignment="0" applyProtection="0"/>
    <xf numFmtId="9" fontId="1" fillId="0" borderId="0" applyFont="0" applyFill="0" applyBorder="0" applyAlignment="0" applyProtection="0"/>
    <xf numFmtId="0" fontId="9" fillId="0" borderId="0"/>
    <xf numFmtId="164" fontId="1" fillId="0" borderId="0" applyFont="0" applyFill="0" applyBorder="0" applyAlignment="0" applyProtection="0"/>
    <xf numFmtId="164" fontId="1" fillId="0" borderId="0" applyFont="0" applyFill="0" applyBorder="0" applyAlignment="0" applyProtection="0"/>
    <xf numFmtId="168" fontId="9" fillId="0" borderId="0" applyBorder="0" applyProtection="0"/>
    <xf numFmtId="0" fontId="18" fillId="0" borderId="0" applyNumberFormat="0" applyFill="0" applyBorder="0" applyAlignment="0" applyProtection="0"/>
    <xf numFmtId="0" fontId="19" fillId="0" borderId="50" applyNumberFormat="0" applyFill="0" applyAlignment="0" applyProtection="0"/>
    <xf numFmtId="0" fontId="20" fillId="0" borderId="51" applyNumberFormat="0" applyFill="0" applyAlignment="0" applyProtection="0"/>
    <xf numFmtId="0" fontId="21" fillId="0" borderId="52" applyNumberFormat="0" applyFill="0" applyAlignment="0" applyProtection="0"/>
    <xf numFmtId="0" fontId="21" fillId="0" borderId="0" applyNumberFormat="0" applyFill="0" applyBorder="0" applyAlignment="0" applyProtection="0"/>
    <xf numFmtId="0" fontId="22" fillId="23" borderId="0" applyNumberFormat="0" applyBorder="0" applyAlignment="0" applyProtection="0"/>
    <xf numFmtId="0" fontId="23" fillId="24" borderId="0" applyNumberFormat="0" applyBorder="0" applyAlignment="0" applyProtection="0"/>
    <xf numFmtId="0" fontId="24" fillId="25" borderId="0" applyNumberFormat="0" applyBorder="0" applyAlignment="0" applyProtection="0"/>
    <xf numFmtId="0" fontId="25" fillId="26" borderId="53" applyNumberFormat="0" applyAlignment="0" applyProtection="0"/>
    <xf numFmtId="0" fontId="26" fillId="27" borderId="54" applyNumberFormat="0" applyAlignment="0" applyProtection="0"/>
    <xf numFmtId="0" fontId="27" fillId="27" borderId="53" applyNumberFormat="0" applyAlignment="0" applyProtection="0"/>
    <xf numFmtId="0" fontId="28" fillId="0" borderId="55" applyNumberFormat="0" applyFill="0" applyAlignment="0" applyProtection="0"/>
    <xf numFmtId="0" fontId="2" fillId="28" borderId="56" applyNumberFormat="0" applyAlignment="0" applyProtection="0"/>
    <xf numFmtId="0" fontId="13" fillId="0" borderId="0" applyNumberFormat="0" applyFill="0" applyBorder="0" applyAlignment="0" applyProtection="0"/>
    <xf numFmtId="0" fontId="1" fillId="29" borderId="57" applyNumberFormat="0" applyFont="0" applyAlignment="0" applyProtection="0"/>
    <xf numFmtId="0" fontId="29" fillId="0" borderId="0" applyNumberFormat="0" applyFill="0" applyBorder="0" applyAlignment="0" applyProtection="0"/>
    <xf numFmtId="0" fontId="8" fillId="0" borderId="58" applyNumberFormat="0" applyFill="0" applyAlignment="0" applyProtection="0"/>
    <xf numFmtId="0" fontId="3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0"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30"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30"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30"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30"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3"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72" fillId="0" borderId="0"/>
    <xf numFmtId="0" fontId="72" fillId="0" borderId="0"/>
    <xf numFmtId="9" fontId="89" fillId="0" borderId="0" applyFont="0" applyFill="0" applyBorder="0" applyAlignment="0" applyProtection="0"/>
    <xf numFmtId="0" fontId="90" fillId="0" borderId="0"/>
  </cellStyleXfs>
  <cellXfs count="826">
    <xf numFmtId="0" fontId="0" fillId="0" borderId="0" xfId="0"/>
    <xf numFmtId="0" fontId="2" fillId="2" borderId="2" xfId="0" applyFont="1" applyFill="1" applyBorder="1"/>
    <xf numFmtId="14" fontId="0" fillId="0" borderId="0" xfId="0" applyNumberFormat="1"/>
    <xf numFmtId="0" fontId="3" fillId="3" borderId="4"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3" fontId="4" fillId="4" borderId="10" xfId="0" applyNumberFormat="1" applyFont="1" applyFill="1" applyBorder="1" applyAlignment="1">
      <alignment horizontal="center" vertical="center"/>
    </xf>
    <xf numFmtId="3" fontId="5" fillId="5" borderId="11" xfId="1" applyNumberFormat="1" applyFont="1" applyFill="1" applyBorder="1" applyAlignment="1" applyProtection="1">
      <alignment horizontal="center" vertical="center"/>
    </xf>
    <xf numFmtId="3" fontId="6" fillId="6" borderId="12" xfId="0" applyNumberFormat="1" applyFont="1" applyFill="1" applyBorder="1" applyAlignment="1">
      <alignment horizontal="center" vertical="center"/>
    </xf>
    <xf numFmtId="166" fontId="6" fillId="5" borderId="13" xfId="0" applyNumberFormat="1" applyFont="1" applyFill="1" applyBorder="1" applyAlignment="1">
      <alignment horizontal="center" vertical="center"/>
    </xf>
    <xf numFmtId="0" fontId="6" fillId="0" borderId="12" xfId="0" applyFont="1" applyBorder="1" applyAlignment="1">
      <alignment horizontal="center" vertical="center"/>
    </xf>
    <xf numFmtId="9" fontId="6" fillId="6" borderId="12" xfId="0" applyNumberFormat="1" applyFont="1" applyFill="1" applyBorder="1" applyAlignment="1">
      <alignment horizontal="center" vertical="center"/>
    </xf>
    <xf numFmtId="4" fontId="5" fillId="5" borderId="11" xfId="1" applyNumberFormat="1" applyFont="1" applyFill="1" applyBorder="1" applyAlignment="1" applyProtection="1">
      <alignment horizontal="center" vertical="center"/>
    </xf>
    <xf numFmtId="4" fontId="5" fillId="7" borderId="11" xfId="1" applyNumberFormat="1" applyFont="1" applyFill="1" applyBorder="1" applyAlignment="1" applyProtection="1">
      <alignment horizontal="center" vertical="center"/>
    </xf>
    <xf numFmtId="9" fontId="6" fillId="6" borderId="12" xfId="2" applyFont="1" applyFill="1" applyBorder="1" applyAlignment="1">
      <alignment horizontal="center" vertical="center"/>
    </xf>
    <xf numFmtId="0" fontId="6" fillId="8" borderId="10" xfId="0" applyFont="1" applyFill="1" applyBorder="1" applyAlignment="1">
      <alignment horizontal="center" vertical="center"/>
    </xf>
    <xf numFmtId="2" fontId="6" fillId="0" borderId="12" xfId="0" applyNumberFormat="1" applyFont="1" applyBorder="1" applyAlignment="1">
      <alignment horizontal="center" vertical="center"/>
    </xf>
    <xf numFmtId="0" fontId="6" fillId="8" borderId="14" xfId="0" applyFont="1" applyFill="1" applyBorder="1" applyAlignment="1">
      <alignment horizontal="center" vertical="center"/>
    </xf>
    <xf numFmtId="166" fontId="6" fillId="9" borderId="13" xfId="0" applyNumberFormat="1" applyFont="1" applyFill="1" applyBorder="1" applyAlignment="1">
      <alignment horizontal="center" vertical="center"/>
    </xf>
    <xf numFmtId="0" fontId="6" fillId="8" borderId="15" xfId="0" applyFont="1" applyFill="1" applyBorder="1" applyAlignment="1">
      <alignment horizontal="center" vertical="center"/>
    </xf>
    <xf numFmtId="3" fontId="5" fillId="5" borderId="16" xfId="1" applyNumberFormat="1" applyFont="1" applyFill="1" applyBorder="1" applyAlignment="1" applyProtection="1">
      <alignment horizontal="center" vertical="center"/>
    </xf>
    <xf numFmtId="3" fontId="6" fillId="6" borderId="17" xfId="0" applyNumberFormat="1" applyFont="1" applyFill="1" applyBorder="1" applyAlignment="1">
      <alignment horizontal="center" vertical="center"/>
    </xf>
    <xf numFmtId="166" fontId="6" fillId="5" borderId="18" xfId="0" applyNumberFormat="1" applyFont="1" applyFill="1" applyBorder="1" applyAlignment="1">
      <alignment horizontal="center" vertical="center"/>
    </xf>
    <xf numFmtId="2" fontId="6" fillId="0" borderId="17" xfId="0" applyNumberFormat="1" applyFont="1" applyBorder="1" applyAlignment="1">
      <alignment horizontal="center" vertical="center"/>
    </xf>
    <xf numFmtId="9" fontId="6" fillId="6" borderId="17" xfId="2" applyFont="1" applyFill="1" applyBorder="1" applyAlignment="1">
      <alignment horizontal="center" vertical="center"/>
    </xf>
    <xf numFmtId="0" fontId="2" fillId="2" borderId="1" xfId="0" applyFont="1" applyFill="1" applyBorder="1"/>
    <xf numFmtId="0" fontId="2" fillId="2" borderId="0" xfId="0" applyFont="1" applyFill="1"/>
    <xf numFmtId="0" fontId="2" fillId="2" borderId="22" xfId="0" applyFont="1" applyFill="1" applyBorder="1"/>
    <xf numFmtId="0" fontId="10" fillId="10" borderId="23" xfId="3" applyFont="1" applyFill="1" applyBorder="1" applyAlignment="1">
      <alignment horizontal="center"/>
    </xf>
    <xf numFmtId="0" fontId="8" fillId="0" borderId="0" xfId="0" applyFont="1"/>
    <xf numFmtId="0" fontId="3" fillId="3" borderId="25"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4" fillId="11" borderId="0" xfId="1" applyNumberFormat="1" applyFont="1" applyFill="1" applyBorder="1" applyAlignment="1" applyProtection="1">
      <alignment horizontal="center" vertical="center"/>
    </xf>
    <xf numFmtId="0" fontId="0" fillId="6" borderId="0" xfId="0" applyFill="1"/>
    <xf numFmtId="0" fontId="12" fillId="12" borderId="0" xfId="3" applyFont="1" applyFill="1" applyAlignment="1">
      <alignment vertical="center"/>
    </xf>
    <xf numFmtId="3" fontId="0" fillId="13" borderId="0" xfId="0" applyNumberFormat="1" applyFill="1" applyAlignment="1">
      <alignment horizontal="center" vertical="center" wrapText="1"/>
    </xf>
    <xf numFmtId="0" fontId="2" fillId="2" borderId="31" xfId="0" applyFont="1" applyFill="1" applyBorder="1"/>
    <xf numFmtId="0" fontId="2" fillId="2" borderId="33" xfId="0" applyFont="1" applyFill="1" applyBorder="1"/>
    <xf numFmtId="0" fontId="2" fillId="2" borderId="34" xfId="0" applyFont="1" applyFill="1" applyBorder="1"/>
    <xf numFmtId="0" fontId="2" fillId="2" borderId="35" xfId="0" applyFont="1" applyFill="1" applyBorder="1"/>
    <xf numFmtId="3" fontId="0" fillId="0" borderId="0" xfId="0" applyNumberFormat="1"/>
    <xf numFmtId="0" fontId="3" fillId="3" borderId="0" xfId="0" applyFont="1" applyFill="1" applyAlignment="1">
      <alignment horizontal="center" vertical="center"/>
    </xf>
    <xf numFmtId="0" fontId="8" fillId="0" borderId="0" xfId="0" applyFont="1" applyAlignment="1">
      <alignment horizontal="center" wrapText="1"/>
    </xf>
    <xf numFmtId="0" fontId="2" fillId="0" borderId="0" xfId="0" applyFont="1"/>
    <xf numFmtId="167" fontId="9" fillId="14" borderId="0" xfId="3" applyNumberFormat="1" applyFill="1"/>
    <xf numFmtId="169" fontId="0" fillId="14" borderId="23" xfId="6" applyNumberFormat="1" applyFont="1" applyFill="1" applyBorder="1" applyProtection="1"/>
    <xf numFmtId="167" fontId="0" fillId="0" borderId="0" xfId="0" applyNumberFormat="1"/>
    <xf numFmtId="170" fontId="0" fillId="0" borderId="0" xfId="0" applyNumberFormat="1"/>
    <xf numFmtId="9" fontId="0" fillId="0" borderId="0" xfId="2" applyFont="1"/>
    <xf numFmtId="0" fontId="0" fillId="6" borderId="0" xfId="0" applyFill="1" applyAlignment="1">
      <alignment horizontal="right"/>
    </xf>
    <xf numFmtId="14" fontId="7" fillId="0" borderId="0" xfId="0" applyNumberFormat="1" applyFont="1"/>
    <xf numFmtId="0" fontId="7" fillId="0" borderId="0" xfId="0" applyFont="1"/>
    <xf numFmtId="0" fontId="2" fillId="2" borderId="36" xfId="0" applyFont="1" applyFill="1" applyBorder="1"/>
    <xf numFmtId="0" fontId="2" fillId="2" borderId="37" xfId="0" applyFont="1" applyFill="1" applyBorder="1"/>
    <xf numFmtId="0" fontId="14" fillId="15" borderId="23" xfId="0" applyFont="1" applyFill="1" applyBorder="1" applyAlignment="1">
      <alignment horizontal="center" vertical="center" wrapText="1"/>
    </xf>
    <xf numFmtId="0" fontId="0" fillId="0" borderId="23" xfId="0" quotePrefix="1" applyBorder="1" applyAlignment="1">
      <alignment horizontal="center" vertical="center"/>
    </xf>
    <xf numFmtId="166" fontId="0" fillId="0" borderId="23" xfId="0" quotePrefix="1" applyNumberFormat="1" applyBorder="1" applyAlignment="1">
      <alignment horizontal="center" vertical="center"/>
    </xf>
    <xf numFmtId="0" fontId="0" fillId="5" borderId="13" xfId="0" applyFill="1" applyBorder="1" applyAlignment="1">
      <alignment horizontal="center" vertical="center"/>
    </xf>
    <xf numFmtId="1" fontId="0" fillId="0" borderId="23" xfId="0" applyNumberFormat="1" applyBorder="1" applyAlignment="1">
      <alignment horizontal="center" vertical="center"/>
    </xf>
    <xf numFmtId="0" fontId="14" fillId="15" borderId="23" xfId="0" applyFont="1" applyFill="1" applyBorder="1" applyAlignment="1">
      <alignment vertical="center" wrapText="1"/>
    </xf>
    <xf numFmtId="0" fontId="0" fillId="5" borderId="43" xfId="0" applyFill="1" applyBorder="1" applyAlignment="1">
      <alignment horizontal="center" vertical="center"/>
    </xf>
    <xf numFmtId="0" fontId="0" fillId="0" borderId="40" xfId="0" quotePrefix="1" applyBorder="1" applyAlignment="1">
      <alignment horizontal="center" vertical="center"/>
    </xf>
    <xf numFmtId="1" fontId="0" fillId="0" borderId="40" xfId="0" applyNumberFormat="1" applyBorder="1" applyAlignment="1">
      <alignment horizontal="center" vertical="center"/>
    </xf>
    <xf numFmtId="166" fontId="0" fillId="0" borderId="40" xfId="0" quotePrefix="1" applyNumberFormat="1" applyBorder="1" applyAlignment="1">
      <alignment horizontal="center" vertical="center"/>
    </xf>
    <xf numFmtId="0" fontId="0" fillId="6" borderId="0" xfId="0" applyFill="1" applyAlignment="1">
      <alignment vertical="top" wrapText="1"/>
    </xf>
    <xf numFmtId="0" fontId="12" fillId="17" borderId="16" xfId="3" applyFont="1" applyFill="1" applyBorder="1" applyAlignment="1">
      <alignment horizontal="center" vertical="center"/>
    </xf>
    <xf numFmtId="0" fontId="12" fillId="17" borderId="44" xfId="3" applyFont="1" applyFill="1" applyBorder="1" applyAlignment="1">
      <alignment horizontal="center" vertical="center"/>
    </xf>
    <xf numFmtId="0" fontId="16" fillId="6" borderId="0" xfId="0" applyFont="1" applyFill="1"/>
    <xf numFmtId="0" fontId="8" fillId="6" borderId="0" xfId="0" applyFont="1" applyFill="1"/>
    <xf numFmtId="0" fontId="11" fillId="6" borderId="0" xfId="0" applyFont="1" applyFill="1"/>
    <xf numFmtId="0" fontId="3" fillId="18" borderId="45" xfId="0" applyFont="1" applyFill="1" applyBorder="1" applyAlignment="1">
      <alignment horizontal="center" vertical="center"/>
    </xf>
    <xf numFmtId="0" fontId="8" fillId="0" borderId="0" xfId="0" applyFont="1" applyAlignment="1">
      <alignment horizontal="right"/>
    </xf>
    <xf numFmtId="171" fontId="0" fillId="0" borderId="0" xfId="4" applyNumberFormat="1" applyFont="1"/>
    <xf numFmtId="0" fontId="6" fillId="6" borderId="0" xfId="0" applyFont="1" applyFill="1"/>
    <xf numFmtId="172" fontId="0" fillId="0" borderId="0" xfId="0" applyNumberFormat="1"/>
    <xf numFmtId="0" fontId="0" fillId="0" borderId="0" xfId="0" quotePrefix="1" applyAlignment="1">
      <alignment wrapText="1"/>
    </xf>
    <xf numFmtId="166" fontId="6" fillId="9" borderId="18" xfId="0" applyNumberFormat="1" applyFont="1" applyFill="1" applyBorder="1" applyAlignment="1">
      <alignment horizontal="center" vertical="center"/>
    </xf>
    <xf numFmtId="0" fontId="0" fillId="0" borderId="0" xfId="0" applyAlignment="1">
      <alignment wrapText="1"/>
    </xf>
    <xf numFmtId="0" fontId="2" fillId="2" borderId="1" xfId="0" applyFont="1" applyFill="1" applyBorder="1" applyProtection="1">
      <protection locked="0"/>
    </xf>
    <xf numFmtId="0" fontId="2" fillId="2" borderId="2" xfId="0" applyFont="1" applyFill="1" applyBorder="1" applyProtection="1">
      <protection locked="0"/>
    </xf>
    <xf numFmtId="14" fontId="2" fillId="0" borderId="0" xfId="0" applyNumberFormat="1" applyFont="1" applyProtection="1">
      <protection locked="0"/>
    </xf>
    <xf numFmtId="14" fontId="0" fillId="0" borderId="0" xfId="0" applyNumberFormat="1" applyProtection="1">
      <protection locked="0"/>
    </xf>
    <xf numFmtId="0" fontId="0" fillId="0" borderId="0" xfId="0" applyAlignment="1">
      <alignment horizontal="left"/>
    </xf>
    <xf numFmtId="0" fontId="32" fillId="54" borderId="0" xfId="0" applyFont="1" applyFill="1" applyAlignment="1">
      <alignment horizontal="center" vertical="center" wrapText="1"/>
    </xf>
    <xf numFmtId="0" fontId="31" fillId="0" borderId="59" xfId="0" applyFont="1" applyBorder="1" applyAlignment="1">
      <alignment horizontal="center" vertical="center" wrapText="1"/>
    </xf>
    <xf numFmtId="0" fontId="0" fillId="0" borderId="0" xfId="0" applyAlignment="1">
      <alignment horizontal="center"/>
    </xf>
    <xf numFmtId="0" fontId="0" fillId="55" borderId="61" xfId="0" applyFill="1" applyBorder="1"/>
    <xf numFmtId="0" fontId="0" fillId="0" borderId="61" xfId="0" applyBorder="1"/>
    <xf numFmtId="0" fontId="0" fillId="55" borderId="62" xfId="0" applyFill="1" applyBorder="1"/>
    <xf numFmtId="0" fontId="0" fillId="0" borderId="62" xfId="0" applyBorder="1"/>
    <xf numFmtId="0" fontId="3" fillId="18" borderId="63" xfId="0" applyFont="1" applyFill="1" applyBorder="1" applyAlignment="1">
      <alignment horizontal="center" vertical="center"/>
    </xf>
    <xf numFmtId="0" fontId="3" fillId="18" borderId="64" xfId="0" applyFont="1" applyFill="1" applyBorder="1" applyAlignment="1">
      <alignment horizontal="center" vertical="center"/>
    </xf>
    <xf numFmtId="3" fontId="17" fillId="22" borderId="65" xfId="0" applyNumberFormat="1" applyFont="1" applyFill="1" applyBorder="1" applyAlignment="1">
      <alignment horizontal="center" vertical="center" wrapText="1"/>
    </xf>
    <xf numFmtId="174" fontId="0" fillId="0" borderId="0" xfId="0" applyNumberFormat="1"/>
    <xf numFmtId="2" fontId="0" fillId="6" borderId="0" xfId="0" applyNumberFormat="1" applyFill="1"/>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3" fillId="6" borderId="0" xfId="0" applyFont="1" applyFill="1"/>
    <xf numFmtId="0" fontId="3" fillId="6" borderId="0" xfId="0" applyFont="1" applyFill="1" applyAlignment="1">
      <alignment horizontal="right"/>
    </xf>
    <xf numFmtId="0" fontId="35" fillId="6" borderId="0" xfId="0" applyFont="1" applyFill="1"/>
    <xf numFmtId="0" fontId="13" fillId="6" borderId="0" xfId="0" applyFont="1" applyFill="1" applyAlignment="1">
      <alignment vertical="top" wrapText="1"/>
    </xf>
    <xf numFmtId="0" fontId="8" fillId="6" borderId="0" xfId="0" applyFont="1" applyFill="1" applyAlignment="1">
      <alignment horizontal="right"/>
    </xf>
    <xf numFmtId="0" fontId="0" fillId="6" borderId="0" xfId="0" applyFill="1" applyAlignment="1">
      <alignment horizontal="left"/>
    </xf>
    <xf numFmtId="3" fontId="0" fillId="5" borderId="26" xfId="0" applyNumberFormat="1" applyFill="1" applyBorder="1" applyAlignment="1">
      <alignment horizontal="center"/>
    </xf>
    <xf numFmtId="3" fontId="0" fillId="5" borderId="27" xfId="0" applyNumberFormat="1" applyFill="1" applyBorder="1" applyAlignment="1">
      <alignment horizontal="center"/>
    </xf>
    <xf numFmtId="3" fontId="0" fillId="5" borderId="11" xfId="0" applyNumberFormat="1" applyFill="1" applyBorder="1" applyAlignment="1">
      <alignment horizontal="center"/>
    </xf>
    <xf numFmtId="3" fontId="0" fillId="5" borderId="23" xfId="0" applyNumberFormat="1" applyFill="1" applyBorder="1" applyAlignment="1">
      <alignment horizontal="center"/>
    </xf>
    <xf numFmtId="3" fontId="0" fillId="5" borderId="29" xfId="0" applyNumberFormat="1" applyFill="1" applyBorder="1" applyAlignment="1">
      <alignment horizontal="center"/>
    </xf>
    <xf numFmtId="3" fontId="0" fillId="5" borderId="0" xfId="0" applyNumberFormat="1" applyFill="1" applyAlignment="1">
      <alignment horizontal="center"/>
    </xf>
    <xf numFmtId="9" fontId="0" fillId="0" borderId="0" xfId="0" applyNumberFormat="1"/>
    <xf numFmtId="0" fontId="34" fillId="6" borderId="0" xfId="0" applyFont="1" applyFill="1" applyAlignment="1">
      <alignment vertical="center" wrapText="1"/>
    </xf>
    <xf numFmtId="0" fontId="8" fillId="6" borderId="0" xfId="0" applyFont="1" applyFill="1" applyAlignment="1">
      <alignment horizontal="left"/>
    </xf>
    <xf numFmtId="0" fontId="0" fillId="0" borderId="0" xfId="0" applyAlignment="1">
      <alignment horizontal="right"/>
    </xf>
    <xf numFmtId="1" fontId="0" fillId="0" borderId="0" xfId="0" applyNumberFormat="1"/>
    <xf numFmtId="0" fontId="13" fillId="6" borderId="0" xfId="0" applyFont="1" applyFill="1" applyAlignment="1">
      <alignment wrapText="1"/>
    </xf>
    <xf numFmtId="0" fontId="13" fillId="0" borderId="0" xfId="0" applyFont="1" applyAlignment="1">
      <alignment wrapText="1"/>
    </xf>
    <xf numFmtId="0" fontId="0" fillId="0" borderId="68" xfId="0" applyBorder="1"/>
    <xf numFmtId="173" fontId="2" fillId="0" borderId="0" xfId="1" applyNumberFormat="1" applyFont="1" applyProtection="1">
      <protection locked="0"/>
    </xf>
    <xf numFmtId="173" fontId="0" fillId="0" borderId="0" xfId="1" applyNumberFormat="1" applyFont="1"/>
    <xf numFmtId="173" fontId="2" fillId="2" borderId="37" xfId="1" applyNumberFormat="1" applyFont="1" applyFill="1" applyBorder="1"/>
    <xf numFmtId="0" fontId="0" fillId="56" borderId="69" xfId="0" applyFill="1" applyBorder="1" applyAlignment="1">
      <alignment horizontal="center" vertical="center" wrapText="1"/>
    </xf>
    <xf numFmtId="0" fontId="0" fillId="56" borderId="32" xfId="0" applyFill="1" applyBorder="1" applyAlignment="1">
      <alignment horizontal="center" vertical="center" wrapText="1"/>
    </xf>
    <xf numFmtId="0" fontId="0" fillId="57" borderId="65" xfId="0" applyFill="1" applyBorder="1" applyAlignment="1">
      <alignment horizontal="center" vertical="center" wrapText="1"/>
    </xf>
    <xf numFmtId="0" fontId="0" fillId="57" borderId="70" xfId="0" applyFill="1" applyBorder="1" applyAlignment="1">
      <alignment horizontal="center" vertical="center" wrapText="1"/>
    </xf>
    <xf numFmtId="0" fontId="0" fillId="57" borderId="71" xfId="0" applyFill="1" applyBorder="1" applyAlignment="1">
      <alignment horizontal="center" vertical="center" wrapText="1"/>
    </xf>
    <xf numFmtId="0" fontId="0" fillId="58" borderId="70" xfId="0" applyFill="1" applyBorder="1" applyAlignment="1">
      <alignment horizontal="center" vertical="center" wrapText="1"/>
    </xf>
    <xf numFmtId="0" fontId="0" fillId="58" borderId="71" xfId="0" applyFill="1" applyBorder="1" applyAlignment="1">
      <alignment horizontal="center" vertical="center" wrapText="1"/>
    </xf>
    <xf numFmtId="0" fontId="0" fillId="6" borderId="0" xfId="0" applyFill="1" applyAlignment="1">
      <alignment horizontal="center" vertical="center" wrapText="1"/>
    </xf>
    <xf numFmtId="0" fontId="0" fillId="57" borderId="72" xfId="0" applyFill="1" applyBorder="1" applyAlignment="1">
      <alignment horizontal="center" vertical="center" wrapText="1"/>
    </xf>
    <xf numFmtId="0" fontId="0" fillId="57" borderId="73" xfId="0" applyFill="1" applyBorder="1" applyAlignment="1">
      <alignment horizontal="center" vertical="center" wrapText="1"/>
    </xf>
    <xf numFmtId="175" fontId="0" fillId="0" borderId="0" xfId="0" applyNumberFormat="1"/>
    <xf numFmtId="176" fontId="0" fillId="0" borderId="0" xfId="0" applyNumberFormat="1"/>
    <xf numFmtId="177" fontId="0" fillId="0" borderId="0" xfId="0" applyNumberFormat="1"/>
    <xf numFmtId="0" fontId="0" fillId="6" borderId="23" xfId="0" applyFill="1" applyBorder="1" applyAlignment="1">
      <alignment horizontal="center"/>
    </xf>
    <xf numFmtId="16" fontId="0" fillId="0" borderId="0" xfId="0" applyNumberFormat="1"/>
    <xf numFmtId="0" fontId="11" fillId="0" borderId="0" xfId="0" applyFont="1"/>
    <xf numFmtId="0" fontId="8" fillId="0" borderId="0" xfId="0" applyFont="1" applyAlignment="1">
      <alignment horizontal="left"/>
    </xf>
    <xf numFmtId="0" fontId="0" fillId="0" borderId="0" xfId="0" applyAlignment="1">
      <alignment vertical="center"/>
    </xf>
    <xf numFmtId="0" fontId="13" fillId="6" borderId="0" xfId="0" applyFont="1" applyFill="1" applyAlignment="1">
      <alignment vertical="top"/>
    </xf>
    <xf numFmtId="0" fontId="0" fillId="6" borderId="0" xfId="0" applyFill="1" applyAlignment="1">
      <alignment vertical="top"/>
    </xf>
    <xf numFmtId="0" fontId="41" fillId="0" borderId="0" xfId="0" applyFont="1"/>
    <xf numFmtId="0" fontId="16" fillId="6" borderId="23" xfId="0" applyFont="1" applyFill="1" applyBorder="1" applyAlignment="1">
      <alignment vertical="top" wrapText="1"/>
    </xf>
    <xf numFmtId="0" fontId="16" fillId="6" borderId="0" xfId="0" applyFont="1" applyFill="1" applyAlignment="1">
      <alignment vertical="top" wrapText="1"/>
    </xf>
    <xf numFmtId="0" fontId="42" fillId="6" borderId="0" xfId="0" applyFont="1" applyFill="1" applyAlignment="1">
      <alignment horizontal="left" vertical="top"/>
    </xf>
    <xf numFmtId="0" fontId="12" fillId="17" borderId="41" xfId="3" applyFont="1" applyFill="1" applyBorder="1" applyAlignment="1">
      <alignment horizontal="center" vertical="center"/>
    </xf>
    <xf numFmtId="0" fontId="12" fillId="17" borderId="17" xfId="3" applyFont="1" applyFill="1" applyBorder="1" applyAlignment="1">
      <alignment horizontal="center" vertical="center"/>
    </xf>
    <xf numFmtId="0" fontId="0" fillId="0" borderId="75" xfId="0" applyBorder="1"/>
    <xf numFmtId="0" fontId="3" fillId="18" borderId="76" xfId="0" applyFont="1" applyFill="1" applyBorder="1" applyAlignment="1">
      <alignment horizontal="center" vertical="center" wrapText="1"/>
    </xf>
    <xf numFmtId="0" fontId="3" fillId="18" borderId="71" xfId="0" applyFont="1" applyFill="1" applyBorder="1" applyAlignment="1">
      <alignment horizontal="center" vertical="center" wrapText="1"/>
    </xf>
    <xf numFmtId="0" fontId="43" fillId="0" borderId="0" xfId="57"/>
    <xf numFmtId="0" fontId="44" fillId="0" borderId="0" xfId="0" applyFont="1"/>
    <xf numFmtId="0" fontId="13" fillId="0" borderId="0" xfId="0" applyFont="1"/>
    <xf numFmtId="0" fontId="36" fillId="0" borderId="0" xfId="0" applyFont="1" applyAlignment="1">
      <alignment wrapText="1"/>
    </xf>
    <xf numFmtId="3" fontId="0" fillId="58" borderId="0" xfId="0" applyNumberFormat="1" applyFill="1" applyAlignment="1">
      <alignment horizontal="center"/>
    </xf>
    <xf numFmtId="0" fontId="45" fillId="6" borderId="0" xfId="0" applyFont="1" applyFill="1"/>
    <xf numFmtId="0" fontId="46" fillId="0" borderId="0" xfId="0" applyFont="1" applyAlignment="1">
      <alignment horizontal="center"/>
    </xf>
    <xf numFmtId="0" fontId="46" fillId="58" borderId="65" xfId="0" applyFont="1" applyFill="1" applyBorder="1" applyAlignment="1">
      <alignment horizontal="center" vertical="center" wrapText="1"/>
    </xf>
    <xf numFmtId="0" fontId="47" fillId="58" borderId="70" xfId="0" applyFont="1" applyFill="1" applyBorder="1" applyAlignment="1">
      <alignment horizontal="center" vertical="center" wrapText="1"/>
    </xf>
    <xf numFmtId="178" fontId="0" fillId="0" borderId="0" xfId="0" applyNumberFormat="1"/>
    <xf numFmtId="0" fontId="47" fillId="0" borderId="0" xfId="0" applyFont="1"/>
    <xf numFmtId="179" fontId="0" fillId="0" borderId="0" xfId="0" applyNumberFormat="1"/>
    <xf numFmtId="0" fontId="3" fillId="18" borderId="23" xfId="0" applyFont="1" applyFill="1" applyBorder="1" applyAlignment="1">
      <alignment horizontal="center" vertical="center"/>
    </xf>
    <xf numFmtId="0" fontId="33" fillId="6" borderId="0" xfId="0" applyFont="1" applyFill="1"/>
    <xf numFmtId="0" fontId="0" fillId="0" borderId="0" xfId="0" pivotButton="1"/>
    <xf numFmtId="0" fontId="0" fillId="0" borderId="0" xfId="0" applyAlignment="1">
      <alignment horizontal="left" indent="1"/>
    </xf>
    <xf numFmtId="180" fontId="0" fillId="0" borderId="0" xfId="2" applyNumberFormat="1" applyFont="1"/>
    <xf numFmtId="165" fontId="0" fillId="0" borderId="0" xfId="1" applyFont="1"/>
    <xf numFmtId="3" fontId="0" fillId="6" borderId="79" xfId="0" applyNumberFormat="1" applyFill="1" applyBorder="1" applyAlignment="1">
      <alignment horizontal="left"/>
    </xf>
    <xf numFmtId="3" fontId="0" fillId="6" borderId="0" xfId="0" applyNumberFormat="1" applyFill="1" applyAlignment="1">
      <alignment horizontal="left"/>
    </xf>
    <xf numFmtId="0" fontId="2" fillId="2" borderId="80" xfId="0" applyFont="1" applyFill="1" applyBorder="1"/>
    <xf numFmtId="173" fontId="7" fillId="0" borderId="20" xfId="0" applyNumberFormat="1" applyFont="1" applyBorder="1"/>
    <xf numFmtId="0" fontId="33" fillId="6" borderId="0" xfId="0" applyFont="1" applyFill="1" applyAlignment="1">
      <alignment vertical="center" wrapText="1"/>
    </xf>
    <xf numFmtId="0" fontId="2" fillId="2" borderId="34" xfId="0" applyFont="1" applyFill="1" applyBorder="1" applyProtection="1">
      <protection locked="0"/>
    </xf>
    <xf numFmtId="0" fontId="0" fillId="6" borderId="0" xfId="0" applyFill="1" applyProtection="1">
      <protection locked="0"/>
    </xf>
    <xf numFmtId="0" fontId="0" fillId="0" borderId="0" xfId="0" applyProtection="1">
      <protection locked="0"/>
    </xf>
    <xf numFmtId="173" fontId="0" fillId="0" borderId="0" xfId="1" applyNumberFormat="1" applyFont="1" applyProtection="1">
      <protection locked="0"/>
    </xf>
    <xf numFmtId="173" fontId="0" fillId="0" borderId="0" xfId="1" applyNumberFormat="1" applyFont="1" applyAlignment="1" applyProtection="1">
      <alignment horizontal="right" vertical="center"/>
      <protection locked="0"/>
    </xf>
    <xf numFmtId="173" fontId="0" fillId="0" borderId="0" xfId="1" applyNumberFormat="1" applyFont="1" applyAlignment="1" applyProtection="1">
      <alignment horizontal="right"/>
      <protection locked="0"/>
    </xf>
    <xf numFmtId="0" fontId="16" fillId="0" borderId="0" xfId="0" applyFont="1" applyProtection="1">
      <protection locked="0"/>
    </xf>
    <xf numFmtId="173" fontId="7" fillId="0" borderId="0" xfId="0" applyNumberFormat="1" applyFont="1"/>
    <xf numFmtId="1" fontId="0" fillId="0" borderId="0" xfId="0" applyNumberFormat="1" applyAlignment="1">
      <alignment horizontal="center" vertical="center"/>
    </xf>
    <xf numFmtId="181" fontId="0" fillId="0" borderId="0" xfId="1" applyNumberFormat="1" applyFont="1" applyFill="1" applyProtection="1"/>
    <xf numFmtId="0" fontId="16" fillId="6" borderId="0" xfId="0" applyFont="1" applyFill="1" applyProtection="1">
      <protection locked="0"/>
    </xf>
    <xf numFmtId="0" fontId="49" fillId="6" borderId="0" xfId="0" applyFont="1" applyFill="1" applyProtection="1">
      <protection locked="0"/>
    </xf>
    <xf numFmtId="0" fontId="49" fillId="6" borderId="0" xfId="0" applyFont="1" applyFill="1" applyAlignment="1" applyProtection="1">
      <alignment wrapText="1"/>
      <protection locked="0"/>
    </xf>
    <xf numFmtId="181" fontId="16" fillId="0" borderId="0" xfId="1" applyNumberFormat="1" applyFont="1" applyFill="1" applyProtection="1"/>
    <xf numFmtId="181" fontId="49" fillId="0" borderId="0" xfId="1" applyNumberFormat="1" applyFont="1" applyFill="1" applyAlignment="1" applyProtection="1">
      <alignment wrapText="1"/>
    </xf>
    <xf numFmtId="181" fontId="49" fillId="0" borderId="0" xfId="1" applyNumberFormat="1" applyFont="1" applyFill="1" applyAlignment="1" applyProtection="1"/>
    <xf numFmtId="181" fontId="0" fillId="0" borderId="0" xfId="0" applyNumberFormat="1"/>
    <xf numFmtId="0" fontId="3" fillId="18" borderId="23" xfId="0" applyFont="1" applyFill="1" applyBorder="1" applyAlignment="1">
      <alignment vertical="center"/>
    </xf>
    <xf numFmtId="0" fontId="16" fillId="0" borderId="0" xfId="0" applyFont="1"/>
    <xf numFmtId="181" fontId="0" fillId="0" borderId="0" xfId="1" applyNumberFormat="1" applyFont="1" applyFill="1" applyAlignment="1" applyProtection="1"/>
    <xf numFmtId="173" fontId="0" fillId="0" borderId="0" xfId="1" applyNumberFormat="1" applyFont="1" applyAlignment="1" applyProtection="1">
      <protection locked="0"/>
    </xf>
    <xf numFmtId="173" fontId="0" fillId="0" borderId="0" xfId="1" applyNumberFormat="1" applyFont="1" applyAlignment="1"/>
    <xf numFmtId="3" fontId="0" fillId="20" borderId="40" xfId="0" applyNumberFormat="1" applyFill="1" applyBorder="1" applyAlignment="1" applyProtection="1">
      <alignment horizontal="center" vertical="center" wrapText="1"/>
      <protection locked="0"/>
    </xf>
    <xf numFmtId="182" fontId="0" fillId="0" borderId="0" xfId="0" applyNumberFormat="1"/>
    <xf numFmtId="0" fontId="2" fillId="2" borderId="37" xfId="0" applyFont="1" applyFill="1" applyBorder="1" applyAlignment="1" applyProtection="1">
      <alignment horizontal="center"/>
      <protection locked="0"/>
    </xf>
    <xf numFmtId="14" fontId="0" fillId="0" borderId="0" xfId="0" applyNumberFormat="1" applyAlignment="1" applyProtection="1">
      <alignment horizontal="right"/>
      <protection locked="0"/>
    </xf>
    <xf numFmtId="0" fontId="0" fillId="0" borderId="0" xfId="0" applyAlignment="1" applyProtection="1">
      <alignment horizontal="center"/>
      <protection locked="0"/>
    </xf>
    <xf numFmtId="14" fontId="7" fillId="0" borderId="19" xfId="0" applyNumberFormat="1" applyFont="1" applyBorder="1" applyProtection="1">
      <protection locked="0"/>
    </xf>
    <xf numFmtId="14" fontId="7" fillId="0" borderId="0" xfId="0" applyNumberFormat="1" applyFont="1" applyProtection="1">
      <protection locked="0"/>
    </xf>
    <xf numFmtId="0" fontId="2" fillId="2" borderId="37" xfId="0" applyFont="1" applyFill="1" applyBorder="1" applyProtection="1">
      <protection locked="0"/>
    </xf>
    <xf numFmtId="0" fontId="0" fillId="0" borderId="0" xfId="0" applyNumberFormat="1"/>
    <xf numFmtId="0" fontId="0" fillId="0" borderId="0" xfId="0"/>
    <xf numFmtId="0" fontId="0" fillId="0" borderId="0" xfId="0"/>
    <xf numFmtId="3" fontId="0" fillId="0" borderId="23" xfId="0" applyNumberFormat="1" applyBorder="1" applyAlignment="1">
      <alignment horizontal="center" vertical="center"/>
    </xf>
    <xf numFmtId="0" fontId="0" fillId="0" borderId="84" xfId="0" applyBorder="1" applyAlignment="1">
      <alignment horizontal="center" vertical="center"/>
    </xf>
    <xf numFmtId="0" fontId="0" fillId="0" borderId="40" xfId="0" applyBorder="1" applyAlignment="1">
      <alignment horizontal="center" vertical="center"/>
    </xf>
    <xf numFmtId="14" fontId="0" fillId="0" borderId="0" xfId="0" applyNumberFormat="1" applyAlignment="1">
      <alignment horizontal="left"/>
    </xf>
    <xf numFmtId="3" fontId="0" fillId="0" borderId="84" xfId="0" applyNumberFormat="1" applyBorder="1" applyAlignment="1">
      <alignment horizontal="center" vertical="center"/>
    </xf>
    <xf numFmtId="0" fontId="8" fillId="0" borderId="23" xfId="0" applyFont="1" applyBorder="1" applyAlignment="1">
      <alignment horizontal="center" vertical="center" wrapText="1"/>
    </xf>
    <xf numFmtId="0" fontId="0" fillId="0" borderId="84"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3" fontId="0" fillId="0" borderId="49" xfId="0" applyNumberFormat="1" applyBorder="1" applyAlignment="1">
      <alignment horizontal="center" vertical="center"/>
    </xf>
    <xf numFmtId="0" fontId="2" fillId="2" borderId="23" xfId="0" applyFont="1" applyFill="1" applyBorder="1" applyAlignment="1" applyProtection="1">
      <alignment horizontal="center"/>
      <protection locked="0"/>
    </xf>
    <xf numFmtId="0" fontId="0" fillId="0" borderId="0" xfId="0" applyProtection="1"/>
    <xf numFmtId="0" fontId="2" fillId="2" borderId="23" xfId="0" applyFont="1" applyFill="1" applyBorder="1" applyAlignment="1" applyProtection="1">
      <alignment horizontal="center" wrapText="1"/>
      <protection locked="0"/>
    </xf>
    <xf numFmtId="3" fontId="0" fillId="0" borderId="42" xfId="0" applyNumberFormat="1" applyBorder="1" applyAlignment="1">
      <alignment horizontal="center" vertical="center"/>
    </xf>
    <xf numFmtId="0" fontId="8" fillId="0" borderId="23" xfId="0" applyFont="1" applyBorder="1" applyAlignment="1" applyProtection="1">
      <alignment horizontal="center" vertical="center" wrapText="1"/>
      <protection locked="0"/>
    </xf>
    <xf numFmtId="0" fontId="8" fillId="0" borderId="23" xfId="0" applyFont="1" applyBorder="1" applyAlignment="1">
      <alignment horizontal="center" wrapText="1"/>
    </xf>
    <xf numFmtId="0" fontId="8" fillId="0" borderId="23" xfId="0" applyFont="1" applyBorder="1" applyAlignment="1" applyProtection="1">
      <alignment horizontal="center"/>
      <protection locked="0"/>
    </xf>
    <xf numFmtId="0" fontId="2" fillId="2" borderId="22" xfId="0" applyFont="1" applyFill="1" applyBorder="1" applyProtection="1">
      <protection locked="0"/>
    </xf>
    <xf numFmtId="0" fontId="16" fillId="6" borderId="0" xfId="0" quotePrefix="1" applyFont="1" applyFill="1" applyProtection="1">
      <protection locked="0"/>
    </xf>
    <xf numFmtId="0" fontId="0" fillId="0" borderId="0" xfId="0"/>
    <xf numFmtId="0" fontId="0" fillId="0" borderId="0" xfId="0" applyBorder="1"/>
    <xf numFmtId="173" fontId="2" fillId="2" borderId="37" xfId="1" applyNumberFormat="1" applyFont="1" applyFill="1" applyBorder="1" applyProtection="1"/>
    <xf numFmtId="0" fontId="2" fillId="2" borderId="0" xfId="0" applyFont="1" applyFill="1" applyProtection="1"/>
    <xf numFmtId="0" fontId="2" fillId="2" borderId="22" xfId="0" applyFont="1" applyFill="1" applyBorder="1" applyProtection="1"/>
    <xf numFmtId="0" fontId="2" fillId="2" borderId="37" xfId="0" applyFont="1" applyFill="1" applyBorder="1" applyProtection="1"/>
    <xf numFmtId="0" fontId="2" fillId="2" borderId="34" xfId="0" applyFont="1" applyFill="1" applyBorder="1" applyProtection="1"/>
    <xf numFmtId="0" fontId="2" fillId="2" borderId="35" xfId="0" applyFont="1" applyFill="1" applyBorder="1" applyProtection="1"/>
    <xf numFmtId="0" fontId="7" fillId="0" borderId="0" xfId="0" applyFont="1" applyProtection="1"/>
    <xf numFmtId="0" fontId="0" fillId="0" borderId="0" xfId="0"/>
    <xf numFmtId="0" fontId="50" fillId="63" borderId="0" xfId="0" applyFont="1" applyFill="1" applyAlignment="1">
      <alignment horizontal="center" vertical="center" wrapText="1"/>
    </xf>
    <xf numFmtId="0" fontId="50" fillId="62" borderId="23" xfId="0" applyFont="1" applyFill="1" applyBorder="1" applyAlignment="1">
      <alignment horizontal="center" vertical="center" wrapText="1"/>
    </xf>
    <xf numFmtId="0" fontId="0" fillId="0" borderId="0" xfId="0" applyAlignment="1">
      <alignment horizontal="center" vertical="center"/>
    </xf>
    <xf numFmtId="0" fontId="0" fillId="64" borderId="0" xfId="0" applyFill="1"/>
    <xf numFmtId="0" fontId="0" fillId="64" borderId="0" xfId="0" applyFill="1" applyAlignment="1">
      <alignment wrapText="1"/>
    </xf>
    <xf numFmtId="0" fontId="0" fillId="0" borderId="0" xfId="0"/>
    <xf numFmtId="0" fontId="11" fillId="0" borderId="0" xfId="0" applyFont="1" applyBorder="1" applyAlignment="1">
      <alignment horizontal="center"/>
    </xf>
    <xf numFmtId="0" fontId="0" fillId="0" borderId="0" xfId="0" applyFill="1"/>
    <xf numFmtId="0" fontId="0" fillId="66" borderId="0" xfId="0" applyFill="1"/>
    <xf numFmtId="0" fontId="13" fillId="6" borderId="3" xfId="0" applyFont="1" applyFill="1" applyBorder="1"/>
    <xf numFmtId="0" fontId="13" fillId="6" borderId="0" xfId="0" applyFont="1" applyFill="1"/>
    <xf numFmtId="0" fontId="0" fillId="0" borderId="0" xfId="0"/>
    <xf numFmtId="0" fontId="0" fillId="0" borderId="0" xfId="0" applyAlignment="1"/>
    <xf numFmtId="0" fontId="0" fillId="0" borderId="0" xfId="0"/>
    <xf numFmtId="14" fontId="0" fillId="61" borderId="83" xfId="0" applyNumberFormat="1" applyFill="1" applyBorder="1" applyAlignment="1" applyProtection="1">
      <alignment horizontal="center" vertical="center"/>
      <protection locked="0"/>
    </xf>
    <xf numFmtId="3" fontId="0" fillId="61" borderId="42" xfId="0" applyNumberFormat="1" applyFill="1" applyBorder="1" applyAlignment="1" applyProtection="1">
      <alignment horizontal="center" vertical="center"/>
      <protection locked="0"/>
    </xf>
    <xf numFmtId="14" fontId="0" fillId="61" borderId="13" xfId="0" applyNumberFormat="1" applyFill="1" applyBorder="1" applyAlignment="1" applyProtection="1">
      <alignment horizontal="center" vertical="center"/>
      <protection locked="0"/>
    </xf>
    <xf numFmtId="3" fontId="0" fillId="61" borderId="23" xfId="0" applyNumberFormat="1" applyFill="1" applyBorder="1" applyAlignment="1" applyProtection="1">
      <alignment horizontal="center" vertical="center"/>
      <protection locked="0"/>
    </xf>
    <xf numFmtId="14" fontId="0" fillId="61" borderId="18" xfId="0" applyNumberFormat="1" applyFill="1" applyBorder="1" applyAlignment="1" applyProtection="1">
      <alignment horizontal="center" vertical="center"/>
      <protection locked="0"/>
    </xf>
    <xf numFmtId="3" fontId="0" fillId="61" borderId="41" xfId="0" applyNumberFormat="1" applyFill="1" applyBorder="1" applyAlignment="1" applyProtection="1">
      <alignment horizontal="center" vertical="center"/>
      <protection locked="0"/>
    </xf>
    <xf numFmtId="0" fontId="13" fillId="0" borderId="0" xfId="0" applyFont="1" applyProtection="1">
      <protection locked="0"/>
    </xf>
    <xf numFmtId="14" fontId="0" fillId="6" borderId="13" xfId="0" applyNumberFormat="1" applyFill="1" applyBorder="1" applyAlignment="1">
      <alignment horizontal="center" vertical="center"/>
    </xf>
    <xf numFmtId="3" fontId="0" fillId="6" borderId="40" xfId="0" applyNumberFormat="1" applyFill="1" applyBorder="1" applyAlignment="1">
      <alignment horizontal="center" vertical="center"/>
    </xf>
    <xf numFmtId="0" fontId="13" fillId="61" borderId="0" xfId="0" applyFont="1" applyFill="1" applyProtection="1">
      <protection locked="0"/>
    </xf>
    <xf numFmtId="3" fontId="0" fillId="6" borderId="44" xfId="0" applyNumberFormat="1" applyFill="1" applyBorder="1" applyAlignment="1">
      <alignment horizontal="center" vertical="center"/>
    </xf>
    <xf numFmtId="0" fontId="8" fillId="61" borderId="39" xfId="0" applyFont="1" applyFill="1" applyBorder="1" applyProtection="1">
      <protection locked="0"/>
    </xf>
    <xf numFmtId="0" fontId="0" fillId="61" borderId="39" xfId="0" applyFill="1" applyBorder="1" applyProtection="1">
      <protection locked="0"/>
    </xf>
    <xf numFmtId="3" fontId="0" fillId="61" borderId="39" xfId="0" applyNumberFormat="1" applyFill="1" applyBorder="1" applyProtection="1">
      <protection locked="0"/>
    </xf>
    <xf numFmtId="9" fontId="0" fillId="61" borderId="39" xfId="2" applyFont="1" applyFill="1" applyBorder="1" applyProtection="1">
      <protection locked="0"/>
    </xf>
    <xf numFmtId="3" fontId="0" fillId="20" borderId="87" xfId="0" applyNumberFormat="1" applyFill="1" applyBorder="1" applyAlignment="1" applyProtection="1">
      <alignment horizontal="center" vertical="center" wrapText="1"/>
      <protection locked="0"/>
    </xf>
    <xf numFmtId="0" fontId="0" fillId="21" borderId="0" xfId="0" applyFill="1"/>
    <xf numFmtId="0" fontId="8" fillId="0" borderId="88" xfId="0" applyFont="1" applyBorder="1" applyAlignment="1">
      <alignment horizontal="right"/>
    </xf>
    <xf numFmtId="0" fontId="0" fillId="0" borderId="69" xfId="0" applyBorder="1"/>
    <xf numFmtId="0" fontId="8" fillId="0" borderId="90" xfId="0" applyFont="1" applyBorder="1" applyAlignment="1">
      <alignment horizontal="right"/>
    </xf>
    <xf numFmtId="0" fontId="11" fillId="58" borderId="65" xfId="0" applyFont="1" applyFill="1" applyBorder="1" applyAlignment="1">
      <alignment horizontal="center" vertical="center" wrapText="1"/>
    </xf>
    <xf numFmtId="0" fontId="11" fillId="58" borderId="91" xfId="0" applyFont="1" applyFill="1" applyBorder="1" applyAlignment="1">
      <alignment horizontal="center" vertical="center" wrapText="1"/>
    </xf>
    <xf numFmtId="0" fontId="11" fillId="58" borderId="70" xfId="0" applyFont="1" applyFill="1" applyBorder="1" applyAlignment="1">
      <alignment horizontal="center" vertical="center" wrapText="1"/>
    </xf>
    <xf numFmtId="0" fontId="11" fillId="58" borderId="71" xfId="0" applyFont="1" applyFill="1" applyBorder="1" applyAlignment="1">
      <alignment horizontal="center" vertical="center" wrapText="1"/>
    </xf>
    <xf numFmtId="0" fontId="11" fillId="58" borderId="45" xfId="0" applyFont="1" applyFill="1" applyBorder="1" applyAlignment="1">
      <alignment horizontal="center" vertical="center" wrapText="1"/>
    </xf>
    <xf numFmtId="0" fontId="11" fillId="58" borderId="78" xfId="0" applyFont="1" applyFill="1" applyBorder="1" applyAlignment="1">
      <alignment horizontal="center" vertical="center" wrapText="1"/>
    </xf>
    <xf numFmtId="0" fontId="11" fillId="58" borderId="78" xfId="0" applyFont="1" applyFill="1" applyBorder="1" applyAlignment="1">
      <alignment vertical="center" wrapText="1"/>
    </xf>
    <xf numFmtId="0" fontId="11" fillId="58" borderId="92" xfId="0" applyFont="1" applyFill="1" applyBorder="1" applyAlignment="1">
      <alignment vertical="center" wrapText="1"/>
    </xf>
    <xf numFmtId="0" fontId="0" fillId="0" borderId="42" xfId="0" applyBorder="1"/>
    <xf numFmtId="178" fontId="0" fillId="5" borderId="77" xfId="0" applyNumberFormat="1" applyFill="1" applyBorder="1" applyAlignment="1">
      <alignment horizontal="center"/>
    </xf>
    <xf numFmtId="178" fontId="0" fillId="5" borderId="27" xfId="0" applyNumberFormat="1" applyFill="1" applyBorder="1" applyAlignment="1">
      <alignment horizontal="center"/>
    </xf>
    <xf numFmtId="0" fontId="0" fillId="5" borderId="27" xfId="0" applyFill="1" applyBorder="1" applyAlignment="1">
      <alignment horizontal="center"/>
    </xf>
    <xf numFmtId="9" fontId="0" fillId="5" borderId="27" xfId="0" applyNumberFormat="1" applyFill="1" applyBorder="1" applyAlignment="1">
      <alignment horizontal="center"/>
    </xf>
    <xf numFmtId="0" fontId="0" fillId="5" borderId="28" xfId="0" applyFill="1" applyBorder="1" applyAlignment="1">
      <alignment horizontal="center"/>
    </xf>
    <xf numFmtId="0" fontId="0" fillId="0" borderId="23" xfId="0" applyBorder="1"/>
    <xf numFmtId="178" fontId="0" fillId="5" borderId="13" xfId="0" applyNumberFormat="1" applyFill="1" applyBorder="1" applyAlignment="1">
      <alignment horizontal="center"/>
    </xf>
    <xf numFmtId="178" fontId="0" fillId="5" borderId="23" xfId="0" applyNumberFormat="1" applyFill="1" applyBorder="1" applyAlignment="1">
      <alignment horizontal="center"/>
    </xf>
    <xf numFmtId="0" fontId="0" fillId="5" borderId="23" xfId="0" applyFill="1" applyBorder="1" applyAlignment="1">
      <alignment horizontal="center"/>
    </xf>
    <xf numFmtId="9" fontId="0" fillId="5" borderId="23" xfId="0" applyNumberFormat="1" applyFill="1" applyBorder="1" applyAlignment="1">
      <alignment horizontal="center"/>
    </xf>
    <xf numFmtId="0" fontId="0" fillId="5" borderId="12" xfId="0" applyFill="1" applyBorder="1" applyAlignment="1">
      <alignment horizontal="center"/>
    </xf>
    <xf numFmtId="178" fontId="0" fillId="5" borderId="94" xfId="0" applyNumberFormat="1" applyFill="1" applyBorder="1" applyAlignment="1">
      <alignment horizontal="center"/>
    </xf>
    <xf numFmtId="178" fontId="0" fillId="5" borderId="29" xfId="0" applyNumberFormat="1" applyFill="1" applyBorder="1" applyAlignment="1">
      <alignment horizontal="center"/>
    </xf>
    <xf numFmtId="0" fontId="0" fillId="5" borderId="29" xfId="0" applyFill="1" applyBorder="1" applyAlignment="1">
      <alignment horizontal="center"/>
    </xf>
    <xf numFmtId="9" fontId="0" fillId="5" borderId="29" xfId="0" applyNumberFormat="1" applyFill="1" applyBorder="1" applyAlignment="1">
      <alignment horizontal="center"/>
    </xf>
    <xf numFmtId="0" fontId="0" fillId="5" borderId="82" xfId="0" applyFill="1" applyBorder="1" applyAlignment="1">
      <alignment horizontal="center"/>
    </xf>
    <xf numFmtId="0" fontId="6" fillId="0" borderId="0" xfId="0" applyFont="1"/>
    <xf numFmtId="0" fontId="31" fillId="0" borderId="0" xfId="0" applyFont="1" applyAlignment="1">
      <alignment horizontal="center" vertical="center" wrapText="1"/>
    </xf>
    <xf numFmtId="0" fontId="52" fillId="0" borderId="0" xfId="0" applyFont="1"/>
    <xf numFmtId="0" fontId="3" fillId="0" borderId="0" xfId="0" applyFont="1"/>
    <xf numFmtId="3" fontId="6" fillId="0" borderId="0" xfId="0" applyNumberFormat="1" applyFont="1"/>
    <xf numFmtId="0" fontId="51" fillId="54" borderId="95" xfId="0" applyFont="1" applyFill="1" applyBorder="1" applyAlignment="1">
      <alignment horizontal="center" vertical="center" wrapText="1"/>
    </xf>
    <xf numFmtId="0" fontId="31" fillId="54" borderId="59" xfId="0" applyFont="1" applyFill="1" applyBorder="1" applyAlignment="1">
      <alignment horizontal="center" vertical="center" wrapText="1"/>
    </xf>
    <xf numFmtId="0" fontId="31" fillId="0" borderId="26" xfId="0" applyFont="1" applyBorder="1" applyAlignment="1">
      <alignment horizontal="center" vertical="center" wrapText="1"/>
    </xf>
    <xf numFmtId="0" fontId="31" fillId="0" borderId="27" xfId="0" applyFont="1" applyBorder="1" applyAlignment="1">
      <alignment vertical="center" wrapText="1"/>
    </xf>
    <xf numFmtId="0" fontId="56" fillId="0" borderId="27" xfId="0" applyFont="1" applyBorder="1" applyAlignment="1">
      <alignment vertical="center" wrapText="1"/>
    </xf>
    <xf numFmtId="0" fontId="56" fillId="0" borderId="28" xfId="0" applyFont="1" applyBorder="1" applyAlignment="1">
      <alignment vertical="center" wrapText="1"/>
    </xf>
    <xf numFmtId="0" fontId="31" fillId="0" borderId="11" xfId="0" applyFont="1" applyBorder="1" applyAlignment="1">
      <alignment horizontal="center" vertical="center" wrapText="1"/>
    </xf>
    <xf numFmtId="0" fontId="31" fillId="0" borderId="23" xfId="0" applyFont="1" applyBorder="1" applyAlignment="1">
      <alignment vertical="center" wrapText="1"/>
    </xf>
    <xf numFmtId="0" fontId="57" fillId="0" borderId="23" xfId="0" applyFont="1" applyBorder="1" applyAlignment="1">
      <alignment vertical="center" wrapText="1"/>
    </xf>
    <xf numFmtId="0" fontId="56" fillId="0" borderId="23" xfId="0" applyFont="1" applyBorder="1" applyAlignment="1">
      <alignment vertical="center" wrapText="1"/>
    </xf>
    <xf numFmtId="0" fontId="58" fillId="0" borderId="23" xfId="0" applyFont="1" applyBorder="1" applyAlignment="1">
      <alignment vertical="center" wrapText="1"/>
    </xf>
    <xf numFmtId="0" fontId="56" fillId="0" borderId="12" xfId="0" applyFont="1" applyBorder="1" applyAlignment="1">
      <alignment vertical="center" wrapText="1"/>
    </xf>
    <xf numFmtId="0" fontId="59" fillId="0" borderId="12" xfId="0" applyFont="1" applyBorder="1" applyAlignment="1">
      <alignment vertical="center" wrapText="1"/>
    </xf>
    <xf numFmtId="0" fontId="60" fillId="0" borderId="23" xfId="0" applyFont="1" applyBorder="1" applyAlignment="1">
      <alignment horizontal="center" vertical="center" wrapText="1"/>
    </xf>
    <xf numFmtId="0" fontId="56" fillId="0" borderId="23" xfId="0" applyFont="1" applyBorder="1" applyAlignment="1">
      <alignment horizontal="center" vertical="center" wrapText="1"/>
    </xf>
    <xf numFmtId="0" fontId="56" fillId="0" borderId="12" xfId="0" applyFont="1" applyBorder="1" applyAlignment="1">
      <alignment horizontal="center" vertical="center" wrapText="1"/>
    </xf>
    <xf numFmtId="0" fontId="31" fillId="0" borderId="23" xfId="0" applyFont="1" applyBorder="1" applyAlignment="1">
      <alignment horizontal="center" vertical="center" wrapText="1"/>
    </xf>
    <xf numFmtId="0" fontId="51" fillId="0" borderId="23" xfId="0" applyFont="1" applyBorder="1" applyAlignment="1">
      <alignment horizontal="center" vertical="center" wrapText="1"/>
    </xf>
    <xf numFmtId="0" fontId="60" fillId="0" borderId="23" xfId="0" applyFont="1" applyBorder="1" applyAlignment="1">
      <alignment vertical="center" wrapText="1"/>
    </xf>
    <xf numFmtId="0" fontId="51" fillId="0" borderId="23" xfId="0" applyFont="1" applyBorder="1" applyAlignment="1">
      <alignment vertical="center" wrapText="1"/>
    </xf>
    <xf numFmtId="0" fontId="61" fillId="0" borderId="23" xfId="0" applyFont="1" applyBorder="1" applyAlignment="1">
      <alignment vertical="center" wrapText="1"/>
    </xf>
    <xf numFmtId="0" fontId="62" fillId="0" borderId="12" xfId="0" applyFont="1" applyBorder="1" applyAlignment="1">
      <alignment vertical="center" wrapText="1"/>
    </xf>
    <xf numFmtId="0" fontId="63" fillId="0" borderId="23" xfId="0" applyFont="1" applyBorder="1" applyAlignment="1">
      <alignment vertical="center" wrapText="1"/>
    </xf>
    <xf numFmtId="0" fontId="64" fillId="0" borderId="23" xfId="0" applyFont="1" applyBorder="1" applyAlignment="1">
      <alignment vertical="center" wrapText="1"/>
    </xf>
    <xf numFmtId="0" fontId="65" fillId="0" borderId="12" xfId="0" applyFont="1" applyBorder="1" applyAlignment="1">
      <alignment vertical="center" wrapText="1"/>
    </xf>
    <xf numFmtId="0" fontId="66" fillId="0" borderId="23" xfId="0" applyFont="1" applyBorder="1" applyAlignment="1">
      <alignment vertical="center" wrapText="1"/>
    </xf>
    <xf numFmtId="0" fontId="66" fillId="0" borderId="23" xfId="0" applyFont="1" applyBorder="1" applyAlignment="1">
      <alignment horizontal="center" vertical="center" wrapText="1"/>
    </xf>
    <xf numFmtId="0" fontId="61" fillId="0" borderId="23" xfId="0" applyFont="1" applyBorder="1" applyAlignment="1">
      <alignment horizontal="center" vertical="center" wrapText="1"/>
    </xf>
    <xf numFmtId="0" fontId="62" fillId="0" borderId="12" xfId="0" applyFont="1" applyBorder="1" applyAlignment="1">
      <alignment horizontal="center" vertical="center" wrapText="1"/>
    </xf>
    <xf numFmtId="0" fontId="67" fillId="0" borderId="11" xfId="0" applyFont="1" applyBorder="1" applyAlignment="1">
      <alignment horizontal="center" vertical="center" wrapText="1"/>
    </xf>
    <xf numFmtId="0" fontId="68" fillId="0" borderId="23" xfId="0" applyFont="1" applyBorder="1" applyAlignment="1">
      <alignment horizontal="center" vertical="center" wrapText="1"/>
    </xf>
    <xf numFmtId="0" fontId="69" fillId="0" borderId="23" xfId="0" applyFont="1" applyBorder="1" applyAlignment="1">
      <alignment horizontal="center" vertical="center" wrapText="1"/>
    </xf>
    <xf numFmtId="0" fontId="69" fillId="0" borderId="12" xfId="0" applyFont="1" applyBorder="1" applyAlignment="1">
      <alignment horizontal="center" vertical="center" wrapText="1"/>
    </xf>
    <xf numFmtId="0" fontId="65" fillId="0" borderId="23" xfId="0" applyFont="1" applyBorder="1" applyAlignment="1">
      <alignment horizontal="center" vertical="center" wrapText="1"/>
    </xf>
    <xf numFmtId="0" fontId="60" fillId="0" borderId="0" xfId="0" applyFont="1" applyAlignment="1">
      <alignment horizontal="center" vertical="center" wrapText="1"/>
    </xf>
    <xf numFmtId="0" fontId="31" fillId="0" borderId="81" xfId="0" applyFont="1" applyBorder="1" applyAlignment="1">
      <alignment horizontal="center" vertical="center" wrapText="1"/>
    </xf>
    <xf numFmtId="0" fontId="51" fillId="0" borderId="29" xfId="0" applyFont="1" applyBorder="1" applyAlignment="1">
      <alignment horizontal="center" vertical="center" wrapText="1"/>
    </xf>
    <xf numFmtId="0" fontId="31" fillId="0" borderId="29" xfId="0" applyFont="1" applyBorder="1" applyAlignment="1">
      <alignment horizontal="center" vertical="center" wrapText="1"/>
    </xf>
    <xf numFmtId="0" fontId="60" fillId="0" borderId="29" xfId="0" applyFont="1" applyBorder="1" applyAlignment="1">
      <alignment horizontal="center" vertical="center" wrapText="1"/>
    </xf>
    <xf numFmtId="0" fontId="56" fillId="0" borderId="82" xfId="0" applyFont="1" applyBorder="1" applyAlignment="1">
      <alignment horizontal="center" vertical="center" wrapText="1"/>
    </xf>
    <xf numFmtId="0" fontId="60" fillId="0" borderId="39" xfId="0" applyFont="1" applyBorder="1" applyAlignment="1">
      <alignment horizontal="center" vertical="center" wrapText="1"/>
    </xf>
    <xf numFmtId="0" fontId="60" fillId="0" borderId="99" xfId="0" applyFont="1" applyBorder="1" applyAlignment="1">
      <alignment horizontal="center" vertical="center" wrapText="1"/>
    </xf>
    <xf numFmtId="0" fontId="0" fillId="59" borderId="0" xfId="0" applyFill="1"/>
    <xf numFmtId="0" fontId="12" fillId="17" borderId="100" xfId="3" applyFont="1" applyFill="1" applyBorder="1" applyAlignment="1">
      <alignment vertical="center"/>
    </xf>
    <xf numFmtId="0" fontId="0" fillId="6" borderId="0" xfId="0" applyFill="1" applyBorder="1"/>
    <xf numFmtId="3" fontId="0" fillId="13" borderId="27" xfId="0" applyNumberFormat="1" applyFill="1" applyBorder="1" applyAlignment="1">
      <alignment horizontal="center" vertical="center" wrapText="1"/>
    </xf>
    <xf numFmtId="0" fontId="0" fillId="0" borderId="0" xfId="0"/>
    <xf numFmtId="0" fontId="0" fillId="0" borderId="0" xfId="0"/>
    <xf numFmtId="0" fontId="71" fillId="0" borderId="0" xfId="0" applyFont="1"/>
    <xf numFmtId="0" fontId="8" fillId="0" borderId="0" xfId="0" applyFont="1" applyAlignment="1">
      <alignment horizontal="center" vertical="center" wrapText="1"/>
    </xf>
    <xf numFmtId="0" fontId="0" fillId="0" borderId="0" xfId="0" applyAlignment="1">
      <alignment vertical="center" wrapText="1"/>
    </xf>
    <xf numFmtId="0" fontId="0" fillId="5" borderId="0" xfId="0" applyFill="1"/>
    <xf numFmtId="0" fontId="0" fillId="0" borderId="0" xfId="0" applyAlignment="1">
      <alignment horizontal="left" indent="2"/>
    </xf>
    <xf numFmtId="0" fontId="0" fillId="0" borderId="0" xfId="0"/>
    <xf numFmtId="0" fontId="0" fillId="0" borderId="41" xfId="0" applyBorder="1"/>
    <xf numFmtId="0" fontId="0" fillId="0" borderId="39" xfId="0" applyBorder="1"/>
    <xf numFmtId="0" fontId="13" fillId="0" borderId="40" xfId="0" applyFont="1" applyBorder="1" applyAlignment="1" applyProtection="1">
      <alignment horizontal="left"/>
      <protection locked="0"/>
    </xf>
    <xf numFmtId="0" fontId="0" fillId="0" borderId="43" xfId="0" applyBorder="1" applyAlignment="1">
      <alignment horizontal="left"/>
    </xf>
    <xf numFmtId="0" fontId="0" fillId="0" borderId="13" xfId="0" applyBorder="1" applyAlignment="1">
      <alignment horizontal="left"/>
    </xf>
    <xf numFmtId="0" fontId="0" fillId="0" borderId="0" xfId="0" applyAlignment="1">
      <alignment horizontal="center"/>
    </xf>
    <xf numFmtId="3" fontId="0" fillId="20" borderId="11" xfId="0" applyNumberFormat="1" applyFill="1" applyBorder="1" applyAlignment="1" applyProtection="1">
      <alignment horizontal="center" vertical="center" wrapText="1"/>
      <protection locked="0"/>
    </xf>
    <xf numFmtId="3" fontId="0" fillId="20" borderId="23" xfId="0" applyNumberFormat="1" applyFill="1" applyBorder="1" applyAlignment="1" applyProtection="1">
      <alignment horizontal="center" vertical="center" wrapText="1"/>
      <protection locked="0"/>
    </xf>
    <xf numFmtId="3" fontId="0" fillId="20" borderId="81" xfId="0" applyNumberFormat="1" applyFill="1" applyBorder="1" applyAlignment="1" applyProtection="1">
      <alignment horizontal="center" vertical="center" wrapText="1"/>
      <protection locked="0"/>
    </xf>
    <xf numFmtId="3" fontId="0" fillId="20" borderId="29" xfId="0" applyNumberFormat="1" applyFill="1" applyBorder="1" applyAlignment="1" applyProtection="1">
      <alignment horizontal="center" vertical="center" wrapText="1"/>
      <protection locked="0"/>
    </xf>
    <xf numFmtId="0" fontId="0" fillId="0" borderId="0" xfId="0"/>
    <xf numFmtId="0" fontId="0" fillId="0" borderId="93" xfId="0" applyBorder="1" applyProtection="1">
      <protection locked="0"/>
    </xf>
    <xf numFmtId="1" fontId="0" fillId="0" borderId="83" xfId="0" applyNumberFormat="1" applyBorder="1" applyProtection="1">
      <protection locked="0"/>
    </xf>
    <xf numFmtId="0" fontId="48" fillId="0" borderId="23" xfId="0" applyFont="1" applyBorder="1" applyProtection="1">
      <protection locked="0"/>
    </xf>
    <xf numFmtId="0" fontId="0" fillId="0" borderId="42" xfId="0" applyBorder="1" applyProtection="1">
      <protection locked="0"/>
    </xf>
    <xf numFmtId="0" fontId="0" fillId="0" borderId="11"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11" xfId="0" applyBorder="1" applyProtection="1">
      <protection locked="0"/>
    </xf>
    <xf numFmtId="0" fontId="0" fillId="0" borderId="23" xfId="0" applyBorder="1" applyProtection="1">
      <protection locked="0"/>
    </xf>
    <xf numFmtId="0" fontId="0" fillId="0" borderId="40" xfId="0" applyBorder="1" applyAlignment="1" applyProtection="1">
      <alignment horizontal="center"/>
      <protection locked="0"/>
    </xf>
    <xf numFmtId="0" fontId="0" fillId="0" borderId="13" xfId="0" applyBorder="1" applyProtection="1">
      <protection locked="0"/>
    </xf>
    <xf numFmtId="0" fontId="0" fillId="0" borderId="12" xfId="0" applyBorder="1" applyAlignment="1" applyProtection="1">
      <alignment horizontal="center"/>
      <protection locked="0"/>
    </xf>
    <xf numFmtId="0" fontId="0" fillId="0" borderId="81" xfId="0" applyBorder="1" applyProtection="1">
      <protection locked="0"/>
    </xf>
    <xf numFmtId="0" fontId="0" fillId="0" borderId="94" xfId="0" applyBorder="1" applyProtection="1">
      <protection locked="0"/>
    </xf>
    <xf numFmtId="0" fontId="48" fillId="0" borderId="29" xfId="0" applyFont="1" applyBorder="1" applyProtection="1">
      <protection locked="0"/>
    </xf>
    <xf numFmtId="0" fontId="0" fillId="0" borderId="29" xfId="0" applyBorder="1" applyProtection="1">
      <protection locked="0"/>
    </xf>
    <xf numFmtId="0" fontId="0" fillId="0" borderId="87"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82"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23" xfId="0" applyBorder="1" applyAlignment="1" applyProtection="1">
      <alignment horizontal="center"/>
      <protection locked="0"/>
    </xf>
    <xf numFmtId="0" fontId="16" fillId="0" borderId="23" xfId="0" applyFont="1" applyBorder="1" applyAlignment="1" applyProtection="1">
      <alignment horizontal="center"/>
      <protection locked="0"/>
    </xf>
    <xf numFmtId="0" fontId="0" fillId="0" borderId="29" xfId="0" applyBorder="1" applyAlignment="1" applyProtection="1">
      <alignment horizontal="center"/>
      <protection locked="0"/>
    </xf>
    <xf numFmtId="3" fontId="0" fillId="0" borderId="23" xfId="0" applyNumberFormat="1" applyBorder="1" applyAlignment="1" applyProtection="1">
      <alignment horizontal="center"/>
      <protection locked="0"/>
    </xf>
    <xf numFmtId="3" fontId="0" fillId="20" borderId="26" xfId="0" applyNumberFormat="1" applyFill="1" applyBorder="1" applyAlignment="1" applyProtection="1">
      <alignment horizontal="center" vertical="center" wrapText="1"/>
      <protection locked="0"/>
    </xf>
    <xf numFmtId="3" fontId="0" fillId="20" borderId="27" xfId="0" applyNumberFormat="1" applyFill="1" applyBorder="1" applyAlignment="1" applyProtection="1">
      <alignment horizontal="center" vertical="center" wrapText="1"/>
      <protection locked="0"/>
    </xf>
    <xf numFmtId="3" fontId="0" fillId="20" borderId="67" xfId="0" applyNumberFormat="1" applyFill="1" applyBorder="1" applyAlignment="1" applyProtection="1">
      <alignment horizontal="center" vertical="center" wrapText="1"/>
      <protection locked="0"/>
    </xf>
    <xf numFmtId="14" fontId="0" fillId="20" borderId="60" xfId="0" applyNumberFormat="1" applyFill="1" applyBorder="1" applyAlignment="1" applyProtection="1">
      <alignment horizontal="center" vertical="center" wrapText="1"/>
      <protection locked="0"/>
    </xf>
    <xf numFmtId="0" fontId="0" fillId="21" borderId="74" xfId="0" applyFill="1" applyBorder="1" applyAlignment="1" applyProtection="1">
      <alignment horizontal="left" vertical="center"/>
      <protection locked="0"/>
    </xf>
    <xf numFmtId="14" fontId="0" fillId="20" borderId="74" xfId="0" applyNumberFormat="1" applyFill="1" applyBorder="1" applyAlignment="1" applyProtection="1">
      <alignment horizontal="center" vertical="center" wrapText="1"/>
      <protection locked="0"/>
    </xf>
    <xf numFmtId="0" fontId="0" fillId="21" borderId="86" xfId="0" applyFill="1" applyBorder="1" applyAlignment="1" applyProtection="1">
      <alignment horizontal="left" vertical="center"/>
      <protection locked="0"/>
    </xf>
    <xf numFmtId="3" fontId="0" fillId="67" borderId="60" xfId="0" applyNumberFormat="1" applyFill="1" applyBorder="1" applyAlignment="1" applyProtection="1">
      <alignment horizontal="left" vertical="center" wrapText="1"/>
      <protection locked="0"/>
    </xf>
    <xf numFmtId="0" fontId="0" fillId="59" borderId="74" xfId="0" applyFill="1" applyBorder="1" applyAlignment="1" applyProtection="1">
      <alignment horizontal="left" vertical="center"/>
      <protection locked="0"/>
    </xf>
    <xf numFmtId="0" fontId="0" fillId="0" borderId="40" xfId="0" applyBorder="1" applyAlignment="1" applyProtection="1">
      <alignment horizontal="center" vertical="center" wrapText="1"/>
      <protection locked="0"/>
    </xf>
    <xf numFmtId="0" fontId="0" fillId="0" borderId="0" xfId="0"/>
    <xf numFmtId="0" fontId="0" fillId="0" borderId="0" xfId="0"/>
    <xf numFmtId="14" fontId="0" fillId="0" borderId="0" xfId="0" applyNumberFormat="1" applyAlignment="1">
      <alignment horizontal="right"/>
    </xf>
    <xf numFmtId="173" fontId="0" fillId="0" borderId="0" xfId="1" applyNumberFormat="1" applyFont="1" applyProtection="1"/>
    <xf numFmtId="0" fontId="0" fillId="0" borderId="0" xfId="0"/>
    <xf numFmtId="14" fontId="0" fillId="0" borderId="0" xfId="0" applyNumberFormat="1" applyAlignment="1" applyProtection="1">
      <alignment horizontal="right"/>
    </xf>
    <xf numFmtId="0" fontId="0" fillId="0" borderId="0" xfId="0"/>
    <xf numFmtId="0" fontId="12" fillId="6" borderId="0" xfId="3" applyFont="1" applyFill="1" applyAlignment="1">
      <alignment vertical="center"/>
    </xf>
    <xf numFmtId="3" fontId="0" fillId="6" borderId="0" xfId="0" applyNumberFormat="1" applyFill="1" applyBorder="1" applyAlignment="1">
      <alignment wrapText="1"/>
    </xf>
    <xf numFmtId="3" fontId="0" fillId="6" borderId="0" xfId="0" applyNumberFormat="1" applyFill="1" applyAlignment="1">
      <alignment horizontal="center" vertical="center" wrapText="1"/>
    </xf>
    <xf numFmtId="3" fontId="0" fillId="6" borderId="0" xfId="0" applyNumberFormat="1" applyFill="1" applyAlignment="1">
      <alignment vertical="center" wrapText="1"/>
    </xf>
    <xf numFmtId="3" fontId="0" fillId="6" borderId="0" xfId="0" applyNumberFormat="1" applyFill="1" applyAlignment="1">
      <alignment wrapText="1"/>
    </xf>
    <xf numFmtId="0" fontId="0" fillId="0" borderId="0" xfId="0"/>
    <xf numFmtId="183" fontId="0" fillId="0" borderId="0" xfId="0" applyNumberFormat="1"/>
    <xf numFmtId="0" fontId="43" fillId="6" borderId="0" xfId="57" applyFill="1"/>
    <xf numFmtId="0" fontId="0" fillId="0" borderId="0" xfId="0"/>
    <xf numFmtId="0" fontId="0" fillId="0" borderId="0" xfId="0"/>
    <xf numFmtId="0" fontId="0" fillId="0" borderId="0" xfId="0" applyFont="1" applyBorder="1" applyProtection="1">
      <protection locked="0"/>
    </xf>
    <xf numFmtId="0" fontId="0" fillId="0" borderId="20" xfId="0" applyBorder="1" applyProtection="1">
      <protection locked="0"/>
    </xf>
    <xf numFmtId="0" fontId="0" fillId="0" borderId="0" xfId="0"/>
    <xf numFmtId="0" fontId="0" fillId="0" borderId="23" xfId="0" applyBorder="1" applyAlignment="1">
      <alignment horizontal="center"/>
    </xf>
    <xf numFmtId="178" fontId="0" fillId="0" borderId="23" xfId="0" applyNumberFormat="1" applyBorder="1" applyAlignment="1" applyProtection="1">
      <alignment horizontal="center"/>
      <protection locked="0"/>
    </xf>
    <xf numFmtId="14" fontId="0" fillId="0" borderId="0" xfId="0" applyNumberFormat="1" applyProtection="1"/>
    <xf numFmtId="0" fontId="0" fillId="0" borderId="0" xfId="0"/>
    <xf numFmtId="3" fontId="0" fillId="0" borderId="84" xfId="0" applyNumberFormat="1" applyBorder="1" applyAlignment="1" applyProtection="1">
      <alignment horizontal="center"/>
      <protection locked="0"/>
    </xf>
    <xf numFmtId="3" fontId="0" fillId="0" borderId="40" xfId="0" applyNumberFormat="1" applyBorder="1" applyAlignment="1" applyProtection="1">
      <alignment horizontal="center"/>
      <protection locked="0"/>
    </xf>
    <xf numFmtId="178" fontId="0" fillId="0" borderId="0" xfId="0" applyNumberFormat="1" applyFill="1"/>
    <xf numFmtId="181" fontId="0" fillId="0" borderId="0" xfId="1" applyNumberFormat="1" applyFont="1"/>
    <xf numFmtId="184" fontId="0" fillId="0" borderId="0" xfId="0" applyNumberFormat="1"/>
    <xf numFmtId="185" fontId="0" fillId="0" borderId="0" xfId="0" applyNumberFormat="1"/>
    <xf numFmtId="0" fontId="0" fillId="0" borderId="0" xfId="0"/>
    <xf numFmtId="0" fontId="0" fillId="6" borderId="0" xfId="0" applyFill="1" applyAlignment="1"/>
    <xf numFmtId="0" fontId="13" fillId="6" borderId="0" xfId="0" applyFont="1" applyFill="1" applyBorder="1" applyAlignment="1">
      <alignment vertical="top" wrapText="1"/>
    </xf>
    <xf numFmtId="0" fontId="0" fillId="6" borderId="0" xfId="0" applyFill="1" applyBorder="1" applyAlignment="1"/>
    <xf numFmtId="0" fontId="0" fillId="68" borderId="0" xfId="0" applyFill="1"/>
    <xf numFmtId="0" fontId="50" fillId="0" borderId="23" xfId="0" applyFont="1" applyFill="1" applyBorder="1" applyAlignment="1">
      <alignment horizontal="center" vertical="center" wrapText="1"/>
    </xf>
    <xf numFmtId="173" fontId="50" fillId="0" borderId="23" xfId="1" applyNumberFormat="1" applyFont="1" applyFill="1" applyBorder="1" applyAlignment="1">
      <alignment horizontal="center" vertical="center" wrapText="1"/>
    </xf>
    <xf numFmtId="14" fontId="0" fillId="66" borderId="0" xfId="0" applyNumberFormat="1" applyFill="1"/>
    <xf numFmtId="0" fontId="0" fillId="0" borderId="0" xfId="0"/>
    <xf numFmtId="0" fontId="42" fillId="6" borderId="0" xfId="0" applyFont="1" applyFill="1"/>
    <xf numFmtId="0" fontId="0" fillId="0" borderId="0" xfId="0"/>
    <xf numFmtId="0" fontId="0" fillId="0" borderId="0" xfId="0"/>
    <xf numFmtId="0" fontId="16" fillId="6" borderId="0" xfId="0" applyNumberFormat="1" applyFont="1" applyFill="1"/>
    <xf numFmtId="0" fontId="73" fillId="2" borderId="0" xfId="0" applyFont="1" applyFill="1"/>
    <xf numFmtId="0" fontId="6" fillId="18" borderId="23" xfId="0" applyFont="1" applyFill="1" applyBorder="1" applyAlignment="1">
      <alignment horizontal="center" vertical="center"/>
    </xf>
    <xf numFmtId="0" fontId="0" fillId="18" borderId="23" xfId="0" applyFill="1" applyBorder="1" applyAlignment="1" applyProtection="1">
      <alignment horizontal="center"/>
      <protection locked="0"/>
    </xf>
    <xf numFmtId="186" fontId="0" fillId="0" borderId="0" xfId="0" applyNumberFormat="1"/>
    <xf numFmtId="0" fontId="0" fillId="0" borderId="0" xfId="0"/>
    <xf numFmtId="181" fontId="0" fillId="0" borderId="0" xfId="0" applyNumberFormat="1" applyFill="1"/>
    <xf numFmtId="181" fontId="0" fillId="0" borderId="0" xfId="1" applyNumberFormat="1" applyFont="1" applyFill="1"/>
    <xf numFmtId="0" fontId="2" fillId="2" borderId="1" xfId="0" applyFont="1" applyFill="1" applyBorder="1" applyProtection="1"/>
    <xf numFmtId="0" fontId="16" fillId="68" borderId="0" xfId="0" applyNumberFormat="1" applyFont="1" applyFill="1" applyProtection="1">
      <protection locked="0"/>
    </xf>
    <xf numFmtId="0" fontId="49" fillId="68" borderId="0" xfId="0" applyNumberFormat="1" applyFont="1" applyFill="1" applyAlignment="1" applyProtection="1">
      <alignment wrapText="1"/>
      <protection locked="0"/>
    </xf>
    <xf numFmtId="3" fontId="0" fillId="65" borderId="84" xfId="0" applyNumberFormat="1" applyFill="1" applyBorder="1" applyAlignment="1" applyProtection="1">
      <alignment horizontal="center" vertical="center"/>
      <protection locked="0"/>
    </xf>
    <xf numFmtId="0" fontId="2" fillId="2" borderId="36" xfId="0" applyFont="1" applyFill="1" applyBorder="1" applyProtection="1"/>
    <xf numFmtId="0" fontId="0" fillId="0" borderId="0" xfId="0"/>
    <xf numFmtId="0" fontId="45" fillId="6" borderId="0" xfId="0" applyFont="1" applyFill="1" applyAlignment="1">
      <alignment horizontal="center"/>
    </xf>
    <xf numFmtId="0" fontId="0" fillId="0" borderId="0" xfId="0" pivotButton="1" applyProtection="1">
      <protection locked="0"/>
    </xf>
    <xf numFmtId="0" fontId="0" fillId="0" borderId="0" xfId="0" applyAlignment="1" applyProtection="1">
      <alignment horizontal="left"/>
      <protection locked="0"/>
    </xf>
    <xf numFmtId="0" fontId="0" fillId="0" borderId="0" xfId="0" applyNumberFormat="1" applyProtection="1">
      <protection locked="0"/>
    </xf>
    <xf numFmtId="0" fontId="0" fillId="0" borderId="0" xfId="0" applyAlignment="1" applyProtection="1">
      <alignment horizontal="left" indent="1"/>
      <protection locked="0"/>
    </xf>
    <xf numFmtId="0" fontId="0" fillId="0" borderId="0" xfId="0" applyAlignment="1" applyProtection="1">
      <alignment horizontal="left" indent="2"/>
      <protection locked="0"/>
    </xf>
    <xf numFmtId="0" fontId="2" fillId="2" borderId="0" xfId="0" applyFont="1" applyFill="1" applyProtection="1">
      <protection locked="0"/>
    </xf>
    <xf numFmtId="0" fontId="12" fillId="68" borderId="66" xfId="3" applyFont="1" applyFill="1" applyBorder="1" applyAlignment="1">
      <alignment vertical="center"/>
    </xf>
    <xf numFmtId="3" fontId="0" fillId="68" borderId="0" xfId="0" applyNumberFormat="1" applyFill="1" applyBorder="1" applyAlignment="1">
      <alignment wrapText="1"/>
    </xf>
    <xf numFmtId="3" fontId="0" fillId="68" borderId="0" xfId="0" applyNumberFormat="1" applyFill="1" applyAlignment="1">
      <alignment wrapText="1"/>
    </xf>
    <xf numFmtId="0" fontId="0" fillId="0" borderId="0" xfId="0" applyAlignment="1"/>
    <xf numFmtId="0" fontId="36" fillId="6" borderId="49" xfId="0" applyFont="1" applyFill="1" applyBorder="1" applyAlignment="1">
      <alignment horizontal="left"/>
    </xf>
    <xf numFmtId="0" fontId="0" fillId="0" borderId="0" xfId="0"/>
    <xf numFmtId="0" fontId="36" fillId="6" borderId="0" xfId="0" applyFont="1" applyFill="1" applyBorder="1" applyAlignment="1">
      <alignment horizontal="left"/>
    </xf>
    <xf numFmtId="0" fontId="50" fillId="69" borderId="23" xfId="0" applyFont="1" applyFill="1" applyBorder="1" applyAlignment="1">
      <alignment horizontal="center" vertical="center" wrapText="1"/>
    </xf>
    <xf numFmtId="173" fontId="50" fillId="69" borderId="23" xfId="1" applyNumberFormat="1" applyFont="1" applyFill="1" applyBorder="1" applyAlignment="1">
      <alignment horizontal="center" vertical="center" wrapText="1"/>
    </xf>
    <xf numFmtId="0" fontId="50" fillId="70" borderId="23" xfId="0" applyFont="1" applyFill="1" applyBorder="1" applyAlignment="1">
      <alignment horizontal="center" vertical="center" wrapText="1"/>
    </xf>
    <xf numFmtId="173" fontId="50" fillId="70" borderId="23" xfId="1" applyNumberFormat="1" applyFont="1" applyFill="1" applyBorder="1" applyAlignment="1">
      <alignment horizontal="center" vertical="center" wrapText="1"/>
    </xf>
    <xf numFmtId="0" fontId="50" fillId="71" borderId="23" xfId="0" applyFont="1" applyFill="1" applyBorder="1" applyAlignment="1">
      <alignment horizontal="center" vertical="center" wrapText="1"/>
    </xf>
    <xf numFmtId="0" fontId="50" fillId="72" borderId="23" xfId="0" applyFont="1" applyFill="1" applyBorder="1" applyAlignment="1">
      <alignment horizontal="center" vertical="center" wrapText="1"/>
    </xf>
    <xf numFmtId="3" fontId="0" fillId="13" borderId="26" xfId="0" applyNumberFormat="1" applyFill="1" applyBorder="1" applyAlignment="1">
      <alignment horizontal="center" vertical="center" wrapText="1"/>
    </xf>
    <xf numFmtId="3" fontId="0" fillId="13" borderId="85" xfId="0" applyNumberFormat="1" applyFill="1" applyBorder="1" applyAlignment="1" applyProtection="1">
      <alignment horizontal="center" vertical="center" wrapText="1"/>
    </xf>
    <xf numFmtId="0" fontId="12" fillId="17" borderId="90" xfId="3" applyFont="1" applyFill="1" applyBorder="1" applyAlignment="1">
      <alignment horizontal="center" vertical="center"/>
    </xf>
    <xf numFmtId="0" fontId="12" fillId="17" borderId="60" xfId="3" applyFont="1" applyFill="1" applyBorder="1" applyAlignment="1">
      <alignment horizontal="center" vertical="center" wrapText="1"/>
    </xf>
    <xf numFmtId="3" fontId="0" fillId="13" borderId="101" xfId="0" applyNumberFormat="1" applyFill="1" applyBorder="1" applyAlignment="1" applyProtection="1">
      <alignment horizontal="center" vertical="center" wrapText="1"/>
    </xf>
    <xf numFmtId="3" fontId="0" fillId="13" borderId="23" xfId="0" applyNumberFormat="1" applyFill="1" applyBorder="1" applyAlignment="1" applyProtection="1">
      <alignment horizontal="center" vertical="center" wrapText="1"/>
    </xf>
    <xf numFmtId="3" fontId="0" fillId="20" borderId="77" xfId="0" applyNumberFormat="1" applyFill="1" applyBorder="1" applyAlignment="1">
      <alignment horizontal="center" vertical="center" wrapText="1"/>
    </xf>
    <xf numFmtId="0" fontId="0" fillId="0" borderId="0" xfId="0"/>
    <xf numFmtId="0" fontId="0" fillId="0" borderId="0" xfId="0"/>
    <xf numFmtId="0" fontId="0" fillId="0" borderId="0" xfId="0"/>
    <xf numFmtId="3" fontId="4" fillId="0" borderId="14" xfId="0" applyNumberFormat="1" applyFont="1" applyFill="1" applyBorder="1" applyAlignment="1">
      <alignment horizontal="center" vertical="center"/>
    </xf>
    <xf numFmtId="3" fontId="4" fillId="0" borderId="10" xfId="0" applyNumberFormat="1" applyFont="1" applyFill="1" applyBorder="1" applyAlignment="1">
      <alignment horizontal="center" vertical="center"/>
    </xf>
    <xf numFmtId="3" fontId="4" fillId="0" borderId="30" xfId="0" applyNumberFormat="1" applyFont="1" applyFill="1" applyBorder="1" applyAlignment="1">
      <alignment horizontal="center" vertical="center"/>
    </xf>
    <xf numFmtId="0" fontId="16" fillId="0" borderId="0" xfId="0" applyFont="1" applyFill="1" applyProtection="1">
      <protection locked="0"/>
    </xf>
    <xf numFmtId="187" fontId="2" fillId="2" borderId="38" xfId="4" applyNumberFormat="1" applyFont="1" applyFill="1" applyBorder="1"/>
    <xf numFmtId="187" fontId="0" fillId="0" borderId="0" xfId="4" applyNumberFormat="1" applyFont="1" applyProtection="1"/>
    <xf numFmtId="187" fontId="0" fillId="0" borderId="0" xfId="4" applyNumberFormat="1" applyFont="1" applyProtection="1">
      <protection locked="0"/>
    </xf>
    <xf numFmtId="187" fontId="0" fillId="0" borderId="0" xfId="4" applyNumberFormat="1" applyFont="1"/>
    <xf numFmtId="187" fontId="2" fillId="2" borderId="3" xfId="4" applyNumberFormat="1" applyFont="1" applyFill="1" applyBorder="1" applyProtection="1">
      <protection locked="0"/>
    </xf>
    <xf numFmtId="187" fontId="2" fillId="0" borderId="0" xfId="4" applyNumberFormat="1" applyFont="1" applyProtection="1">
      <protection locked="0"/>
    </xf>
    <xf numFmtId="187" fontId="0" fillId="0" borderId="0" xfId="4" applyNumberFormat="1" applyFont="1" applyBorder="1" applyAlignment="1" applyProtection="1">
      <alignment horizontal="center"/>
      <protection locked="0"/>
    </xf>
    <xf numFmtId="187" fontId="0" fillId="0" borderId="0" xfId="4" applyNumberFormat="1" applyFont="1" applyAlignment="1" applyProtection="1">
      <protection locked="0"/>
    </xf>
    <xf numFmtId="187" fontId="2" fillId="2" borderId="3" xfId="4" applyNumberFormat="1" applyFont="1" applyFill="1" applyBorder="1"/>
    <xf numFmtId="187" fontId="0" fillId="0" borderId="21" xfId="4" applyNumberFormat="1" applyFont="1" applyBorder="1"/>
    <xf numFmtId="173" fontId="1" fillId="0" borderId="0" xfId="1" applyNumberFormat="1" applyFont="1" applyProtection="1">
      <protection locked="0"/>
    </xf>
    <xf numFmtId="187" fontId="1" fillId="0" borderId="0" xfId="4" applyNumberFormat="1" applyFont="1" applyProtection="1">
      <protection locked="0"/>
    </xf>
    <xf numFmtId="14" fontId="0" fillId="0" borderId="0" xfId="0" applyNumberFormat="1" applyFont="1" applyProtection="1">
      <protection locked="0"/>
    </xf>
    <xf numFmtId="0" fontId="0" fillId="0" borderId="0" xfId="0" applyFont="1" applyProtection="1">
      <protection locked="0"/>
    </xf>
    <xf numFmtId="173" fontId="31" fillId="0" borderId="0" xfId="1" applyNumberFormat="1" applyFont="1" applyProtection="1">
      <protection locked="0"/>
    </xf>
    <xf numFmtId="187" fontId="31" fillId="0" borderId="0" xfId="4" applyNumberFormat="1" applyFont="1" applyProtection="1">
      <protection locked="0"/>
    </xf>
    <xf numFmtId="14" fontId="31" fillId="0" borderId="0" xfId="0" applyNumberFormat="1" applyFont="1" applyProtection="1">
      <protection locked="0"/>
    </xf>
    <xf numFmtId="1" fontId="0" fillId="0" borderId="0" xfId="0" applyNumberFormat="1" applyFont="1" applyProtection="1">
      <protection locked="0"/>
    </xf>
    <xf numFmtId="1" fontId="31" fillId="0" borderId="0" xfId="0" applyNumberFormat="1" applyFont="1" applyProtection="1">
      <protection locked="0"/>
    </xf>
    <xf numFmtId="14" fontId="0" fillId="0" borderId="0" xfId="0" applyNumberFormat="1" applyFont="1" applyAlignment="1" applyProtection="1">
      <alignment horizontal="right"/>
      <protection locked="0"/>
    </xf>
    <xf numFmtId="3" fontId="0" fillId="0" borderId="0" xfId="0" applyNumberFormat="1" applyFont="1" applyProtection="1">
      <protection locked="0"/>
    </xf>
    <xf numFmtId="187" fontId="2" fillId="2" borderId="38" xfId="0" applyNumberFormat="1" applyFont="1" applyFill="1" applyBorder="1"/>
    <xf numFmtId="187" fontId="0" fillId="0" borderId="0" xfId="0" applyNumberFormat="1" applyFont="1" applyProtection="1">
      <protection locked="0"/>
    </xf>
    <xf numFmtId="187" fontId="0" fillId="0" borderId="0" xfId="4" applyNumberFormat="1" applyFont="1" applyFill="1" applyBorder="1" applyAlignment="1" applyProtection="1">
      <alignment horizontal="center"/>
      <protection locked="0"/>
    </xf>
    <xf numFmtId="0" fontId="2" fillId="2" borderId="22" xfId="1" applyNumberFormat="1" applyFont="1" applyFill="1" applyBorder="1"/>
    <xf numFmtId="0" fontId="0" fillId="0" borderId="0" xfId="1" applyNumberFormat="1" applyFont="1"/>
    <xf numFmtId="0" fontId="0" fillId="0" borderId="0" xfId="1" applyNumberFormat="1" applyFont="1" applyProtection="1">
      <protection locked="0"/>
    </xf>
    <xf numFmtId="0" fontId="6" fillId="0" borderId="0" xfId="1" applyNumberFormat="1" applyFont="1" applyAlignment="1" applyProtection="1">
      <alignment wrapText="1"/>
      <protection locked="0"/>
    </xf>
    <xf numFmtId="0" fontId="6" fillId="0" borderId="0" xfId="1" applyNumberFormat="1" applyFont="1" applyProtection="1">
      <protection locked="0"/>
    </xf>
    <xf numFmtId="0" fontId="16" fillId="6" borderId="0" xfId="1" applyNumberFormat="1" applyFont="1" applyFill="1"/>
    <xf numFmtId="0" fontId="16" fillId="0" borderId="0" xfId="1" applyNumberFormat="1" applyFont="1" applyProtection="1">
      <protection locked="0"/>
    </xf>
    <xf numFmtId="0" fontId="0" fillId="6" borderId="0" xfId="1" applyNumberFormat="1" applyFont="1" applyFill="1"/>
    <xf numFmtId="187" fontId="2" fillId="2" borderId="38" xfId="0" applyNumberFormat="1" applyFont="1" applyFill="1" applyBorder="1" applyProtection="1"/>
    <xf numFmtId="187" fontId="2" fillId="2" borderId="38" xfId="4" applyNumberFormat="1" applyFont="1" applyFill="1" applyBorder="1" applyProtection="1"/>
    <xf numFmtId="3" fontId="0" fillId="0" borderId="0" xfId="0" applyNumberFormat="1" applyProtection="1">
      <protection locked="0"/>
    </xf>
    <xf numFmtId="3" fontId="0" fillId="0" borderId="0" xfId="0" pivotButton="1" applyNumberFormat="1" applyProtection="1">
      <protection locked="0"/>
    </xf>
    <xf numFmtId="0" fontId="49" fillId="68" borderId="0" xfId="0" applyNumberFormat="1" applyFont="1" applyFill="1" applyProtection="1">
      <protection locked="0"/>
    </xf>
    <xf numFmtId="0" fontId="49" fillId="6" borderId="0" xfId="0" applyFont="1" applyFill="1" applyAlignment="1" applyProtection="1">
      <alignment horizontal="center" wrapText="1"/>
      <protection locked="0"/>
    </xf>
    <xf numFmtId="0" fontId="0" fillId="0" borderId="0" xfId="0"/>
    <xf numFmtId="0" fontId="0" fillId="0" borderId="0" xfId="0"/>
    <xf numFmtId="0" fontId="3" fillId="3" borderId="5" xfId="0" applyFont="1" applyFill="1" applyBorder="1" applyAlignment="1">
      <alignment horizontal="center" vertical="center" wrapText="1"/>
    </xf>
    <xf numFmtId="0" fontId="0" fillId="0" borderId="0" xfId="0"/>
    <xf numFmtId="1" fontId="0" fillId="59" borderId="23" xfId="0" applyNumberFormat="1" applyFill="1" applyBorder="1" applyAlignment="1">
      <alignment horizontal="center" vertical="center"/>
    </xf>
    <xf numFmtId="0" fontId="0" fillId="0" borderId="0" xfId="0"/>
    <xf numFmtId="3" fontId="0" fillId="0" borderId="0" xfId="0" applyNumberFormat="1" applyAlignment="1" applyProtection="1">
      <alignment horizontal="left"/>
      <protection locked="0"/>
    </xf>
    <xf numFmtId="3" fontId="0" fillId="0" borderId="0" xfId="0" applyNumberFormat="1" applyAlignment="1" applyProtection="1">
      <alignment horizontal="left" indent="1"/>
      <protection locked="0"/>
    </xf>
    <xf numFmtId="3" fontId="0" fillId="0" borderId="0" xfId="0" applyNumberFormat="1" applyAlignment="1" applyProtection="1">
      <alignment horizontal="left" indent="2"/>
      <protection locked="0"/>
    </xf>
    <xf numFmtId="2" fontId="0" fillId="0" borderId="0" xfId="0" applyNumberFormat="1"/>
    <xf numFmtId="178" fontId="0" fillId="0" borderId="40" xfId="0" quotePrefix="1" applyNumberFormat="1" applyBorder="1" applyAlignment="1">
      <alignment horizontal="center" vertical="center"/>
    </xf>
    <xf numFmtId="178" fontId="0" fillId="0" borderId="40" xfId="0" applyNumberFormat="1" applyBorder="1" applyAlignment="1">
      <alignment horizontal="center" vertical="center"/>
    </xf>
    <xf numFmtId="0" fontId="0" fillId="5" borderId="43" xfId="0" applyFill="1" applyBorder="1" applyAlignment="1">
      <alignment horizontal="center" vertical="center" wrapText="1"/>
    </xf>
    <xf numFmtId="0" fontId="0" fillId="61" borderId="40" xfId="0" quotePrefix="1" applyFill="1" applyBorder="1" applyAlignment="1">
      <alignment horizontal="center" vertical="center"/>
    </xf>
    <xf numFmtId="1" fontId="0" fillId="61" borderId="40" xfId="0" applyNumberFormat="1" applyFill="1" applyBorder="1" applyAlignment="1">
      <alignment horizontal="center" vertical="center"/>
    </xf>
    <xf numFmtId="0" fontId="0" fillId="0" borderId="0" xfId="0"/>
    <xf numFmtId="0" fontId="0" fillId="0" borderId="0" xfId="0"/>
    <xf numFmtId="0" fontId="0" fillId="6" borderId="40" xfId="0" applyFill="1" applyBorder="1"/>
    <xf numFmtId="0" fontId="0" fillId="6" borderId="43" xfId="0" applyFill="1" applyBorder="1"/>
    <xf numFmtId="0" fontId="0" fillId="6" borderId="13" xfId="0" applyFill="1" applyBorder="1"/>
    <xf numFmtId="0" fontId="0" fillId="6" borderId="23" xfId="0" applyFill="1" applyBorder="1"/>
    <xf numFmtId="0" fontId="74" fillId="6" borderId="0" xfId="0" applyFont="1" applyFill="1" applyAlignment="1">
      <alignment horizontal="center"/>
    </xf>
    <xf numFmtId="0" fontId="75" fillId="6" borderId="0" xfId="0" applyFont="1" applyFill="1" applyAlignment="1">
      <alignment horizontal="left"/>
    </xf>
    <xf numFmtId="1" fontId="76" fillId="6" borderId="0" xfId="3" applyNumberFormat="1" applyFont="1" applyFill="1" applyAlignment="1" applyProtection="1">
      <alignment horizontal="center" vertical="center" wrapText="1"/>
      <protection locked="0"/>
    </xf>
    <xf numFmtId="1" fontId="76" fillId="6" borderId="0" xfId="6" applyNumberFormat="1" applyFont="1" applyFill="1" applyBorder="1" applyAlignment="1" applyProtection="1">
      <alignment horizontal="center" vertical="center" wrapText="1"/>
      <protection locked="0"/>
    </xf>
    <xf numFmtId="0" fontId="0" fillId="6" borderId="23" xfId="0" applyFill="1" applyBorder="1" applyAlignment="1">
      <alignment wrapText="1"/>
    </xf>
    <xf numFmtId="2" fontId="0" fillId="6" borderId="23" xfId="0" applyNumberFormat="1" applyFill="1" applyBorder="1"/>
    <xf numFmtId="9" fontId="0" fillId="73" borderId="92" xfId="0" applyNumberFormat="1" applyFill="1" applyBorder="1"/>
    <xf numFmtId="9" fontId="0" fillId="73" borderId="0" xfId="0" applyNumberFormat="1" applyFill="1"/>
    <xf numFmtId="0" fontId="0" fillId="64" borderId="69" xfId="0" applyFill="1" applyBorder="1"/>
    <xf numFmtId="9" fontId="0" fillId="73" borderId="103" xfId="0" applyNumberFormat="1" applyFill="1" applyBorder="1"/>
    <xf numFmtId="0" fontId="0" fillId="64" borderId="102" xfId="0" applyFill="1" applyBorder="1"/>
    <xf numFmtId="0" fontId="0" fillId="64" borderId="89" xfId="0" applyFill="1" applyBorder="1"/>
    <xf numFmtId="0" fontId="0" fillId="64" borderId="103" xfId="0" applyFill="1" applyBorder="1"/>
    <xf numFmtId="49" fontId="77" fillId="0" borderId="0" xfId="3" applyNumberFormat="1" applyFont="1"/>
    <xf numFmtId="0" fontId="77" fillId="0" borderId="0" xfId="3" applyFont="1" applyAlignment="1">
      <alignment horizontal="center" vertical="center"/>
    </xf>
    <xf numFmtId="0" fontId="77" fillId="0" borderId="0" xfId="3" applyFont="1" applyAlignment="1">
      <alignment horizontal="left"/>
    </xf>
    <xf numFmtId="0" fontId="77" fillId="0" borderId="0" xfId="3" applyFont="1" applyAlignment="1">
      <alignment horizontal="center"/>
    </xf>
    <xf numFmtId="49" fontId="78" fillId="0" borderId="0" xfId="3" applyNumberFormat="1" applyFont="1" applyAlignment="1">
      <alignment horizontal="center" vertical="center"/>
    </xf>
    <xf numFmtId="49" fontId="78" fillId="0" borderId="0" xfId="3" applyNumberFormat="1" applyFont="1" applyAlignment="1">
      <alignment horizontal="center"/>
    </xf>
    <xf numFmtId="0" fontId="78" fillId="0" borderId="0" xfId="3" applyFont="1" applyAlignment="1">
      <alignment horizontal="center" vertical="center"/>
    </xf>
    <xf numFmtId="188" fontId="77" fillId="0" borderId="0" xfId="3" applyNumberFormat="1" applyFont="1" applyAlignment="1">
      <alignment horizontal="center" vertical="center"/>
    </xf>
    <xf numFmtId="49" fontId="77" fillId="74" borderId="0" xfId="3" applyNumberFormat="1" applyFont="1" applyFill="1" applyAlignment="1">
      <alignment horizontal="center" vertical="center"/>
    </xf>
    <xf numFmtId="1" fontId="77" fillId="0" borderId="0" xfId="3" applyNumberFormat="1" applyFont="1" applyAlignment="1" applyProtection="1">
      <alignment horizontal="center"/>
      <protection locked="0"/>
    </xf>
    <xf numFmtId="1" fontId="76" fillId="78" borderId="0" xfId="3" applyNumberFormat="1" applyFont="1" applyFill="1" applyAlignment="1" applyProtection="1">
      <alignment vertical="center" wrapText="1"/>
      <protection locked="0"/>
    </xf>
    <xf numFmtId="0" fontId="78" fillId="0" borderId="0" xfId="3" applyFont="1" applyAlignment="1">
      <alignment horizontal="left" wrapText="1"/>
    </xf>
    <xf numFmtId="1" fontId="77" fillId="0" borderId="0" xfId="3" applyNumberFormat="1" applyFont="1" applyAlignment="1">
      <alignment horizontal="center"/>
    </xf>
    <xf numFmtId="3" fontId="77" fillId="0" borderId="0" xfId="3" applyNumberFormat="1" applyFont="1" applyAlignment="1">
      <alignment horizontal="center"/>
    </xf>
    <xf numFmtId="0" fontId="84" fillId="0" borderId="0" xfId="3" applyFont="1"/>
    <xf numFmtId="49" fontId="77" fillId="0" borderId="66" xfId="3" applyNumberFormat="1" applyFont="1" applyBorder="1" applyAlignment="1">
      <alignment vertical="center"/>
    </xf>
    <xf numFmtId="49" fontId="85" fillId="84" borderId="0" xfId="3" applyNumberFormat="1" applyFont="1" applyFill="1" applyAlignment="1">
      <alignment horizontal="center" vertical="center" wrapText="1"/>
    </xf>
    <xf numFmtId="1" fontId="86" fillId="84" borderId="0" xfId="3" applyNumberFormat="1" applyFont="1" applyFill="1" applyAlignment="1">
      <alignment horizontal="center" vertical="center" wrapText="1"/>
    </xf>
    <xf numFmtId="1" fontId="76" fillId="75" borderId="0" xfId="3" applyNumberFormat="1" applyFont="1" applyFill="1" applyAlignment="1">
      <alignment horizontal="center" vertical="center" wrapText="1"/>
    </xf>
    <xf numFmtId="1" fontId="76" fillId="75" borderId="0" xfId="6" applyNumberFormat="1" applyFont="1" applyFill="1" applyBorder="1" applyAlignment="1" applyProtection="1">
      <alignment horizontal="center" vertical="center" wrapText="1"/>
    </xf>
    <xf numFmtId="1" fontId="76" fillId="85" borderId="0" xfId="3" applyNumberFormat="1" applyFont="1" applyFill="1" applyAlignment="1" applyProtection="1">
      <alignment horizontal="center" vertical="center" wrapText="1"/>
      <protection locked="0"/>
    </xf>
    <xf numFmtId="1" fontId="85" fillId="85" borderId="0" xfId="3" applyNumberFormat="1" applyFont="1" applyFill="1" applyAlignment="1" applyProtection="1">
      <alignment horizontal="center" vertical="center" wrapText="1"/>
      <protection locked="0"/>
    </xf>
    <xf numFmtId="1" fontId="87" fillId="85" borderId="0" xfId="6" applyNumberFormat="1" applyFont="1" applyFill="1" applyBorder="1" applyAlignment="1" applyProtection="1">
      <alignment horizontal="center" vertical="center" wrapText="1"/>
      <protection locked="0"/>
    </xf>
    <xf numFmtId="1" fontId="76" fillId="85" borderId="0" xfId="6" applyNumberFormat="1" applyFont="1" applyFill="1" applyBorder="1" applyAlignment="1" applyProtection="1">
      <alignment horizontal="center" vertical="center" wrapText="1"/>
      <protection locked="0"/>
    </xf>
    <xf numFmtId="1" fontId="76" fillId="85" borderId="102" xfId="6" applyNumberFormat="1" applyFont="1" applyFill="1" applyBorder="1" applyAlignment="1" applyProtection="1">
      <alignment horizontal="center" vertical="center" wrapText="1"/>
      <protection locked="0"/>
    </xf>
    <xf numFmtId="1" fontId="76" fillId="85" borderId="89" xfId="6" applyNumberFormat="1" applyFont="1" applyFill="1" applyBorder="1" applyAlignment="1" applyProtection="1">
      <alignment horizontal="center" vertical="center" wrapText="1"/>
      <protection locked="0"/>
    </xf>
    <xf numFmtId="1" fontId="87" fillId="85" borderId="103" xfId="6" applyNumberFormat="1" applyFont="1" applyFill="1" applyBorder="1" applyAlignment="1" applyProtection="1">
      <alignment horizontal="center" vertical="center" wrapText="1"/>
      <protection locked="0"/>
    </xf>
    <xf numFmtId="1" fontId="85" fillId="86" borderId="0" xfId="6" applyNumberFormat="1" applyFont="1" applyFill="1" applyBorder="1" applyAlignment="1" applyProtection="1">
      <alignment horizontal="left" vertical="center" wrapText="1"/>
    </xf>
    <xf numFmtId="1" fontId="76" fillId="87" borderId="102" xfId="3" applyNumberFormat="1" applyFont="1" applyFill="1" applyBorder="1" applyAlignment="1" applyProtection="1">
      <alignment horizontal="center" vertical="center" wrapText="1"/>
      <protection locked="0"/>
    </xf>
    <xf numFmtId="1" fontId="85" fillId="87" borderId="89" xfId="3" applyNumberFormat="1" applyFont="1" applyFill="1" applyBorder="1" applyAlignment="1" applyProtection="1">
      <alignment horizontal="center" vertical="center" wrapText="1"/>
      <protection locked="0"/>
    </xf>
    <xf numFmtId="1" fontId="76" fillId="87" borderId="89" xfId="3" applyNumberFormat="1" applyFont="1" applyFill="1" applyBorder="1" applyAlignment="1" applyProtection="1">
      <alignment horizontal="center" vertical="center" wrapText="1"/>
      <protection locked="0"/>
    </xf>
    <xf numFmtId="1" fontId="76" fillId="87" borderId="103" xfId="3" applyNumberFormat="1" applyFont="1" applyFill="1" applyBorder="1" applyAlignment="1" applyProtection="1">
      <alignment horizontal="center" vertical="center" wrapText="1"/>
      <protection locked="0"/>
    </xf>
    <xf numFmtId="1" fontId="85" fillId="88" borderId="102" xfId="3" applyNumberFormat="1" applyFont="1" applyFill="1" applyBorder="1" applyAlignment="1" applyProtection="1">
      <alignment horizontal="center" vertical="center" wrapText="1"/>
      <protection locked="0"/>
    </xf>
    <xf numFmtId="1" fontId="85" fillId="88" borderId="89" xfId="3" applyNumberFormat="1" applyFont="1" applyFill="1" applyBorder="1" applyAlignment="1" applyProtection="1">
      <alignment horizontal="center" vertical="center" wrapText="1"/>
      <protection locked="0"/>
    </xf>
    <xf numFmtId="1" fontId="76" fillId="88" borderId="103" xfId="3" applyNumberFormat="1" applyFont="1" applyFill="1" applyBorder="1" applyAlignment="1" applyProtection="1">
      <alignment horizontal="center" vertical="center" wrapText="1"/>
      <protection locked="0"/>
    </xf>
    <xf numFmtId="1" fontId="76" fillId="88" borderId="102" xfId="3" applyNumberFormat="1" applyFont="1" applyFill="1" applyBorder="1" applyAlignment="1" applyProtection="1">
      <alignment horizontal="center" vertical="center" wrapText="1"/>
      <protection locked="0"/>
    </xf>
    <xf numFmtId="1" fontId="76" fillId="88" borderId="89" xfId="3" applyNumberFormat="1" applyFont="1" applyFill="1" applyBorder="1" applyAlignment="1" applyProtection="1">
      <alignment horizontal="center" vertical="center" wrapText="1"/>
      <protection locked="0"/>
    </xf>
    <xf numFmtId="1" fontId="85" fillId="88" borderId="103" xfId="3" applyNumberFormat="1" applyFont="1" applyFill="1" applyBorder="1" applyAlignment="1" applyProtection="1">
      <alignment horizontal="center" vertical="center" wrapText="1"/>
      <protection locked="0"/>
    </xf>
    <xf numFmtId="1" fontId="76" fillId="74" borderId="0" xfId="3" applyNumberFormat="1" applyFont="1" applyFill="1" applyAlignment="1">
      <alignment horizontal="center" vertical="center" wrapText="1"/>
    </xf>
    <xf numFmtId="1" fontId="76" fillId="89" borderId="102" xfId="3" applyNumberFormat="1" applyFont="1" applyFill="1" applyBorder="1" applyAlignment="1">
      <alignment horizontal="center" vertical="center" wrapText="1"/>
    </xf>
    <xf numFmtId="1" fontId="76" fillId="89" borderId="89" xfId="3" applyNumberFormat="1" applyFont="1" applyFill="1" applyBorder="1" applyAlignment="1">
      <alignment horizontal="center" vertical="center" wrapText="1"/>
    </xf>
    <xf numFmtId="1" fontId="76" fillId="89" borderId="103" xfId="3" applyNumberFormat="1" applyFont="1" applyFill="1" applyBorder="1" applyAlignment="1">
      <alignment horizontal="center" vertical="center" wrapText="1"/>
    </xf>
    <xf numFmtId="1" fontId="76" fillId="74" borderId="102" xfId="6" applyNumberFormat="1" applyFont="1" applyFill="1" applyBorder="1" applyAlignment="1" applyProtection="1">
      <alignment horizontal="center" vertical="center" wrapText="1"/>
    </xf>
    <xf numFmtId="1" fontId="76" fillId="74" borderId="89" xfId="6" applyNumberFormat="1" applyFont="1" applyFill="1" applyBorder="1" applyAlignment="1" applyProtection="1">
      <alignment horizontal="center" vertical="center" wrapText="1"/>
    </xf>
    <xf numFmtId="1" fontId="76" fillId="74" borderId="103" xfId="6" applyNumberFormat="1" applyFont="1" applyFill="1" applyBorder="1" applyAlignment="1" applyProtection="1">
      <alignment horizontal="center" vertical="center" wrapText="1"/>
    </xf>
    <xf numFmtId="1" fontId="76" fillId="89" borderId="102" xfId="6" applyNumberFormat="1" applyFont="1" applyFill="1" applyBorder="1" applyAlignment="1" applyProtection="1">
      <alignment horizontal="center" vertical="center" wrapText="1"/>
    </xf>
    <xf numFmtId="1" fontId="76" fillId="89" borderId="89" xfId="6" applyNumberFormat="1" applyFont="1" applyFill="1" applyBorder="1" applyAlignment="1" applyProtection="1">
      <alignment horizontal="center" vertical="center" wrapText="1"/>
    </xf>
    <xf numFmtId="1" fontId="76" fillId="89" borderId="103" xfId="6" applyNumberFormat="1" applyFont="1" applyFill="1" applyBorder="1" applyAlignment="1" applyProtection="1">
      <alignment horizontal="center" vertical="center" wrapText="1"/>
    </xf>
    <xf numFmtId="1" fontId="76" fillId="81" borderId="102" xfId="6" applyNumberFormat="1" applyFont="1" applyFill="1" applyBorder="1" applyAlignment="1" applyProtection="1">
      <alignment horizontal="center" vertical="center" wrapText="1"/>
    </xf>
    <xf numFmtId="1" fontId="76" fillId="81" borderId="89" xfId="6" applyNumberFormat="1" applyFont="1" applyFill="1" applyBorder="1" applyAlignment="1" applyProtection="1">
      <alignment horizontal="center" vertical="center" wrapText="1"/>
    </xf>
    <xf numFmtId="1" fontId="76" fillId="81" borderId="103" xfId="6" applyNumberFormat="1" applyFont="1" applyFill="1" applyBorder="1" applyAlignment="1" applyProtection="1">
      <alignment horizontal="center" vertical="center" wrapText="1"/>
    </xf>
    <xf numFmtId="1" fontId="76" fillId="82" borderId="102" xfId="6" applyNumberFormat="1" applyFont="1" applyFill="1" applyBorder="1" applyAlignment="1" applyProtection="1">
      <alignment horizontal="center" vertical="center" wrapText="1"/>
    </xf>
    <xf numFmtId="1" fontId="76" fillId="82" borderId="89" xfId="6" applyNumberFormat="1" applyFont="1" applyFill="1" applyBorder="1" applyAlignment="1" applyProtection="1">
      <alignment horizontal="center" vertical="center" wrapText="1"/>
    </xf>
    <xf numFmtId="1" fontId="76" fillId="82" borderId="103" xfId="6" applyNumberFormat="1" applyFont="1" applyFill="1" applyBorder="1" applyAlignment="1" applyProtection="1">
      <alignment horizontal="center" vertical="center" wrapText="1"/>
    </xf>
    <xf numFmtId="1" fontId="85" fillId="86" borderId="0" xfId="6" applyNumberFormat="1" applyFont="1" applyFill="1" applyBorder="1" applyAlignment="1" applyProtection="1">
      <alignment horizontal="center" vertical="center" wrapText="1"/>
    </xf>
    <xf numFmtId="1" fontId="76" fillId="83" borderId="102" xfId="3" applyNumberFormat="1" applyFont="1" applyFill="1" applyBorder="1" applyAlignment="1" applyProtection="1">
      <alignment horizontal="center" vertical="center" wrapText="1"/>
      <protection locked="0"/>
    </xf>
    <xf numFmtId="1" fontId="76" fillId="83" borderId="89" xfId="3" applyNumberFormat="1" applyFont="1" applyFill="1" applyBorder="1" applyAlignment="1" applyProtection="1">
      <alignment horizontal="center" vertical="center" wrapText="1"/>
      <protection locked="0"/>
    </xf>
    <xf numFmtId="1" fontId="76" fillId="83" borderId="103" xfId="3" applyNumberFormat="1" applyFont="1" applyFill="1" applyBorder="1" applyAlignment="1" applyProtection="1">
      <alignment horizontal="center" vertical="center" wrapText="1"/>
      <protection locked="0"/>
    </xf>
    <xf numFmtId="1" fontId="88" fillId="0" borderId="0" xfId="1" applyNumberFormat="1" applyFont="1" applyAlignment="1" applyProtection="1">
      <alignment horizontal="center" vertical="center"/>
      <protection locked="0"/>
    </xf>
    <xf numFmtId="1" fontId="77" fillId="90" borderId="0" xfId="3" applyNumberFormat="1" applyFont="1" applyFill="1" applyAlignment="1">
      <alignment horizontal="center" vertical="center"/>
    </xf>
    <xf numFmtId="1" fontId="77" fillId="0" borderId="66" xfId="3" applyNumberFormat="1" applyFont="1" applyBorder="1" applyAlignment="1" applyProtection="1">
      <alignment horizontal="center" vertical="center"/>
      <protection locked="0"/>
    </xf>
    <xf numFmtId="1" fontId="77" fillId="0" borderId="0" xfId="3" applyNumberFormat="1" applyFont="1" applyAlignment="1" applyProtection="1">
      <alignment horizontal="center" vertical="center"/>
      <protection locked="0"/>
    </xf>
    <xf numFmtId="1" fontId="77" fillId="0" borderId="104" xfId="3" applyNumberFormat="1" applyFont="1" applyBorder="1" applyAlignment="1" applyProtection="1">
      <alignment horizontal="center" vertical="center"/>
      <protection locked="0"/>
    </xf>
    <xf numFmtId="3" fontId="77" fillId="0" borderId="66" xfId="3" applyNumberFormat="1" applyFont="1" applyBorder="1" applyAlignment="1" applyProtection="1">
      <alignment horizontal="center" vertical="center"/>
      <protection locked="0"/>
    </xf>
    <xf numFmtId="188" fontId="77" fillId="0" borderId="66" xfId="3" applyNumberFormat="1" applyFont="1" applyBorder="1" applyAlignment="1">
      <alignment horizontal="center" vertical="center"/>
    </xf>
    <xf numFmtId="3" fontId="77" fillId="0" borderId="0" xfId="3" applyNumberFormat="1" applyFont="1" applyAlignment="1" applyProtection="1">
      <alignment horizontal="center" vertical="center"/>
      <protection locked="0"/>
    </xf>
    <xf numFmtId="0" fontId="77" fillId="0" borderId="105" xfId="3" applyFont="1" applyBorder="1" applyAlignment="1" applyProtection="1">
      <alignment horizontal="center" vertical="center"/>
      <protection locked="0"/>
    </xf>
    <xf numFmtId="0" fontId="77" fillId="0" borderId="0" xfId="3" applyFont="1" applyAlignment="1" applyProtection="1">
      <alignment horizontal="center" vertical="center"/>
      <protection locked="0"/>
    </xf>
    <xf numFmtId="2" fontId="77" fillId="0" borderId="66" xfId="0" applyNumberFormat="1" applyFont="1" applyBorder="1" applyAlignment="1" applyProtection="1">
      <alignment horizontal="center" vertical="center"/>
      <protection locked="0"/>
    </xf>
    <xf numFmtId="2" fontId="77" fillId="0" borderId="0" xfId="0" applyNumberFormat="1" applyFont="1" applyAlignment="1" applyProtection="1">
      <alignment horizontal="center" vertical="center"/>
      <protection locked="0"/>
    </xf>
    <xf numFmtId="0" fontId="78" fillId="57" borderId="104" xfId="3" applyFont="1" applyFill="1" applyBorder="1" applyAlignment="1">
      <alignment horizontal="left" vertical="center" wrapText="1"/>
    </xf>
    <xf numFmtId="3" fontId="77" fillId="0" borderId="0" xfId="3" quotePrefix="1" applyNumberFormat="1" applyFont="1" applyAlignment="1" applyProtection="1">
      <alignment horizontal="center" vertical="center" wrapText="1"/>
      <protection locked="0"/>
    </xf>
    <xf numFmtId="180" fontId="1" fillId="0" borderId="0" xfId="72" applyNumberFormat="1" applyFont="1" applyFill="1" applyBorder="1" applyAlignment="1">
      <alignment vertical="center"/>
    </xf>
    <xf numFmtId="9" fontId="1" fillId="0" borderId="0" xfId="72" applyFont="1" applyBorder="1" applyAlignment="1">
      <alignment vertical="center"/>
    </xf>
    <xf numFmtId="1" fontId="77" fillId="0" borderId="0" xfId="3" applyNumberFormat="1" applyFont="1" applyAlignment="1">
      <alignment horizontal="center" vertical="center"/>
    </xf>
    <xf numFmtId="9" fontId="77" fillId="0" borderId="0" xfId="2" applyFont="1" applyAlignment="1">
      <alignment horizontal="center" vertical="center"/>
    </xf>
    <xf numFmtId="3" fontId="77" fillId="0" borderId="0" xfId="3" applyNumberFormat="1" applyFont="1" applyAlignment="1">
      <alignment horizontal="center" vertical="center"/>
    </xf>
    <xf numFmtId="9" fontId="1" fillId="0" borderId="0" xfId="72" applyFont="1" applyFill="1" applyBorder="1" applyAlignment="1">
      <alignment vertical="center"/>
    </xf>
    <xf numFmtId="3" fontId="77" fillId="0" borderId="0" xfId="3" quotePrefix="1" applyNumberFormat="1" applyFont="1" applyAlignment="1">
      <alignment horizontal="center" vertical="center" wrapText="1"/>
    </xf>
    <xf numFmtId="9" fontId="1" fillId="0" borderId="0" xfId="2" applyFont="1" applyAlignment="1">
      <alignment vertical="center"/>
    </xf>
    <xf numFmtId="3" fontId="77" fillId="0" borderId="0" xfId="72" applyNumberFormat="1" applyFont="1" applyFill="1" applyBorder="1" applyAlignment="1">
      <alignment horizontal="center" vertical="center"/>
    </xf>
    <xf numFmtId="10" fontId="1" fillId="0" borderId="0" xfId="0" applyNumberFormat="1" applyFont="1" applyAlignment="1">
      <alignment vertical="center"/>
    </xf>
    <xf numFmtId="0" fontId="77" fillId="0" borderId="0" xfId="3" applyFont="1" applyAlignment="1">
      <alignment vertical="center"/>
    </xf>
    <xf numFmtId="173" fontId="1" fillId="0" borderId="0" xfId="1" applyNumberFormat="1" applyFont="1" applyAlignment="1">
      <alignment vertical="center"/>
    </xf>
    <xf numFmtId="173" fontId="1" fillId="0" borderId="0" xfId="0" applyNumberFormat="1" applyFont="1" applyAlignment="1">
      <alignment vertical="center"/>
    </xf>
    <xf numFmtId="0" fontId="8" fillId="0" borderId="0" xfId="0" applyFont="1" applyAlignment="1">
      <alignment horizontal="left" indent="1"/>
    </xf>
    <xf numFmtId="3" fontId="4" fillId="0" borderId="0" xfId="0" applyNumberFormat="1" applyFont="1" applyAlignment="1">
      <alignment horizontal="center" vertical="center"/>
    </xf>
    <xf numFmtId="0" fontId="0" fillId="0" borderId="80" xfId="0" applyBorder="1"/>
    <xf numFmtId="3" fontId="5" fillId="5" borderId="106" xfId="1" applyNumberFormat="1" applyFont="1" applyFill="1" applyBorder="1" applyAlignment="1" applyProtection="1">
      <alignment horizontal="center" vertical="center"/>
    </xf>
    <xf numFmtId="0" fontId="72" fillId="0" borderId="0" xfId="70" applyFont="1" applyFill="1" applyBorder="1"/>
    <xf numFmtId="14" fontId="90" fillId="0" borderId="0" xfId="73" applyNumberFormat="1"/>
    <xf numFmtId="14" fontId="90" fillId="0" borderId="0" xfId="73" applyNumberFormat="1"/>
    <xf numFmtId="2" fontId="90" fillId="0" borderId="0" xfId="73" applyNumberFormat="1"/>
    <xf numFmtId="2" fontId="90" fillId="0" borderId="0" xfId="73" applyNumberFormat="1"/>
    <xf numFmtId="0" fontId="72" fillId="0" borderId="0" xfId="70"/>
    <xf numFmtId="0" fontId="0" fillId="0" borderId="0" xfId="0" applyAlignment="1">
      <alignment horizontal="left" indent="3"/>
    </xf>
    <xf numFmtId="0" fontId="0" fillId="0" borderId="0" xfId="0"/>
    <xf numFmtId="0" fontId="0" fillId="0" borderId="0" xfId="0"/>
    <xf numFmtId="3" fontId="0" fillId="20" borderId="84" xfId="0" applyNumberFormat="1" applyFill="1" applyBorder="1" applyAlignment="1" applyProtection="1">
      <alignment horizontal="center" vertical="center" wrapText="1"/>
      <protection locked="0"/>
    </xf>
    <xf numFmtId="0" fontId="3" fillId="18" borderId="88" xfId="0" applyFont="1" applyFill="1" applyBorder="1" applyAlignment="1">
      <alignment horizontal="center" vertical="center" wrapText="1"/>
    </xf>
    <xf numFmtId="0" fontId="4" fillId="19" borderId="46" xfId="1" applyNumberFormat="1" applyFont="1" applyFill="1" applyBorder="1" applyAlignment="1" applyProtection="1">
      <alignment horizontal="center" vertical="center"/>
    </xf>
    <xf numFmtId="0" fontId="4" fillId="19" borderId="10" xfId="1" applyNumberFormat="1" applyFont="1" applyFill="1" applyBorder="1" applyAlignment="1" applyProtection="1">
      <alignment horizontal="center" vertical="center"/>
    </xf>
    <xf numFmtId="0" fontId="4" fillId="19" borderId="30" xfId="1" applyNumberFormat="1" applyFont="1" applyFill="1" applyBorder="1" applyAlignment="1" applyProtection="1">
      <alignment horizontal="center" vertical="center"/>
    </xf>
    <xf numFmtId="3" fontId="0" fillId="13" borderId="43" xfId="0" applyNumberFormat="1" applyFill="1" applyBorder="1" applyAlignment="1" applyProtection="1">
      <alignment horizontal="center" vertical="center" wrapText="1"/>
    </xf>
    <xf numFmtId="3" fontId="0" fillId="13" borderId="23" xfId="0" applyNumberFormat="1" applyFill="1" applyBorder="1" applyAlignment="1">
      <alignment horizontal="center" vertical="center" wrapText="1"/>
    </xf>
    <xf numFmtId="3" fontId="0" fillId="13" borderId="28" xfId="0" applyNumberFormat="1" applyFill="1" applyBorder="1" applyAlignment="1" applyProtection="1">
      <alignment horizontal="center" vertical="center" wrapText="1"/>
    </xf>
    <xf numFmtId="3" fontId="0" fillId="13" borderId="11" xfId="0" applyNumberFormat="1" applyFill="1" applyBorder="1" applyAlignment="1">
      <alignment horizontal="center" vertical="center" wrapText="1"/>
    </xf>
    <xf numFmtId="3" fontId="0" fillId="13" borderId="12" xfId="0" applyNumberFormat="1" applyFill="1" applyBorder="1" applyAlignment="1" applyProtection="1">
      <alignment horizontal="center" vertical="center" wrapText="1"/>
    </xf>
    <xf numFmtId="3" fontId="0" fillId="13" borderId="81" xfId="0" applyNumberFormat="1" applyFill="1" applyBorder="1" applyAlignment="1">
      <alignment horizontal="center" vertical="center" wrapText="1"/>
    </xf>
    <xf numFmtId="3" fontId="0" fillId="13" borderId="29" xfId="0" applyNumberFormat="1" applyFill="1" applyBorder="1" applyAlignment="1">
      <alignment horizontal="center" vertical="center" wrapText="1"/>
    </xf>
    <xf numFmtId="3" fontId="0" fillId="13" borderId="82" xfId="0" applyNumberFormat="1" applyFill="1" applyBorder="1" applyAlignment="1" applyProtection="1">
      <alignment horizontal="center" vertical="center" wrapText="1"/>
    </xf>
    <xf numFmtId="0" fontId="75" fillId="6" borderId="0" xfId="0" applyFont="1" applyFill="1" applyAlignment="1">
      <alignment horizontal="right"/>
    </xf>
    <xf numFmtId="0" fontId="0" fillId="0" borderId="80" xfId="0" applyFont="1" applyBorder="1"/>
    <xf numFmtId="0" fontId="0" fillId="6" borderId="0" xfId="0" applyNumberFormat="1" applyFill="1"/>
    <xf numFmtId="0" fontId="16" fillId="6" borderId="0" xfId="0" applyNumberFormat="1" applyFont="1" applyFill="1" applyProtection="1">
      <protection locked="0"/>
    </xf>
    <xf numFmtId="0" fontId="16" fillId="0" borderId="0" xfId="0" applyNumberFormat="1" applyFont="1" applyProtection="1">
      <protection locked="0"/>
    </xf>
    <xf numFmtId="0" fontId="49" fillId="6" borderId="0" xfId="0" applyNumberFormat="1" applyFont="1" applyFill="1" applyAlignment="1" applyProtection="1">
      <alignment wrapText="1"/>
      <protection locked="0"/>
    </xf>
    <xf numFmtId="2" fontId="13" fillId="0" borderId="0" xfId="0" applyNumberFormat="1" applyFont="1"/>
    <xf numFmtId="0" fontId="0" fillId="0" borderId="0" xfId="0"/>
    <xf numFmtId="0" fontId="0" fillId="0" borderId="0" xfId="0"/>
    <xf numFmtId="2" fontId="16" fillId="0" borderId="0" xfId="0" applyNumberFormat="1" applyFont="1"/>
    <xf numFmtId="0" fontId="16" fillId="0" borderId="0" xfId="1" applyNumberFormat="1" applyFont="1" applyAlignment="1" applyProtection="1">
      <alignment wrapText="1"/>
      <protection locked="0"/>
    </xf>
    <xf numFmtId="2" fontId="91" fillId="0" borderId="0" xfId="73" applyNumberFormat="1" applyFont="1"/>
    <xf numFmtId="173" fontId="16" fillId="0" borderId="0" xfId="1" applyNumberFormat="1" applyFont="1" applyProtection="1">
      <protection locked="0"/>
    </xf>
    <xf numFmtId="187" fontId="16" fillId="0" borderId="0" xfId="4" applyNumberFormat="1" applyFont="1" applyProtection="1">
      <protection locked="0"/>
    </xf>
    <xf numFmtId="173" fontId="16" fillId="0" borderId="0" xfId="0" applyNumberFormat="1" applyFont="1" applyProtection="1">
      <protection locked="0"/>
    </xf>
    <xf numFmtId="0" fontId="49" fillId="0" borderId="0" xfId="1" applyNumberFormat="1" applyFont="1" applyProtection="1">
      <protection locked="0"/>
    </xf>
    <xf numFmtId="173" fontId="16" fillId="0" borderId="0" xfId="1" applyNumberFormat="1" applyFont="1" applyAlignment="1" applyProtection="1">
      <alignment horizontal="right"/>
      <protection locked="0"/>
    </xf>
    <xf numFmtId="187" fontId="16" fillId="0" borderId="0" xfId="4" applyNumberFormat="1" applyFont="1" applyBorder="1" applyAlignment="1" applyProtection="1">
      <alignment horizontal="center"/>
      <protection locked="0"/>
    </xf>
    <xf numFmtId="0" fontId="8" fillId="0" borderId="0" xfId="0" applyFont="1" applyAlignment="1">
      <alignment horizontal="center"/>
    </xf>
    <xf numFmtId="0" fontId="0" fillId="0" borderId="0" xfId="0" applyAlignment="1">
      <alignment horizontal="center"/>
    </xf>
    <xf numFmtId="0" fontId="0" fillId="0" borderId="0" xfId="0" applyAlignment="1">
      <alignment horizontal="center" wrapText="1"/>
    </xf>
    <xf numFmtId="0" fontId="51" fillId="54" borderId="96" xfId="0" applyFont="1" applyFill="1" applyBorder="1" applyAlignment="1">
      <alignment horizontal="center" vertical="center" wrapText="1"/>
    </xf>
    <xf numFmtId="0" fontId="51" fillId="54" borderId="97" xfId="0" applyFont="1" applyFill="1" applyBorder="1" applyAlignment="1">
      <alignment horizontal="center" vertical="center" wrapText="1"/>
    </xf>
    <xf numFmtId="0" fontId="51" fillId="54" borderId="98" xfId="0" applyFont="1" applyFill="1" applyBorder="1" applyAlignment="1">
      <alignment horizontal="center" vertical="center" wrapText="1"/>
    </xf>
    <xf numFmtId="0" fontId="70" fillId="0" borderId="0" xfId="0" applyFont="1" applyAlignment="1">
      <alignment horizontal="center" vertical="center" wrapText="1"/>
    </xf>
    <xf numFmtId="0" fontId="0" fillId="0" borderId="89" xfId="0" applyBorder="1" applyAlignment="1">
      <alignment horizontal="center" wrapText="1"/>
    </xf>
    <xf numFmtId="0" fontId="13" fillId="0" borderId="0" xfId="0" applyFont="1" applyAlignment="1">
      <alignment horizontal="left"/>
    </xf>
    <xf numFmtId="0" fontId="13" fillId="6" borderId="0" xfId="0" applyFont="1" applyFill="1" applyAlignment="1">
      <alignment horizontal="left" vertical="center" wrapText="1"/>
    </xf>
    <xf numFmtId="170" fontId="0" fillId="6" borderId="0" xfId="0" applyNumberFormat="1" applyFill="1" applyAlignment="1">
      <alignment horizontal="center"/>
    </xf>
    <xf numFmtId="0" fontId="48" fillId="6" borderId="49" xfId="0" applyFont="1" applyFill="1" applyBorder="1" applyAlignment="1">
      <alignment horizontal="left"/>
    </xf>
    <xf numFmtId="0" fontId="12" fillId="17" borderId="46" xfId="3" applyFont="1" applyFill="1" applyBorder="1" applyAlignment="1">
      <alignment horizontal="center" vertical="center"/>
    </xf>
    <xf numFmtId="0" fontId="12" fillId="17" borderId="47" xfId="3" applyFont="1" applyFill="1" applyBorder="1" applyAlignment="1">
      <alignment horizontal="center" vertical="center"/>
    </xf>
    <xf numFmtId="0" fontId="12" fillId="17" borderId="48" xfId="3" applyFont="1" applyFill="1" applyBorder="1" applyAlignment="1">
      <alignment horizontal="center" vertical="center"/>
    </xf>
    <xf numFmtId="0" fontId="12" fillId="17" borderId="26" xfId="3" applyFont="1" applyFill="1" applyBorder="1" applyAlignment="1">
      <alignment horizontal="center" vertical="center"/>
    </xf>
    <xf numFmtId="0" fontId="12" fillId="17" borderId="27" xfId="3" applyFont="1" applyFill="1" applyBorder="1" applyAlignment="1">
      <alignment horizontal="center" vertical="center"/>
    </xf>
    <xf numFmtId="0" fontId="0" fillId="0" borderId="27" xfId="0" applyBorder="1" applyAlignment="1">
      <alignment vertical="center"/>
    </xf>
    <xf numFmtId="0" fontId="0" fillId="0" borderId="28" xfId="0" applyBorder="1" applyAlignment="1">
      <alignment vertical="center"/>
    </xf>
    <xf numFmtId="0" fontId="12" fillId="17" borderId="16" xfId="3" applyFont="1" applyFill="1" applyBorder="1" applyAlignment="1">
      <alignment horizontal="center" vertical="center"/>
    </xf>
    <xf numFmtId="0" fontId="12" fillId="17" borderId="41" xfId="3" applyFont="1" applyFill="1" applyBorder="1" applyAlignment="1">
      <alignment horizontal="center" vertical="center"/>
    </xf>
    <xf numFmtId="0" fontId="0" fillId="0" borderId="41" xfId="0" applyBorder="1" applyAlignment="1">
      <alignment vertical="center"/>
    </xf>
    <xf numFmtId="0" fontId="0" fillId="0" borderId="17" xfId="0" applyBorder="1" applyAlignment="1">
      <alignment vertical="center"/>
    </xf>
    <xf numFmtId="3" fontId="0" fillId="20" borderId="11" xfId="0" applyNumberFormat="1" applyFill="1" applyBorder="1" applyAlignment="1" applyProtection="1">
      <alignment horizontal="center" vertical="center"/>
      <protection locked="0"/>
    </xf>
    <xf numFmtId="3" fontId="0" fillId="20" borderId="23" xfId="0" applyNumberFormat="1" applyFill="1" applyBorder="1" applyAlignment="1" applyProtection="1">
      <alignment horizontal="center" vertical="center"/>
      <protection locked="0"/>
    </xf>
    <xf numFmtId="3" fontId="0" fillId="20" borderId="12" xfId="0" applyNumberFormat="1" applyFill="1" applyBorder="1" applyAlignment="1" applyProtection="1">
      <alignment horizontal="center" vertical="center"/>
      <protection locked="0"/>
    </xf>
    <xf numFmtId="3" fontId="0" fillId="20" borderId="13" xfId="0" applyNumberFormat="1" applyFill="1" applyBorder="1" applyAlignment="1" applyProtection="1">
      <alignment horizontal="center" vertical="center"/>
      <protection locked="0"/>
    </xf>
    <xf numFmtId="3" fontId="0" fillId="20" borderId="13" xfId="0" applyNumberFormat="1" applyFill="1" applyBorder="1" applyAlignment="1" applyProtection="1">
      <alignment horizontal="center" vertical="center" wrapText="1"/>
      <protection locked="0"/>
    </xf>
    <xf numFmtId="3" fontId="0" fillId="20" borderId="23" xfId="0" applyNumberFormat="1" applyFill="1" applyBorder="1" applyAlignment="1" applyProtection="1">
      <alignment horizontal="center" vertical="center" wrapText="1"/>
      <protection locked="0"/>
    </xf>
    <xf numFmtId="0" fontId="0" fillId="0" borderId="23" xfId="0" applyBorder="1" applyAlignment="1" applyProtection="1">
      <alignment vertical="center" wrapText="1"/>
      <protection locked="0"/>
    </xf>
    <xf numFmtId="0" fontId="0" fillId="0" borderId="12" xfId="0" applyBorder="1" applyAlignment="1" applyProtection="1">
      <alignment vertical="center" wrapText="1"/>
      <protection locked="0"/>
    </xf>
    <xf numFmtId="0" fontId="16" fillId="6" borderId="0" xfId="0" applyFont="1" applyFill="1" applyAlignment="1">
      <alignment horizontal="center" vertical="top" wrapText="1"/>
    </xf>
    <xf numFmtId="0" fontId="40" fillId="6" borderId="0" xfId="0" applyFont="1" applyFill="1" applyAlignment="1">
      <alignment horizontal="left" vertical="top" wrapText="1"/>
    </xf>
    <xf numFmtId="0" fontId="0" fillId="6" borderId="0" xfId="0" applyFill="1" applyAlignment="1">
      <alignment horizontal="left" vertical="top" wrapText="1"/>
    </xf>
    <xf numFmtId="0" fontId="13" fillId="6" borderId="0" xfId="0" applyFont="1" applyFill="1" applyAlignment="1">
      <alignment horizontal="left" vertical="top" wrapText="1"/>
    </xf>
    <xf numFmtId="0" fontId="16" fillId="6" borderId="0" xfId="0" applyFont="1" applyFill="1" applyAlignment="1">
      <alignment horizontal="left" vertical="top" wrapText="1"/>
    </xf>
    <xf numFmtId="0" fontId="0" fillId="0" borderId="0" xfId="0" applyFont="1" applyAlignment="1"/>
    <xf numFmtId="0" fontId="6" fillId="6" borderId="49" xfId="0" applyFont="1" applyFill="1" applyBorder="1" applyAlignment="1">
      <alignment horizontal="left"/>
    </xf>
    <xf numFmtId="0" fontId="13" fillId="59" borderId="0" xfId="0" applyFont="1" applyFill="1" applyAlignment="1">
      <alignment horizontal="center" wrapText="1"/>
    </xf>
    <xf numFmtId="0" fontId="13" fillId="59" borderId="0" xfId="0" applyFont="1" applyFill="1" applyAlignment="1">
      <alignment horizontal="center"/>
    </xf>
    <xf numFmtId="0" fontId="36" fillId="6" borderId="49" xfId="0" applyFont="1" applyFill="1" applyBorder="1" applyAlignment="1">
      <alignment horizontal="left"/>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center" wrapText="1"/>
    </xf>
    <xf numFmtId="0" fontId="13" fillId="0" borderId="0" xfId="0" applyFont="1" applyAlignment="1">
      <alignment wrapText="1"/>
    </xf>
    <xf numFmtId="0" fontId="0" fillId="0" borderId="0" xfId="0"/>
    <xf numFmtId="0" fontId="0" fillId="0" borderId="0" xfId="0" applyFont="1" applyAlignment="1">
      <alignment horizontal="left" wrapText="1"/>
    </xf>
    <xf numFmtId="0" fontId="0" fillId="0" borderId="0" xfId="0" applyFont="1" applyAlignment="1">
      <alignment horizontal="left"/>
    </xf>
    <xf numFmtId="0" fontId="34" fillId="6" borderId="0" xfId="0" applyFont="1" applyFill="1" applyAlignment="1">
      <alignment horizontal="center" vertical="center" wrapText="1"/>
    </xf>
    <xf numFmtId="0" fontId="0" fillId="8" borderId="0" xfId="0" applyFill="1" applyAlignment="1">
      <alignment horizontal="center"/>
    </xf>
    <xf numFmtId="0" fontId="0" fillId="59" borderId="0" xfId="0" applyFill="1" applyAlignment="1">
      <alignment horizontal="center"/>
    </xf>
    <xf numFmtId="0" fontId="0" fillId="60" borderId="0" xfId="0" applyFill="1" applyAlignment="1">
      <alignment horizontal="center"/>
    </xf>
    <xf numFmtId="0" fontId="36" fillId="6" borderId="49" xfId="0" applyFont="1" applyFill="1" applyBorder="1" applyAlignment="1">
      <alignment horizontal="center"/>
    </xf>
    <xf numFmtId="0" fontId="45" fillId="6" borderId="0" xfId="0" applyFont="1" applyFill="1" applyAlignment="1">
      <alignment horizontal="center" wrapText="1"/>
    </xf>
    <xf numFmtId="0" fontId="45" fillId="6" borderId="0" xfId="0" applyFont="1" applyFill="1" applyAlignment="1">
      <alignment horizontal="center"/>
    </xf>
    <xf numFmtId="0" fontId="11" fillId="6" borderId="0" xfId="0" applyFont="1" applyFill="1" applyAlignment="1">
      <alignment horizontal="center" vertical="center"/>
    </xf>
    <xf numFmtId="0" fontId="0" fillId="6" borderId="44" xfId="0" applyFill="1" applyBorder="1" applyAlignment="1">
      <alignment horizontal="center"/>
    </xf>
    <xf numFmtId="0" fontId="0" fillId="6" borderId="24" xfId="0" applyFill="1" applyBorder="1" applyAlignment="1">
      <alignment horizontal="center"/>
    </xf>
    <xf numFmtId="0" fontId="0" fillId="6" borderId="18" xfId="0" applyFill="1" applyBorder="1" applyAlignment="1">
      <alignment horizontal="center"/>
    </xf>
    <xf numFmtId="0" fontId="0" fillId="6" borderId="79" xfId="0" applyFill="1" applyBorder="1" applyAlignment="1">
      <alignment horizontal="center"/>
    </xf>
    <xf numFmtId="0" fontId="0" fillId="6" borderId="0" xfId="0" applyFill="1" applyAlignment="1">
      <alignment horizontal="center"/>
    </xf>
    <xf numFmtId="0" fontId="0" fillId="6" borderId="99" xfId="0" applyFill="1" applyBorder="1" applyAlignment="1">
      <alignment horizontal="center"/>
    </xf>
    <xf numFmtId="0" fontId="0" fillId="6" borderId="84" xfId="0" applyFill="1" applyBorder="1" applyAlignment="1">
      <alignment horizontal="center"/>
    </xf>
    <xf numFmtId="0" fontId="0" fillId="6" borderId="49" xfId="0" applyFill="1" applyBorder="1" applyAlignment="1">
      <alignment horizontal="center"/>
    </xf>
    <xf numFmtId="0" fontId="0" fillId="6" borderId="83" xfId="0" applyFill="1" applyBorder="1" applyAlignment="1">
      <alignment horizontal="center"/>
    </xf>
    <xf numFmtId="0" fontId="82" fillId="80" borderId="100" xfId="3" applyFont="1" applyFill="1" applyBorder="1" applyAlignment="1">
      <alignment horizontal="center" vertical="center"/>
    </xf>
    <xf numFmtId="0" fontId="82" fillId="80" borderId="78" xfId="3" applyFont="1" applyFill="1" applyBorder="1" applyAlignment="1">
      <alignment horizontal="center" vertical="center"/>
    </xf>
    <xf numFmtId="0" fontId="82" fillId="80" borderId="92" xfId="3" applyFont="1" applyFill="1" applyBorder="1" applyAlignment="1">
      <alignment horizontal="center" vertical="center"/>
    </xf>
    <xf numFmtId="3" fontId="76" fillId="74" borderId="100" xfId="6" applyNumberFormat="1" applyFont="1" applyFill="1" applyBorder="1" applyAlignment="1" applyProtection="1">
      <alignment horizontal="center" vertical="center" wrapText="1"/>
    </xf>
    <xf numFmtId="3" fontId="76" fillId="74" borderId="78" xfId="6" applyNumberFormat="1" applyFont="1" applyFill="1" applyBorder="1" applyAlignment="1" applyProtection="1">
      <alignment horizontal="center" vertical="center" wrapText="1"/>
    </xf>
    <xf numFmtId="3" fontId="76" fillId="74" borderId="92" xfId="6" applyNumberFormat="1" applyFont="1" applyFill="1" applyBorder="1" applyAlignment="1" applyProtection="1">
      <alignment horizontal="center" vertical="center" wrapText="1"/>
    </xf>
    <xf numFmtId="1" fontId="76" fillId="83" borderId="100" xfId="3" applyNumberFormat="1" applyFont="1" applyFill="1" applyBorder="1" applyAlignment="1" applyProtection="1">
      <alignment horizontal="center" vertical="center" wrapText="1"/>
      <protection locked="0"/>
    </xf>
    <xf numFmtId="1" fontId="76" fillId="83" borderId="78" xfId="3" applyNumberFormat="1" applyFont="1" applyFill="1" applyBorder="1" applyAlignment="1" applyProtection="1">
      <alignment horizontal="center" vertical="center" wrapText="1"/>
      <protection locked="0"/>
    </xf>
    <xf numFmtId="1" fontId="76" fillId="83" borderId="92" xfId="3" applyNumberFormat="1" applyFont="1" applyFill="1" applyBorder="1" applyAlignment="1" applyProtection="1">
      <alignment horizontal="center" vertical="center" wrapText="1"/>
      <protection locked="0"/>
    </xf>
    <xf numFmtId="3" fontId="76" fillId="81" borderId="100" xfId="6" applyNumberFormat="1" applyFont="1" applyFill="1" applyBorder="1" applyAlignment="1" applyProtection="1">
      <alignment horizontal="center" vertical="center" wrapText="1"/>
    </xf>
    <xf numFmtId="3" fontId="76" fillId="81" borderId="78" xfId="6" applyNumberFormat="1" applyFont="1" applyFill="1" applyBorder="1" applyAlignment="1" applyProtection="1">
      <alignment horizontal="center" vertical="center" wrapText="1"/>
    </xf>
    <xf numFmtId="3" fontId="76" fillId="81" borderId="92" xfId="6" applyNumberFormat="1" applyFont="1" applyFill="1" applyBorder="1" applyAlignment="1" applyProtection="1">
      <alignment horizontal="center" vertical="center" wrapText="1"/>
    </xf>
    <xf numFmtId="1" fontId="82" fillId="80" borderId="100" xfId="3" applyNumberFormat="1" applyFont="1" applyFill="1" applyBorder="1" applyAlignment="1">
      <alignment horizontal="center" vertical="center"/>
    </xf>
    <xf numFmtId="1" fontId="82" fillId="80" borderId="78" xfId="3" applyNumberFormat="1" applyFont="1" applyFill="1" applyBorder="1" applyAlignment="1">
      <alignment horizontal="center" vertical="center"/>
    </xf>
    <xf numFmtId="1" fontId="82" fillId="80" borderId="92" xfId="3" applyNumberFormat="1" applyFont="1" applyFill="1" applyBorder="1" applyAlignment="1">
      <alignment horizontal="center" vertical="center"/>
    </xf>
    <xf numFmtId="1" fontId="82" fillId="80" borderId="100" xfId="3" applyNumberFormat="1" applyFont="1" applyFill="1" applyBorder="1" applyAlignment="1">
      <alignment horizontal="center" vertical="center" wrapText="1"/>
    </xf>
    <xf numFmtId="0" fontId="82" fillId="80" borderId="100" xfId="3" applyFont="1" applyFill="1" applyBorder="1" applyAlignment="1">
      <alignment horizontal="center" vertical="center" wrapText="1"/>
    </xf>
    <xf numFmtId="0" fontId="82" fillId="80" borderId="78" xfId="3" applyFont="1" applyFill="1" applyBorder="1" applyAlignment="1">
      <alignment horizontal="center" vertical="center" wrapText="1"/>
    </xf>
    <xf numFmtId="0" fontId="82" fillId="80" borderId="92" xfId="3" applyFont="1" applyFill="1" applyBorder="1" applyAlignment="1">
      <alignment horizontal="center" vertical="center" wrapText="1"/>
    </xf>
    <xf numFmtId="3" fontId="76" fillId="82" borderId="100" xfId="6" applyNumberFormat="1" applyFont="1" applyFill="1" applyBorder="1" applyAlignment="1" applyProtection="1">
      <alignment horizontal="center" vertical="center" wrapText="1"/>
    </xf>
    <xf numFmtId="3" fontId="76" fillId="82" borderId="78" xfId="6" applyNumberFormat="1" applyFont="1" applyFill="1" applyBorder="1" applyAlignment="1" applyProtection="1">
      <alignment horizontal="center" vertical="center" wrapText="1"/>
    </xf>
    <xf numFmtId="3" fontId="76" fillId="82" borderId="92" xfId="6" applyNumberFormat="1" applyFont="1" applyFill="1" applyBorder="1" applyAlignment="1" applyProtection="1">
      <alignment horizontal="center" vertical="center" wrapText="1"/>
    </xf>
    <xf numFmtId="1" fontId="76" fillId="76" borderId="0" xfId="3" applyNumberFormat="1" applyFont="1" applyFill="1" applyAlignment="1" applyProtection="1">
      <alignment horizontal="center" vertical="center" wrapText="1"/>
      <protection locked="0"/>
    </xf>
    <xf numFmtId="1" fontId="83" fillId="80" borderId="100" xfId="3" applyNumberFormat="1" applyFont="1" applyFill="1" applyBorder="1" applyAlignment="1">
      <alignment horizontal="center" vertical="center"/>
    </xf>
    <xf numFmtId="1" fontId="83" fillId="80" borderId="78" xfId="3" applyNumberFormat="1" applyFont="1" applyFill="1" applyBorder="1" applyAlignment="1">
      <alignment horizontal="center" vertical="center"/>
    </xf>
    <xf numFmtId="1" fontId="83" fillId="80" borderId="92" xfId="3" applyNumberFormat="1" applyFont="1" applyFill="1" applyBorder="1" applyAlignment="1">
      <alignment horizontal="center" vertical="center"/>
    </xf>
    <xf numFmtId="2" fontId="76" fillId="76" borderId="100" xfId="0" applyNumberFormat="1" applyFont="1" applyFill="1" applyBorder="1" applyAlignment="1" applyProtection="1">
      <alignment horizontal="center" vertical="center" wrapText="1"/>
      <protection locked="0"/>
    </xf>
    <xf numFmtId="2" fontId="76" fillId="76" borderId="78" xfId="0" applyNumberFormat="1" applyFont="1" applyFill="1" applyBorder="1" applyAlignment="1" applyProtection="1">
      <alignment horizontal="center" vertical="center" wrapText="1"/>
      <protection locked="0"/>
    </xf>
    <xf numFmtId="2" fontId="76" fillId="76" borderId="92" xfId="0" applyNumberFormat="1" applyFont="1" applyFill="1" applyBorder="1" applyAlignment="1" applyProtection="1">
      <alignment horizontal="center" vertical="center" wrapText="1"/>
      <protection locked="0"/>
    </xf>
    <xf numFmtId="3" fontId="76" fillId="79" borderId="100" xfId="3" applyNumberFormat="1" applyFont="1" applyFill="1" applyBorder="1" applyAlignment="1" applyProtection="1">
      <alignment horizontal="center" vertical="center" wrapText="1"/>
      <protection locked="0"/>
    </xf>
    <xf numFmtId="3" fontId="76" fillId="79" borderId="78" xfId="3" applyNumberFormat="1" applyFont="1" applyFill="1" applyBorder="1" applyAlignment="1" applyProtection="1">
      <alignment horizontal="center" vertical="center" wrapText="1"/>
      <protection locked="0"/>
    </xf>
    <xf numFmtId="3" fontId="76" fillId="79" borderId="92" xfId="3" applyNumberFormat="1" applyFont="1" applyFill="1" applyBorder="1" applyAlignment="1" applyProtection="1">
      <alignment horizontal="center" vertical="center" wrapText="1"/>
      <protection locked="0"/>
    </xf>
    <xf numFmtId="0" fontId="0" fillId="64" borderId="100" xfId="0" applyFill="1" applyBorder="1" applyAlignment="1">
      <alignment horizontal="center"/>
    </xf>
    <xf numFmtId="0" fontId="0" fillId="64" borderId="78" xfId="0" applyFill="1" applyBorder="1" applyAlignment="1">
      <alignment horizontal="center"/>
    </xf>
    <xf numFmtId="0" fontId="0" fillId="64" borderId="92" xfId="0" applyFill="1" applyBorder="1" applyAlignment="1">
      <alignment horizontal="center"/>
    </xf>
    <xf numFmtId="1" fontId="79" fillId="76" borderId="0" xfId="3" applyNumberFormat="1" applyFont="1" applyFill="1" applyAlignment="1" applyProtection="1">
      <alignment horizontal="center" vertical="center" wrapText="1"/>
      <protection locked="0"/>
    </xf>
    <xf numFmtId="0" fontId="0" fillId="64" borderId="100" xfId="0" applyFill="1" applyBorder="1" applyAlignment="1">
      <alignment horizontal="center" vertical="center" wrapText="1"/>
    </xf>
    <xf numFmtId="0" fontId="0" fillId="64" borderId="78" xfId="0" applyFill="1" applyBorder="1" applyAlignment="1">
      <alignment horizontal="center" vertical="center" wrapText="1"/>
    </xf>
    <xf numFmtId="0" fontId="0" fillId="64" borderId="92" xfId="0" applyFill="1" applyBorder="1" applyAlignment="1">
      <alignment horizontal="center" vertical="center" wrapText="1"/>
    </xf>
    <xf numFmtId="0" fontId="0" fillId="64" borderId="102" xfId="0" applyFill="1" applyBorder="1" applyAlignment="1">
      <alignment horizontal="center" vertical="center" wrapText="1"/>
    </xf>
    <xf numFmtId="0" fontId="0" fillId="64" borderId="89" xfId="0" applyFill="1" applyBorder="1" applyAlignment="1">
      <alignment horizontal="center" vertical="center" wrapText="1"/>
    </xf>
    <xf numFmtId="0" fontId="0" fillId="64" borderId="103" xfId="0" applyFill="1" applyBorder="1" applyAlignment="1">
      <alignment horizontal="center" vertical="center" wrapText="1"/>
    </xf>
    <xf numFmtId="0" fontId="0" fillId="64" borderId="0" xfId="0" applyFill="1" applyAlignment="1">
      <alignment horizontal="center" vertical="center" wrapText="1"/>
    </xf>
    <xf numFmtId="9" fontId="0" fillId="64" borderId="0" xfId="2" applyFont="1" applyFill="1" applyAlignment="1">
      <alignment horizontal="center" vertical="center"/>
    </xf>
    <xf numFmtId="1" fontId="76" fillId="75" borderId="0" xfId="3" applyNumberFormat="1" applyFont="1" applyFill="1" applyAlignment="1">
      <alignment horizontal="center" vertical="center"/>
    </xf>
    <xf numFmtId="1" fontId="76" fillId="76" borderId="0" xfId="3" applyNumberFormat="1" applyFont="1" applyFill="1" applyAlignment="1" applyProtection="1">
      <alignment horizontal="center" vertical="center"/>
      <protection locked="0"/>
    </xf>
    <xf numFmtId="1" fontId="76" fillId="77" borderId="0" xfId="3" applyNumberFormat="1" applyFont="1" applyFill="1" applyAlignment="1" applyProtection="1">
      <alignment horizontal="center" vertical="center" wrapText="1"/>
      <protection locked="0"/>
    </xf>
    <xf numFmtId="3" fontId="0" fillId="5" borderId="100" xfId="0" applyNumberFormat="1" applyFill="1" applyBorder="1" applyAlignment="1">
      <alignment horizontal="center" wrapText="1"/>
    </xf>
    <xf numFmtId="3" fontId="0" fillId="5" borderId="78" xfId="0" applyNumberFormat="1" applyFill="1" applyBorder="1" applyAlignment="1">
      <alignment horizontal="center" wrapText="1"/>
    </xf>
    <xf numFmtId="3" fontId="0" fillId="5" borderId="102" xfId="0" applyNumberFormat="1" applyFill="1" applyBorder="1" applyAlignment="1">
      <alignment horizontal="center" wrapText="1"/>
    </xf>
    <xf numFmtId="3" fontId="0" fillId="5" borderId="89" xfId="0" applyNumberFormat="1" applyFill="1" applyBorder="1" applyAlignment="1">
      <alignment horizontal="center" wrapText="1"/>
    </xf>
    <xf numFmtId="10" fontId="0" fillId="5" borderId="88" xfId="0" applyNumberFormat="1" applyFill="1" applyBorder="1" applyAlignment="1">
      <alignment horizontal="center" vertical="center"/>
    </xf>
    <xf numFmtId="10" fontId="0" fillId="5" borderId="90" xfId="0" applyNumberFormat="1" applyFill="1" applyBorder="1" applyAlignment="1">
      <alignment horizontal="center" vertical="center"/>
    </xf>
    <xf numFmtId="0" fontId="0" fillId="73" borderId="100" xfId="0" applyFill="1" applyBorder="1" applyAlignment="1">
      <alignment horizontal="center" vertical="center" wrapText="1"/>
    </xf>
    <xf numFmtId="0" fontId="0" fillId="73" borderId="78" xfId="0" applyFill="1" applyBorder="1" applyAlignment="1">
      <alignment horizontal="center" vertical="center" wrapText="1"/>
    </xf>
    <xf numFmtId="0" fontId="0" fillId="73" borderId="102" xfId="0" applyFill="1" applyBorder="1" applyAlignment="1">
      <alignment horizontal="center" vertical="center" wrapText="1"/>
    </xf>
    <xf numFmtId="0" fontId="0" fillId="73" borderId="89" xfId="0" applyFill="1" applyBorder="1" applyAlignment="1">
      <alignment horizontal="center" vertical="center" wrapText="1"/>
    </xf>
    <xf numFmtId="0" fontId="0" fillId="73" borderId="66" xfId="0" applyFill="1" applyBorder="1" applyAlignment="1">
      <alignment horizontal="center" wrapText="1"/>
    </xf>
    <xf numFmtId="0" fontId="0" fillId="73" borderId="0" xfId="0" applyFill="1" applyAlignment="1">
      <alignment horizontal="center" wrapText="1"/>
    </xf>
    <xf numFmtId="0" fontId="0" fillId="73" borderId="102" xfId="0" applyFill="1" applyBorder="1" applyAlignment="1">
      <alignment horizontal="center" wrapText="1"/>
    </xf>
    <xf numFmtId="0" fontId="0" fillId="73" borderId="89" xfId="0" applyFill="1" applyBorder="1" applyAlignment="1">
      <alignment horizontal="center" wrapText="1"/>
    </xf>
    <xf numFmtId="0" fontId="15" fillId="16" borderId="41" xfId="0" applyFont="1" applyFill="1" applyBorder="1" applyAlignment="1">
      <alignment horizontal="center" vertical="center" wrapText="1"/>
    </xf>
    <xf numFmtId="0" fontId="15" fillId="16" borderId="39" xfId="0" applyFont="1" applyFill="1" applyBorder="1" applyAlignment="1">
      <alignment horizontal="center" vertical="center" wrapText="1"/>
    </xf>
    <xf numFmtId="0" fontId="15" fillId="16" borderId="42" xfId="0" applyFont="1" applyFill="1" applyBorder="1" applyAlignment="1">
      <alignment horizontal="center" vertical="center" wrapText="1"/>
    </xf>
    <xf numFmtId="0" fontId="11" fillId="0" borderId="40" xfId="0" applyFont="1" applyBorder="1" applyAlignment="1">
      <alignment horizontal="center"/>
    </xf>
    <xf numFmtId="0" fontId="11" fillId="0" borderId="43" xfId="0" applyFont="1" applyBorder="1" applyAlignment="1">
      <alignment horizontal="center"/>
    </xf>
    <xf numFmtId="0" fontId="11" fillId="0" borderId="13" xfId="0" applyFont="1" applyBorder="1" applyAlignment="1">
      <alignment horizontal="center"/>
    </xf>
    <xf numFmtId="0" fontId="0" fillId="0" borderId="23" xfId="0" applyBorder="1" applyAlignment="1">
      <alignment horizontal="center" vertical="center"/>
    </xf>
    <xf numFmtId="0" fontId="33" fillId="6" borderId="0" xfId="0" applyFont="1" applyFill="1" applyAlignment="1">
      <alignment horizontal="center" vertical="top" wrapText="1"/>
    </xf>
    <xf numFmtId="3" fontId="0" fillId="6" borderId="79" xfId="0" applyNumberFormat="1" applyFill="1" applyBorder="1" applyAlignment="1">
      <alignment horizontal="left"/>
    </xf>
    <xf numFmtId="3" fontId="0" fillId="6" borderId="0" xfId="0" applyNumberFormat="1" applyFill="1" applyAlignment="1">
      <alignment horizontal="left"/>
    </xf>
  </cellXfs>
  <cellStyles count="74">
    <cellStyle name="20 % - Accent1" xfId="25" builtinId="30" customBuiltin="1"/>
    <cellStyle name="20 % - Accent2" xfId="29" builtinId="34" customBuiltin="1"/>
    <cellStyle name="20 % - Accent3" xfId="33" builtinId="38" customBuiltin="1"/>
    <cellStyle name="20 % - Accent4" xfId="37" builtinId="42" customBuiltin="1"/>
    <cellStyle name="20 % - Accent5" xfId="41" builtinId="46" customBuiltin="1"/>
    <cellStyle name="20 % - Accent6" xfId="45" builtinId="50" customBuiltin="1"/>
    <cellStyle name="40 % - Accent1" xfId="26" builtinId="31" customBuiltin="1"/>
    <cellStyle name="40 % - Accent2" xfId="30" builtinId="35" customBuiltin="1"/>
    <cellStyle name="40 % - Accent3" xfId="34" builtinId="39" customBuiltin="1"/>
    <cellStyle name="40 % - Accent4" xfId="38" builtinId="43" customBuiltin="1"/>
    <cellStyle name="40 % - Accent5" xfId="42" builtinId="47" customBuiltin="1"/>
    <cellStyle name="40 % - Accent6" xfId="46" builtinId="51" customBuiltin="1"/>
    <cellStyle name="60 % - Accent1" xfId="27" builtinId="32" customBuiltin="1"/>
    <cellStyle name="60 % - Accent2" xfId="31" builtinId="36" customBuiltin="1"/>
    <cellStyle name="60 % - Accent3" xfId="35" builtinId="40" customBuiltin="1"/>
    <cellStyle name="60 % - Accent4" xfId="39" builtinId="44" customBuiltin="1"/>
    <cellStyle name="60 % - Accent5" xfId="43" builtinId="48" customBuiltin="1"/>
    <cellStyle name="60 % - Accent6" xfId="47" builtinId="52" customBuiltin="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Avertissement" xfId="20" builtinId="11" customBuiltin="1"/>
    <cellStyle name="Calcul" xfId="17" builtinId="22" customBuiltin="1"/>
    <cellStyle name="Cellule liée" xfId="18" builtinId="24" customBuiltin="1"/>
    <cellStyle name="Entrée" xfId="15" builtinId="20" customBuiltin="1"/>
    <cellStyle name="Insatisfaisant" xfId="13" builtinId="27" customBuiltin="1"/>
    <cellStyle name="Lien hypertexte" xfId="57" builtinId="8"/>
    <cellStyle name="Milliers" xfId="1" builtinId="3"/>
    <cellStyle name="Milliers 2" xfId="6"/>
    <cellStyle name="Milliers 3" xfId="48"/>
    <cellStyle name="Milliers 3 2" xfId="54"/>
    <cellStyle name="Milliers 3 2 2" xfId="67"/>
    <cellStyle name="Milliers 3 3" xfId="61"/>
    <cellStyle name="Milliers 4" xfId="51"/>
    <cellStyle name="Milliers 4 2" xfId="64"/>
    <cellStyle name="Milliers 5" xfId="58"/>
    <cellStyle name="Monétaire" xfId="4" builtinId="4"/>
    <cellStyle name="Monétaire 2" xfId="5"/>
    <cellStyle name="Monétaire 2 2" xfId="50"/>
    <cellStyle name="Monétaire 2 2 2" xfId="56"/>
    <cellStyle name="Monétaire 2 2 2 2" xfId="69"/>
    <cellStyle name="Monétaire 2 2 3" xfId="63"/>
    <cellStyle name="Monétaire 2 3" xfId="53"/>
    <cellStyle name="Monétaire 2 3 2" xfId="66"/>
    <cellStyle name="Monétaire 2 4" xfId="60"/>
    <cellStyle name="Monétaire 3" xfId="49"/>
    <cellStyle name="Monétaire 3 2" xfId="55"/>
    <cellStyle name="Monétaire 3 2 2" xfId="68"/>
    <cellStyle name="Monétaire 3 3" xfId="62"/>
    <cellStyle name="Monétaire 4" xfId="52"/>
    <cellStyle name="Monétaire 4 2" xfId="65"/>
    <cellStyle name="Monétaire 5" xfId="59"/>
    <cellStyle name="Neutre" xfId="14" builtinId="28" customBuiltin="1"/>
    <cellStyle name="Normal" xfId="0" builtinId="0"/>
    <cellStyle name="Normal 2" xfId="3"/>
    <cellStyle name="Normal 3" xfId="70"/>
    <cellStyle name="Normal 4" xfId="71"/>
    <cellStyle name="Normal 5" xfId="73"/>
    <cellStyle name="Note" xfId="21" builtinId="10" customBuiltin="1"/>
    <cellStyle name="Pourcentage" xfId="2" builtinId="5"/>
    <cellStyle name="Pourcentage 2" xfId="72"/>
    <cellStyle name="Satisfaisant" xfId="12" builtinId="26" customBuiltin="1"/>
    <cellStyle name="Sortie" xfId="16" builtinId="21" customBuiltin="1"/>
    <cellStyle name="Texte explicatif" xfId="22" builtinId="53" customBuiltin="1"/>
    <cellStyle name="Titre" xfId="7" builtinId="15" customBuiltin="1"/>
    <cellStyle name="Titre 1" xfId="8" builtinId="16" customBuiltin="1"/>
    <cellStyle name="Titre 2" xfId="9" builtinId="17" customBuiltin="1"/>
    <cellStyle name="Titre 3" xfId="10" builtinId="18" customBuiltin="1"/>
    <cellStyle name="Titre 4" xfId="11" builtinId="19" customBuiltin="1"/>
    <cellStyle name="Total" xfId="23" builtinId="25" customBuiltin="1"/>
    <cellStyle name="Vérification" xfId="19" builtinId="23" customBuiltin="1"/>
  </cellStyles>
  <dxfs count="236">
    <dxf>
      <alignment horizontal="center" vertical="center" textRotation="0" wrapText="0" indent="0" justifyLastLine="0" shrinkToFit="0" readingOrder="0"/>
      <border diagonalUp="0" diagonalDown="0">
        <left style="thin">
          <color auto="1"/>
        </left>
        <right/>
        <top style="thin">
          <color auto="1"/>
        </top>
        <bottom style="thin">
          <color auto="1"/>
        </bottom>
        <vertical/>
        <horizontal/>
      </border>
    </dxf>
    <dxf>
      <alignment horizontal="center"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numFmt numFmtId="3" formatCode="#,##0"/>
      <fill>
        <patternFill patternType="solid">
          <fgColor indexed="64"/>
          <bgColor theme="0"/>
        </patternFill>
      </fill>
      <alignment horizontal="center" vertical="center" textRotation="0" wrapText="0" indent="0" justifyLastLine="0" shrinkToFit="0" readingOrder="0"/>
      <border diagonalUp="0" diagonalDown="0">
        <left style="thin">
          <color auto="1"/>
        </left>
        <right/>
        <top style="thin">
          <color auto="1"/>
        </top>
        <bottom style="thin">
          <color auto="1"/>
        </bottom>
        <vertical/>
        <horizontal/>
      </border>
    </dxf>
    <dxf>
      <numFmt numFmtId="3" formatCode="#,##0"/>
      <fill>
        <patternFill patternType="solid">
          <fgColor indexed="64"/>
          <bgColor theme="0"/>
        </patternFill>
      </fill>
      <alignment horizontal="center" vertical="center" textRotation="0" wrapText="0" indent="0" justifyLastLine="0" shrinkToFit="0" readingOrder="0"/>
      <border diagonalUp="0" diagonalDown="0">
        <left style="thin">
          <color auto="1"/>
        </left>
        <right/>
        <top style="thin">
          <color auto="1"/>
        </top>
        <bottom style="thin">
          <color auto="1"/>
        </bottom>
        <vertical/>
        <horizontal/>
      </border>
    </dxf>
    <dxf>
      <numFmt numFmtId="189" formatCode="m/d/yyyy"/>
      <fill>
        <patternFill patternType="solid">
          <fgColor indexed="64"/>
          <bgColor theme="0"/>
        </patternFill>
      </fill>
      <alignment horizontal="center" vertical="center" textRotation="0" wrapText="0" indent="0" justifyLastLine="0" shrinkToFit="0" readingOrder="0"/>
      <border diagonalUp="0" diagonalDown="0">
        <left/>
        <right style="thin">
          <color auto="1"/>
        </right>
        <top style="thin">
          <color auto="1"/>
        </top>
        <bottom style="thin">
          <color auto="1"/>
        </bottom>
        <vertical/>
        <horizontal/>
      </border>
    </dxf>
    <dxf>
      <numFmt numFmtId="3" formatCode="#,##0"/>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3"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bottom style="thin">
          <color indexed="64"/>
        </bottom>
        <vertical/>
        <horizontal/>
      </border>
      <protection locked="0" hidden="0"/>
    </dxf>
    <dxf>
      <numFmt numFmtId="3" formatCode="#,##0"/>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3" formatCode="#,##0"/>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89" formatCode="m/d/yyyy"/>
      <fill>
        <patternFill patternType="solid">
          <fgColor indexed="64"/>
          <bgColor theme="0" tint="-4.9989318521683403E-2"/>
        </patternFill>
      </fill>
      <alignment horizontal="center" vertical="center" textRotation="0" wrapText="0" indent="0" justifyLastLine="0" shrinkToFit="0" readingOrder="0"/>
      <border diagonalUp="0" diagonalDown="0">
        <left/>
        <right style="thin">
          <color auto="1"/>
        </right>
        <top style="thin">
          <color auto="1"/>
        </top>
        <bottom style="thin">
          <color auto="1"/>
        </bottom>
        <vertical/>
        <horizontal/>
      </border>
      <protection locked="0" hidden="0"/>
    </dxf>
    <dxf>
      <border outline="0">
        <left style="thin">
          <color indexed="64"/>
        </left>
        <right style="thin">
          <color indexed="64"/>
        </right>
        <bottom style="thin">
          <color auto="1"/>
        </bottom>
      </border>
    </dxf>
    <dxf>
      <fill>
        <patternFill>
          <bgColor rgb="FFFF9999"/>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numFmt numFmtId="0" formatCode="General"/>
      <protection locked="0" hidden="0"/>
    </dxf>
    <dxf>
      <numFmt numFmtId="181" formatCode="_-* #,##0.0_-;\-* #,##0.0_-;_-* &quot;-&quot;??_-;_-@_-"/>
      <fill>
        <patternFill patternType="none">
          <fgColor indexed="64"/>
          <bgColor indexed="65"/>
        </patternFill>
      </fill>
      <protection locked="1" hidden="0"/>
    </dxf>
    <dxf>
      <numFmt numFmtId="0" formatCode="General"/>
    </dxf>
    <dxf>
      <numFmt numFmtId="0" formatCode="General"/>
    </dxf>
    <dxf>
      <numFmt numFmtId="0" formatCode="General"/>
    </dxf>
    <dxf>
      <numFmt numFmtId="0" formatCode="General"/>
      <protection locked="0" hidden="0"/>
    </dxf>
    <dxf>
      <numFmt numFmtId="187" formatCode="#,##0.00\ &quot;€&quot;"/>
    </dxf>
    <dxf>
      <numFmt numFmtId="173" formatCode="_-* #,##0_-;\-* #,##0_-;_-* &quot;-&quot;??_-;_-@_-"/>
    </dxf>
    <dxf>
      <protection locked="0" hidden="0"/>
    </dxf>
    <dxf>
      <numFmt numFmtId="189" formatCode="m/d/yyyy"/>
      <protection locked="1" hidden="0"/>
    </dxf>
    <dxf>
      <border outline="0">
        <top style="thin">
          <color rgb="FF9BC2E6"/>
        </top>
      </border>
    </dxf>
    <dxf>
      <border outline="0">
        <bottom style="thin">
          <color rgb="FF9BC2E6"/>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ont>
        <color rgb="FFC00000"/>
      </font>
      <fill>
        <patternFill>
          <bgColor rgb="FFFF9999"/>
        </patternFill>
      </fill>
    </dxf>
    <dxf>
      <numFmt numFmtId="0" formatCode="General"/>
    </dxf>
    <dxf>
      <numFmt numFmtId="181" formatCode="_-* #,##0.0_-;\-* #,##0.0_-;_-* &quot;-&quot;??_-;_-@_-"/>
      <fill>
        <patternFill patternType="none">
          <fgColor indexed="64"/>
          <bgColor indexed="65"/>
        </patternFill>
      </fil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0" hidden="0"/>
    </dxf>
    <dxf>
      <numFmt numFmtId="187" formatCode="#,##0.00\ &quot;€&quot;"/>
      <protection locked="1" hidden="0"/>
    </dxf>
    <dxf>
      <protection locked="1" hidden="0"/>
    </dxf>
    <dxf>
      <protection locked="0" hidden="0"/>
    </dxf>
    <dxf>
      <numFmt numFmtId="189" formatCode="m/d/yyyy"/>
    </dxf>
    <dxf>
      <border outline="0">
        <top style="thin">
          <color rgb="FF9BC2E6"/>
        </top>
      </border>
    </dxf>
    <dxf>
      <border outline="0">
        <bottom style="thin">
          <color rgb="FF9BC2E6"/>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ont>
        <color rgb="FFC00000"/>
      </font>
      <fill>
        <patternFill>
          <bgColor rgb="FFFF9999"/>
        </patternFill>
      </fill>
    </dxf>
    <dxf>
      <numFmt numFmtId="0" formatCode="General"/>
    </dxf>
    <dxf>
      <numFmt numFmtId="181" formatCode="_-* #,##0.0_-;\-* #,##0.0_-;_-* &quot;-&quot;??_-;_-@_-"/>
      <protection locked="1" hidden="0"/>
    </dxf>
    <dxf>
      <numFmt numFmtId="0" formatCode="General"/>
    </dxf>
    <dxf>
      <numFmt numFmtId="0" formatCode="General"/>
    </dxf>
    <dxf>
      <numFmt numFmtId="0" formatCode="General"/>
    </dxf>
    <dxf>
      <numFmt numFmtId="0" formatCode="General"/>
      <protection locked="0" hidden="0"/>
    </dxf>
    <dxf>
      <numFmt numFmtId="187" formatCode="#,##0.00\ &quot;€&quot;"/>
    </dxf>
    <dxf>
      <numFmt numFmtId="189" formatCode="m/d/yyyy"/>
      <protection locked="0" hidden="0"/>
    </dxf>
    <dxf>
      <numFmt numFmtId="189" formatCode="m/d/yyyy"/>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ont>
        <color rgb="FFC00000"/>
      </font>
      <fill>
        <patternFill>
          <bgColor rgb="FFFF9999"/>
        </patternFill>
      </fill>
    </dxf>
    <dxf>
      <numFmt numFmtId="0" formatCode="General"/>
    </dxf>
    <dxf>
      <numFmt numFmtId="181" formatCode="_-* #,##0.0_-;\-* #,##0.0_-;_-* &quot;-&quot;??_-;_-@_-"/>
      <fill>
        <patternFill patternType="none">
          <fgColor indexed="64"/>
          <bgColor indexed="65"/>
        </patternFill>
      </fill>
      <protection locked="1" hidden="0"/>
    </dxf>
    <dxf>
      <numFmt numFmtId="0" formatCode="General"/>
    </dxf>
    <dxf>
      <numFmt numFmtId="0" formatCode="General"/>
    </dxf>
    <dxf>
      <numFmt numFmtId="0" formatCode="General"/>
    </dxf>
    <dxf>
      <numFmt numFmtId="0" formatCode="General"/>
      <protection locked="0" hidden="0"/>
    </dxf>
    <dxf>
      <numFmt numFmtId="187" formatCode="#,##0.00\ &quot;€&quot;"/>
    </dxf>
    <dxf>
      <numFmt numFmtId="165" formatCode="_(* #,##0.00_);_(* \(#,##0.00\);_(* &quot;-&quot;??_);_(@_)"/>
    </dxf>
    <dxf>
      <numFmt numFmtId="189" formatCode="m/d/yyyy"/>
      <protection locked="0" hidden="0"/>
    </dxf>
    <dxf>
      <numFmt numFmtId="189" formatCode="m/d/yyyy"/>
    </dxf>
    <dxf>
      <font>
        <color rgb="FFC00000"/>
      </font>
      <fill>
        <patternFill>
          <bgColor rgb="FFFF9999"/>
        </patternFill>
      </fill>
    </dxf>
    <dxf>
      <numFmt numFmtId="0" formatCode="General"/>
    </dxf>
    <dxf>
      <numFmt numFmtId="181" formatCode="_-* #,##0.0_-;\-* #,##0.0_-;_-* &quot;-&quot;??_-;_-@_-"/>
      <fill>
        <patternFill patternType="none">
          <fgColor indexed="64"/>
          <bgColor indexed="65"/>
        </patternFill>
      </fill>
      <protection locked="1" hidden="0"/>
    </dxf>
    <dxf>
      <numFmt numFmtId="0" formatCode="General"/>
    </dxf>
    <dxf>
      <numFmt numFmtId="0" formatCode="General"/>
    </dxf>
    <dxf>
      <numFmt numFmtId="0" formatCode="General"/>
    </dxf>
    <dxf>
      <numFmt numFmtId="0" formatCode="General"/>
      <protection locked="0" hidden="0"/>
    </dxf>
    <dxf>
      <numFmt numFmtId="187" formatCode="#,##0.00\ &quot;€&quot;"/>
    </dxf>
    <dxf>
      <numFmt numFmtId="165" formatCode="_(* #,##0.00_);_(* \(#,##0.00\);_(* &quot;-&quot;??_);_(@_)"/>
    </dxf>
    <dxf>
      <numFmt numFmtId="189" formatCode="m/d/yyyy"/>
      <protection locked="0" hidden="0"/>
    </dxf>
    <dxf>
      <numFmt numFmtId="189" formatCode="m/d/yyyy"/>
    </dxf>
    <dxf>
      <font>
        <color rgb="FFC00000"/>
      </font>
      <fill>
        <patternFill>
          <bgColor rgb="FFFF9999"/>
        </patternFill>
      </fill>
    </dxf>
    <dxf>
      <font>
        <color rgb="FFC00000"/>
      </font>
      <fill>
        <patternFill>
          <bgColor rgb="FFFF9999"/>
        </patternFill>
      </fill>
    </dxf>
    <dxf>
      <font>
        <color rgb="FFC00000"/>
      </font>
      <fill>
        <patternFill>
          <bgColor rgb="FFFF9999"/>
        </patternFill>
      </fill>
    </dxf>
    <dxf>
      <numFmt numFmtId="0" formatCode="General"/>
    </dxf>
    <dxf>
      <numFmt numFmtId="181" formatCode="_-* #,##0.0_-;\-* #,##0.0_-;_-* &quot;-&quot;??_-;_-@_-"/>
      <fill>
        <patternFill patternType="none">
          <fgColor indexed="64"/>
          <bgColor indexed="65"/>
        </patternFill>
      </fill>
      <protection locked="1" hidden="0"/>
    </dxf>
    <dxf>
      <numFmt numFmtId="0" formatCode="General"/>
    </dxf>
    <dxf>
      <numFmt numFmtId="0" formatCode="General"/>
    </dxf>
    <dxf>
      <numFmt numFmtId="0" formatCode="General"/>
    </dxf>
    <dxf>
      <font>
        <sz val="10"/>
        <color rgb="FF000000"/>
      </font>
      <numFmt numFmtId="0" formatCode="General"/>
      <fill>
        <patternFill patternType="none">
          <fgColor indexed="64"/>
          <bgColor auto="1"/>
        </patternFill>
      </fill>
      <protection locked="0" hidden="0"/>
    </dxf>
    <dxf>
      <numFmt numFmtId="187" formatCode="#,##0.00\ &quot;€&quot;"/>
    </dxf>
    <dxf>
      <numFmt numFmtId="173" formatCode="_-* #,##0_-;\-* #,##0_-;_-* &quot;-&quot;??_-;_-@_-"/>
    </dxf>
    <dxf>
      <numFmt numFmtId="189" formatCode="m/d/yyyy"/>
      <protection locked="0" hidden="0"/>
    </dxf>
    <dxf>
      <numFmt numFmtId="189" formatCode="m/d/yyyy"/>
    </dxf>
    <dxf>
      <font>
        <color rgb="FFC00000"/>
      </font>
      <fill>
        <patternFill>
          <bgColor rgb="FFFF9999"/>
        </patternFill>
      </fill>
    </dxf>
    <dxf>
      <font>
        <color rgb="FFC00000"/>
      </font>
      <fill>
        <patternFill>
          <bgColor rgb="FFFF9999"/>
        </patternFill>
      </fill>
    </dxf>
    <dxf>
      <numFmt numFmtId="0" formatCode="General"/>
    </dxf>
    <dxf>
      <numFmt numFmtId="181" formatCode="_-* #,##0.0_-;\-* #,##0.0_-;_-* &quot;-&quot;??_-;_-@_-"/>
      <fill>
        <patternFill patternType="none">
          <fgColor indexed="64"/>
          <bgColor indexed="65"/>
        </patternFill>
      </fill>
      <protection locked="1" hidden="0"/>
    </dxf>
    <dxf>
      <numFmt numFmtId="0" formatCode="General"/>
    </dxf>
    <dxf>
      <numFmt numFmtId="0" formatCode="General"/>
    </dxf>
    <dxf>
      <numFmt numFmtId="0" formatCode="General"/>
    </dxf>
    <dxf>
      <font>
        <color auto="1"/>
      </font>
      <numFmt numFmtId="0" formatCode="General"/>
      <alignment horizontal="center" vertical="bottom" textRotation="0" wrapText="0" indent="0" justifyLastLine="0" shrinkToFit="0" readingOrder="0"/>
      <protection locked="0" hidden="0"/>
    </dxf>
    <dxf>
      <numFmt numFmtId="187" formatCode="#,##0.00\ &quot;€&quot;"/>
      <protection locked="0" hidden="0"/>
    </dxf>
    <dxf>
      <numFmt numFmtId="173" formatCode="_-* #,##0_-;\-* #,##0_-;_-* &quot;-&quot;??_-;_-@_-"/>
      <protection locked="0" hidden="0"/>
    </dxf>
    <dxf>
      <numFmt numFmtId="189" formatCode="m/d/yyyy"/>
      <protection locked="0" hidden="0"/>
    </dxf>
    <dxf>
      <numFmt numFmtId="189" formatCode="m/d/yyyy"/>
      <protection locked="0" hidden="0"/>
    </dxf>
    <dxf>
      <font>
        <b/>
        <i val="0"/>
        <strike val="0"/>
        <condense val="0"/>
        <extend val="0"/>
        <outline val="0"/>
        <shadow val="0"/>
        <u val="none"/>
        <vertAlign val="baseline"/>
        <sz val="11"/>
        <color theme="0"/>
        <name val="Calibri"/>
        <scheme val="minor"/>
      </font>
      <fill>
        <patternFill patternType="solid">
          <fgColor theme="4"/>
          <bgColor theme="4"/>
        </patternFill>
      </fill>
    </dxf>
    <dxf>
      <font>
        <color rgb="FFC00000"/>
      </font>
      <fill>
        <patternFill>
          <bgColor rgb="FFFF9999"/>
        </patternFill>
      </fill>
    </dxf>
    <dxf>
      <numFmt numFmtId="189" formatCode="m/d/yyyy"/>
    </dxf>
    <dxf>
      <numFmt numFmtId="0" formatCode="Genera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protection locked="1" hidden="0"/>
    </dxf>
    <dxf>
      <font>
        <strike val="0"/>
        <outline val="0"/>
        <shadow val="0"/>
        <u val="none"/>
        <vertAlign val="baseline"/>
        <sz val="11"/>
        <color theme="1"/>
        <name val="Calibri"/>
        <scheme val="minor"/>
      </font>
      <numFmt numFmtId="181" formatCode="_-* #,##0.0_-;\-* #,##0.0_-;_-* &quot;-&quot;??_-;_-@_-"/>
      <fill>
        <patternFill patternType="none">
          <fgColor indexed="64"/>
          <bgColor indexed="65"/>
        </patternFill>
      </fill>
      <protection locked="1" hidden="0"/>
    </dxf>
    <dxf>
      <numFmt numFmtId="0" formatCode="General"/>
    </dxf>
    <dxf>
      <numFmt numFmtId="0" formatCode="General"/>
    </dxf>
    <dxf>
      <numFmt numFmtId="0" formatCode="General"/>
    </dxf>
    <dxf>
      <numFmt numFmtId="0" formatCode="General"/>
      <fill>
        <patternFill patternType="solid">
          <fgColor indexed="64"/>
          <bgColor theme="0"/>
        </patternFill>
      </fill>
      <protection locked="0" hidden="0"/>
    </dxf>
    <dxf>
      <numFmt numFmtId="187" formatCode="#,##0.00\ &quot;€&quot;"/>
    </dxf>
    <dxf>
      <numFmt numFmtId="173" formatCode="_-* #,##0_-;\-* #,##0_-;_-* &quot;-&quot;??_-;_-@_-"/>
      <alignment horizontal="right" textRotation="0" wrapText="0" indent="0" justifyLastLine="0" shrinkToFit="0" readingOrder="0"/>
    </dxf>
    <dxf>
      <alignment horizontal="right" vertical="bottom" textRotation="0" wrapText="0" indent="0" justifyLastLine="0" shrinkToFit="0" readingOrder="0"/>
    </dxf>
    <dxf>
      <numFmt numFmtId="189" formatCode="m/d/yyyy"/>
      <alignment horizontal="right" vertical="bottom" textRotation="0" wrapText="0" indent="0" justifyLastLine="0" shrinkToFit="0" readingOrder="0"/>
      <protection locked="0" hidden="0"/>
    </dxf>
    <dxf>
      <numFmt numFmtId="189" formatCode="m/d/yyyy"/>
    </dxf>
    <dxf>
      <font>
        <b/>
        <i val="0"/>
        <strike val="0"/>
        <condense val="0"/>
        <extend val="0"/>
        <outline val="0"/>
        <shadow val="0"/>
        <u val="none"/>
        <vertAlign val="baseline"/>
        <sz val="11"/>
        <color theme="0"/>
        <name val="Calibri"/>
        <scheme val="minor"/>
      </font>
      <fill>
        <patternFill patternType="solid">
          <fgColor theme="4"/>
          <bgColor theme="4"/>
        </patternFill>
      </fill>
      <border diagonalUp="0" diagonalDown="0" outline="0">
        <left style="thin">
          <color theme="4" tint="0.39997558519241921"/>
        </left>
        <right style="thin">
          <color theme="4" tint="0.39997558519241921"/>
        </right>
        <top/>
        <bottom/>
      </border>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b/>
        <i val="0"/>
        <strike val="0"/>
        <condense val="0"/>
        <extend val="0"/>
        <outline val="0"/>
        <shadow val="0"/>
        <u val="none"/>
        <vertAlign val="baseline"/>
        <sz val="11"/>
        <color theme="1"/>
        <name val="Calibri"/>
        <scheme val="minor"/>
      </font>
    </dxf>
    <dxf>
      <font>
        <color theme="0"/>
      </font>
      <fill>
        <patternFill>
          <bgColor theme="8"/>
        </patternFill>
      </fill>
    </dxf>
    <dxf>
      <fill>
        <patternFill>
          <bgColor theme="5" tint="0.59996337778862885"/>
        </patternFill>
      </fill>
    </dxf>
    <dxf>
      <font>
        <color theme="0"/>
      </font>
      <fill>
        <patternFill>
          <bgColor theme="8"/>
        </patternFill>
      </fill>
    </dxf>
    <dxf>
      <fill>
        <patternFill>
          <bgColor theme="5" tint="0.39994506668294322"/>
        </patternFill>
      </fill>
    </dxf>
    <dxf>
      <font>
        <color theme="0"/>
      </font>
      <fill>
        <patternFill>
          <bgColor theme="8" tint="-0.24994659260841701"/>
        </patternFill>
      </fill>
    </dxf>
    <dxf>
      <font>
        <color theme="0"/>
      </font>
      <fill>
        <patternFill>
          <bgColor theme="8" tint="-0.24994659260841701"/>
        </patternFill>
      </fill>
    </dxf>
    <dxf>
      <fill>
        <patternFill>
          <bgColor theme="5" tint="0.39994506668294322"/>
        </patternFill>
      </fill>
    </dxf>
    <dxf>
      <fill>
        <patternFill>
          <bgColor theme="5" tint="0.39994506668294322"/>
        </patternFill>
      </fill>
    </dxf>
    <dxf>
      <font>
        <color theme="0"/>
      </font>
      <fill>
        <patternFill>
          <bgColor theme="8"/>
        </patternFill>
      </fill>
    </dxf>
    <dxf>
      <font>
        <b/>
        <i/>
        <u/>
      </font>
      <fill>
        <patternFill patternType="solid">
          <bgColor rgb="FFFF0000"/>
        </patternFill>
      </fill>
    </dxf>
    <dxf>
      <fill>
        <patternFill>
          <bgColor rgb="FFFF0000"/>
        </patternFill>
      </fill>
    </dxf>
    <dxf>
      <numFmt numFmtId="0" formatCode="General"/>
    </dxf>
    <dxf>
      <numFmt numFmtId="3" formatCode="#,##0"/>
    </dxf>
    <dxf>
      <numFmt numFmtId="3" formatCode="#,##0"/>
    </dxf>
    <dxf>
      <font>
        <b/>
        <i val="0"/>
        <strike val="0"/>
        <condense val="0"/>
        <extend val="0"/>
        <outline val="0"/>
        <shadow val="0"/>
        <u val="none"/>
        <vertAlign val="baseline"/>
        <sz val="10"/>
        <color theme="1"/>
        <name val="Calibri"/>
        <scheme val="minor"/>
      </font>
      <fill>
        <patternFill patternType="solid">
          <fgColor indexed="64"/>
          <bgColor theme="8" tint="0.39997558519241921"/>
        </patternFill>
      </fill>
      <alignment horizontal="center" vertical="center" textRotation="0" wrapText="0" indent="0" justifyLastLine="0" shrinkToFit="0" readingOrder="0"/>
    </dxf>
    <dxf>
      <font>
        <u/>
        <color rgb="FFFF0000"/>
      </font>
      <fill>
        <patternFill>
          <bgColor rgb="FFFFFF00"/>
        </patternFill>
      </fill>
    </dxf>
    <dxf>
      <font>
        <color theme="0"/>
      </font>
      <fill>
        <patternFill>
          <fgColor theme="0"/>
          <bgColor theme="0"/>
        </patternFill>
      </fill>
    </dxf>
    <dxf>
      <font>
        <u/>
        <color rgb="FFFF0000"/>
      </font>
      <fill>
        <patternFill>
          <bgColor rgb="FFFFFF00"/>
        </patternFill>
      </fill>
    </dxf>
    <dxf>
      <font>
        <color theme="0"/>
      </font>
      <fill>
        <patternFill>
          <fgColor theme="0"/>
          <bgColor theme="0"/>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protection locked="0"/>
    </dxf>
    <dxf>
      <protection locked="0"/>
    </dxf>
    <dxf>
      <protection locked="0"/>
    </dxf>
    <dxf>
      <numFmt numFmtId="3" formatCode="#,##0"/>
    </dxf>
    <dxf>
      <font>
        <u/>
        <color rgb="FFFF0000"/>
      </font>
      <fill>
        <patternFill>
          <bgColor rgb="FFFFFF00"/>
        </patternFill>
      </fill>
    </dxf>
    <dxf>
      <font>
        <color theme="0"/>
      </font>
      <fill>
        <patternFill>
          <fgColor theme="0"/>
          <bgColor theme="0"/>
        </patternFill>
      </fill>
    </dxf>
    <dxf>
      <font>
        <u/>
        <color rgb="FFFF0000"/>
      </font>
      <fill>
        <patternFill>
          <bgColor rgb="FFFFFF00"/>
        </patternFill>
      </fill>
    </dxf>
    <dxf>
      <font>
        <color theme="0"/>
      </font>
      <fill>
        <patternFill>
          <fgColor theme="0"/>
          <bgColor theme="0"/>
        </patternFill>
      </fill>
    </dxf>
    <dxf>
      <fill>
        <patternFill>
          <bgColor theme="0"/>
        </patternFill>
      </fill>
    </dxf>
    <dxf>
      <fill>
        <patternFill>
          <bgColor them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0"/>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0"/>
        </patternFill>
      </fill>
    </dxf>
    <dxf>
      <fill>
        <patternFill>
          <bgColor theme="2"/>
        </patternFill>
      </fill>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protection locked="0" hidden="0"/>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protection locked="0" hidden="0"/>
    </dxf>
    <dxf>
      <font>
        <b val="0"/>
        <i val="0"/>
        <strike val="0"/>
        <condense val="0"/>
        <extend val="0"/>
        <outline val="0"/>
        <shadow val="0"/>
        <u val="none"/>
        <vertAlign val="baseline"/>
        <sz val="11"/>
        <color theme="1"/>
        <name val="Calibri"/>
        <scheme val="minor"/>
      </font>
      <protection locked="0" hidden="0"/>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protection locked="0" hidden="0"/>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protection locked="0" hidden="0"/>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protection locked="0" hidden="0"/>
    </dxf>
    <dxf>
      <border outline="0">
        <left style="thin">
          <color theme="4"/>
        </left>
        <right style="thin">
          <color theme="4"/>
        </right>
        <top style="thin">
          <color theme="4"/>
        </top>
      </border>
    </dxf>
    <dxf>
      <font>
        <b val="0"/>
        <i val="0"/>
        <strike val="0"/>
        <condense val="0"/>
        <extend val="0"/>
        <outline val="0"/>
        <shadow val="0"/>
        <u val="none"/>
        <vertAlign val="baseline"/>
        <sz val="11"/>
        <color theme="1"/>
        <name val="Calibri"/>
        <scheme val="minor"/>
      </font>
      <protection locked="0" hidden="0"/>
    </dxf>
    <dxf>
      <font>
        <b/>
        <i val="0"/>
        <strike val="0"/>
        <condense val="0"/>
        <extend val="0"/>
        <outline val="0"/>
        <shadow val="0"/>
        <u val="none"/>
        <vertAlign val="baseline"/>
        <sz val="11"/>
        <color theme="0"/>
        <name val="Calibri"/>
        <scheme val="minor"/>
      </font>
      <fill>
        <patternFill patternType="solid">
          <fgColor theme="4"/>
          <bgColor theme="4"/>
        </patternFill>
      </fill>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1" defaultTableStyle="TableStyleMedium2" defaultPivotStyle="PivotStyleLight16">
    <tableStyle name="Invisible" pivot="0" table="0" count="0"/>
  </tableStyles>
  <colors>
    <mruColors>
      <color rgb="FFD60093"/>
      <color rgb="FFED7D31"/>
      <color rgb="FFFF9933"/>
      <color rgb="FFFFFFFF"/>
      <color rgb="FFFFDE75"/>
      <color rgb="FFFF9999"/>
      <color rgb="FFFF7C80"/>
      <color rgb="FFEB701D"/>
      <color rgb="FFFFC7CE"/>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olapFunctions">
    <main first="ThisWorkbookDataModel">
      <tp t="e">
        <v>#N/A</v>
        <stp>1</stp>
        <tr r="J23" s="39"/>
        <tr r="J23" s="39"/>
      </tp>
    </main>
  </volType>
</volTypes>
</file>

<file path=xl/_rels/workbook.xml.rels><?xml version="1.0" encoding="UTF-8" standalone="yes"?>
<Relationships xmlns="http://schemas.openxmlformats.org/package/2006/relationships"><Relationship Id="rId117" Type="http://schemas.openxmlformats.org/officeDocument/2006/relationships/customXml" Target="../customXml/item27.xml"/><Relationship Id="rId21" Type="http://schemas.openxmlformats.org/officeDocument/2006/relationships/worksheet" Target="worksheets/sheet21.xml"/><Relationship Id="rId42" Type="http://schemas.openxmlformats.org/officeDocument/2006/relationships/pivotCacheDefinition" Target="pivotCache/pivotCacheDefinition2.xml"/><Relationship Id="rId63" Type="http://schemas.openxmlformats.org/officeDocument/2006/relationships/pivotCacheDefinition" Target="pivotCache/pivotCacheDefinition23.xml"/><Relationship Id="rId84"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customXml" Target="../customXml/item1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pivotCacheDefinition" Target="pivotCache/pivotCacheDefinition13.xml"/><Relationship Id="rId58" Type="http://schemas.openxmlformats.org/officeDocument/2006/relationships/pivotCacheDefinition" Target="pivotCache/pivotCacheDefinition18.xml"/><Relationship Id="rId74" Type="http://schemas.microsoft.com/office/2007/relationships/slicerCache" Target="slicerCaches/slicerCache8.xml"/><Relationship Id="rId79" Type="http://schemas.openxmlformats.org/officeDocument/2006/relationships/pivotTable" Target="pivotTables/pivotTable2.xml"/><Relationship Id="rId102" Type="http://schemas.openxmlformats.org/officeDocument/2006/relationships/customXml" Target="../customXml/item12.xml"/><Relationship Id="rId123" Type="http://schemas.openxmlformats.org/officeDocument/2006/relationships/customXml" Target="../customXml/item33.xml"/><Relationship Id="rId128" Type="http://schemas.openxmlformats.org/officeDocument/2006/relationships/customXml" Target="../customXml/item38.xml"/><Relationship Id="rId5" Type="http://schemas.openxmlformats.org/officeDocument/2006/relationships/worksheet" Target="worksheets/sheet5.xml"/><Relationship Id="rId90" Type="http://schemas.openxmlformats.org/officeDocument/2006/relationships/calcChain" Target="calcChain.xml"/><Relationship Id="rId95" Type="http://schemas.openxmlformats.org/officeDocument/2006/relationships/customXml" Target="../customXml/item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pivotCacheDefinition" Target="pivotCache/pivotCacheDefinition3.xml"/><Relationship Id="rId48" Type="http://schemas.openxmlformats.org/officeDocument/2006/relationships/pivotCacheDefinition" Target="pivotCache/pivotCacheDefinition8.xml"/><Relationship Id="rId64" Type="http://schemas.openxmlformats.org/officeDocument/2006/relationships/pivotCacheDefinition" Target="pivotCache/pivotCacheDefinition24.xml"/><Relationship Id="rId69" Type="http://schemas.microsoft.com/office/2007/relationships/slicerCache" Target="slicerCaches/slicerCache3.xml"/><Relationship Id="rId113" Type="http://schemas.openxmlformats.org/officeDocument/2006/relationships/customXml" Target="../customXml/item23.xml"/><Relationship Id="rId118" Type="http://schemas.openxmlformats.org/officeDocument/2006/relationships/customXml" Target="../customXml/item28.xml"/><Relationship Id="rId80" Type="http://schemas.openxmlformats.org/officeDocument/2006/relationships/pivotCacheDefinition" Target="pivotCache/pivotCacheDefinition29.xml"/><Relationship Id="rId85" Type="http://schemas.openxmlformats.org/officeDocument/2006/relationships/connections" Target="connection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pivotCacheDefinition" Target="pivotCache/pivotCacheDefinition19.xml"/><Relationship Id="rId103" Type="http://schemas.openxmlformats.org/officeDocument/2006/relationships/customXml" Target="../customXml/item13.xml"/><Relationship Id="rId108" Type="http://schemas.openxmlformats.org/officeDocument/2006/relationships/customXml" Target="../customXml/item18.xml"/><Relationship Id="rId124" Type="http://schemas.openxmlformats.org/officeDocument/2006/relationships/customXml" Target="../customXml/item34.xml"/><Relationship Id="rId129" Type="http://schemas.openxmlformats.org/officeDocument/2006/relationships/customXml" Target="../customXml/item39.xml"/><Relationship Id="rId54" Type="http://schemas.openxmlformats.org/officeDocument/2006/relationships/pivotCacheDefinition" Target="pivotCache/pivotCacheDefinition14.xml"/><Relationship Id="rId70" Type="http://schemas.microsoft.com/office/2007/relationships/slicerCache" Target="slicerCaches/slicerCache4.xml"/><Relationship Id="rId75" Type="http://schemas.microsoft.com/office/2007/relationships/slicerCache" Target="slicerCaches/slicerCache9.xml"/><Relationship Id="rId91" Type="http://schemas.openxmlformats.org/officeDocument/2006/relationships/customXml" Target="../customXml/item1.xml"/><Relationship Id="rId9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pivotCacheDefinition" Target="pivotCache/pivotCacheDefinition9.xml"/><Relationship Id="rId114" Type="http://schemas.openxmlformats.org/officeDocument/2006/relationships/customXml" Target="../customXml/item24.xml"/><Relationship Id="rId119" Type="http://schemas.openxmlformats.org/officeDocument/2006/relationships/customXml" Target="../customXml/item29.xml"/><Relationship Id="rId44" Type="http://schemas.openxmlformats.org/officeDocument/2006/relationships/pivotCacheDefinition" Target="pivotCache/pivotCacheDefinition4.xml"/><Relationship Id="rId60" Type="http://schemas.openxmlformats.org/officeDocument/2006/relationships/pivotCacheDefinition" Target="pivotCache/pivotCacheDefinition20.xml"/><Relationship Id="rId65" Type="http://schemas.openxmlformats.org/officeDocument/2006/relationships/pivotCacheDefinition" Target="pivotCache/pivotCacheDefinition25.xml"/><Relationship Id="rId81" Type="http://schemas.openxmlformats.org/officeDocument/2006/relationships/pivotCacheDefinition" Target="pivotCache/pivotCacheDefinition30.xml"/><Relationship Id="rId86" Type="http://schemas.openxmlformats.org/officeDocument/2006/relationships/styles" Target="styles.xml"/><Relationship Id="rId130" Type="http://schemas.openxmlformats.org/officeDocument/2006/relationships/customXml" Target="../customXml/item40.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ustomXml" Target="../customXml/item19.xml"/><Relationship Id="rId34" Type="http://schemas.openxmlformats.org/officeDocument/2006/relationships/worksheet" Target="worksheets/sheet34.xml"/><Relationship Id="rId50" Type="http://schemas.openxmlformats.org/officeDocument/2006/relationships/pivotCacheDefinition" Target="pivotCache/pivotCacheDefinition10.xml"/><Relationship Id="rId55" Type="http://schemas.openxmlformats.org/officeDocument/2006/relationships/pivotCacheDefinition" Target="pivotCache/pivotCacheDefinition15.xml"/><Relationship Id="rId76" Type="http://schemas.openxmlformats.org/officeDocument/2006/relationships/pivotCacheDefinition" Target="pivotCache/pivotCacheDefinition27.xml"/><Relationship Id="rId97" Type="http://schemas.openxmlformats.org/officeDocument/2006/relationships/customXml" Target="../customXml/item7.xml"/><Relationship Id="rId104" Type="http://schemas.openxmlformats.org/officeDocument/2006/relationships/customXml" Target="../customXml/item14.xml"/><Relationship Id="rId120" Type="http://schemas.openxmlformats.org/officeDocument/2006/relationships/customXml" Target="../customXml/item30.xml"/><Relationship Id="rId125" Type="http://schemas.openxmlformats.org/officeDocument/2006/relationships/customXml" Target="../customXml/item35.xml"/><Relationship Id="rId7" Type="http://schemas.openxmlformats.org/officeDocument/2006/relationships/worksheet" Target="worksheets/sheet7.xml"/><Relationship Id="rId71" Type="http://schemas.microsoft.com/office/2007/relationships/slicerCache" Target="slicerCaches/slicerCache5.xml"/><Relationship Id="rId9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pivotCacheDefinition" Target="pivotCache/pivotCacheDefinition5.xml"/><Relationship Id="rId66" Type="http://schemas.openxmlformats.org/officeDocument/2006/relationships/pivotCacheDefinition" Target="pivotCache/pivotCacheDefinition26.xml"/><Relationship Id="rId87" Type="http://schemas.openxmlformats.org/officeDocument/2006/relationships/sharedStrings" Target="sharedStrings.xml"/><Relationship Id="rId110" Type="http://schemas.openxmlformats.org/officeDocument/2006/relationships/customXml" Target="../customXml/item20.xml"/><Relationship Id="rId115" Type="http://schemas.openxmlformats.org/officeDocument/2006/relationships/customXml" Target="../customXml/item25.xml"/><Relationship Id="rId131" Type="http://schemas.openxmlformats.org/officeDocument/2006/relationships/customXml" Target="../customXml/item41.xml"/><Relationship Id="rId61" Type="http://schemas.openxmlformats.org/officeDocument/2006/relationships/pivotCacheDefinition" Target="pivotCache/pivotCacheDefinition21.xml"/><Relationship Id="rId82" Type="http://schemas.microsoft.com/office/2011/relationships/timelineCache" Target="timelineCaches/timelineCach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pivotCacheDefinition" Target="pivotCache/pivotCacheDefinition16.xml"/><Relationship Id="rId77" Type="http://schemas.openxmlformats.org/officeDocument/2006/relationships/pivotCacheDefinition" Target="pivotCache/pivotCacheDefinition28.xml"/><Relationship Id="rId100" Type="http://schemas.openxmlformats.org/officeDocument/2006/relationships/customXml" Target="../customXml/item10.xml"/><Relationship Id="rId105" Type="http://schemas.openxmlformats.org/officeDocument/2006/relationships/customXml" Target="../customXml/item15.xml"/><Relationship Id="rId126" Type="http://schemas.openxmlformats.org/officeDocument/2006/relationships/customXml" Target="../customXml/item36.xml"/><Relationship Id="rId8" Type="http://schemas.openxmlformats.org/officeDocument/2006/relationships/worksheet" Target="worksheets/sheet8.xml"/><Relationship Id="rId51" Type="http://schemas.openxmlformats.org/officeDocument/2006/relationships/pivotCacheDefinition" Target="pivotCache/pivotCacheDefinition11.xml"/><Relationship Id="rId72" Type="http://schemas.microsoft.com/office/2007/relationships/slicerCache" Target="slicerCaches/slicerCache6.xml"/><Relationship Id="rId93" Type="http://schemas.openxmlformats.org/officeDocument/2006/relationships/customXml" Target="../customXml/item3.xml"/><Relationship Id="rId98" Type="http://schemas.openxmlformats.org/officeDocument/2006/relationships/customXml" Target="../customXml/item8.xml"/><Relationship Id="rId121" Type="http://schemas.openxmlformats.org/officeDocument/2006/relationships/customXml" Target="../customXml/item3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pivotCacheDefinition" Target="pivotCache/pivotCacheDefinition6.xml"/><Relationship Id="rId67" Type="http://schemas.microsoft.com/office/2007/relationships/slicerCache" Target="slicerCaches/slicerCache1.xml"/><Relationship Id="rId116" Type="http://schemas.openxmlformats.org/officeDocument/2006/relationships/customXml" Target="../customXml/item26.xml"/><Relationship Id="rId20" Type="http://schemas.openxmlformats.org/officeDocument/2006/relationships/worksheet" Target="worksheets/sheet20.xml"/><Relationship Id="rId41" Type="http://schemas.openxmlformats.org/officeDocument/2006/relationships/pivotCacheDefinition" Target="pivotCache/pivotCacheDefinition1.xml"/><Relationship Id="rId62" Type="http://schemas.openxmlformats.org/officeDocument/2006/relationships/pivotCacheDefinition" Target="pivotCache/pivotCacheDefinition22.xml"/><Relationship Id="rId83" Type="http://schemas.microsoft.com/office/2011/relationships/timelineCache" Target="timelineCaches/timelineCache2.xml"/><Relationship Id="rId88" Type="http://schemas.openxmlformats.org/officeDocument/2006/relationships/sheetMetadata" Target="metadata.xml"/><Relationship Id="rId111" Type="http://schemas.openxmlformats.org/officeDocument/2006/relationships/customXml" Target="../customXml/item21.xml"/><Relationship Id="rId132" Type="http://schemas.openxmlformats.org/officeDocument/2006/relationships/volatileDependencies" Target="volatileDependenci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pivotCacheDefinition" Target="pivotCache/pivotCacheDefinition17.xml"/><Relationship Id="rId106" Type="http://schemas.openxmlformats.org/officeDocument/2006/relationships/customXml" Target="../customXml/item16.xml"/><Relationship Id="rId127" Type="http://schemas.openxmlformats.org/officeDocument/2006/relationships/customXml" Target="../customXml/item3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pivotCacheDefinition" Target="pivotCache/pivotCacheDefinition12.xml"/><Relationship Id="rId73" Type="http://schemas.microsoft.com/office/2007/relationships/slicerCache" Target="slicerCaches/slicerCache7.xml"/><Relationship Id="rId78" Type="http://schemas.openxmlformats.org/officeDocument/2006/relationships/pivotTable" Target="pivotTables/pivotTable1.xml"/><Relationship Id="rId94" Type="http://schemas.openxmlformats.org/officeDocument/2006/relationships/customXml" Target="../customXml/item4.xml"/><Relationship Id="rId99" Type="http://schemas.openxmlformats.org/officeDocument/2006/relationships/customXml" Target="../customXml/item9.xml"/><Relationship Id="rId101" Type="http://schemas.openxmlformats.org/officeDocument/2006/relationships/customXml" Target="../customXml/item11.xml"/><Relationship Id="rId122" Type="http://schemas.openxmlformats.org/officeDocument/2006/relationships/customXml" Target="../customXml/item3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pivotCacheDefinition" Target="pivotCache/pivotCacheDefinition7.xml"/><Relationship Id="rId68" Type="http://schemas.microsoft.com/office/2007/relationships/slicerCache" Target="slicerCaches/slicerCache2.xml"/><Relationship Id="rId89" Type="http://schemas.openxmlformats.org/officeDocument/2006/relationships/powerPivotData" Target="model/item.data"/><Relationship Id="rId112" Type="http://schemas.openxmlformats.org/officeDocument/2006/relationships/customXml" Target="../customXml/item22.xml"/><Relationship Id="rId133" Type="http://schemas.microsoft.com/office/2017/10/relationships/person" Target="persons/perso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7380169171393"/>
          <c:y val="6.033172936716244E-2"/>
          <c:w val="0.79016883415058137"/>
          <c:h val="1"/>
        </c:manualLayout>
      </c:layout>
      <c:doughnutChart>
        <c:varyColors val="1"/>
        <c:ser>
          <c:idx val="0"/>
          <c:order val="0"/>
          <c:tx>
            <c:v>Etiquettes</c:v>
          </c:tx>
          <c:spPr>
            <a:ln>
              <a:noFill/>
            </a:ln>
          </c:spPr>
          <c:dPt>
            <c:idx val="0"/>
            <c:bubble3D val="0"/>
            <c:spPr>
              <a:solidFill>
                <a:srgbClr val="009900"/>
              </a:solidFill>
              <a:ln w="19050">
                <a:noFill/>
              </a:ln>
              <a:effectLst/>
            </c:spPr>
            <c:extLst>
              <c:ext xmlns:c16="http://schemas.microsoft.com/office/drawing/2014/chart" uri="{C3380CC4-5D6E-409C-BE32-E72D297353CC}">
                <c16:uniqueId val="{00000001-7832-4EB5-A2AF-747EB7071E7F}"/>
              </c:ext>
            </c:extLst>
          </c:dPt>
          <c:dPt>
            <c:idx val="1"/>
            <c:bubble3D val="0"/>
            <c:spPr>
              <a:solidFill>
                <a:srgbClr val="33CC33"/>
              </a:solidFill>
              <a:ln w="19050">
                <a:noFill/>
              </a:ln>
              <a:effectLst/>
            </c:spPr>
            <c:extLst>
              <c:ext xmlns:c16="http://schemas.microsoft.com/office/drawing/2014/chart" uri="{C3380CC4-5D6E-409C-BE32-E72D297353CC}">
                <c16:uniqueId val="{00000003-7832-4EB5-A2AF-747EB7071E7F}"/>
              </c:ext>
            </c:extLst>
          </c:dPt>
          <c:dPt>
            <c:idx val="2"/>
            <c:bubble3D val="0"/>
            <c:spPr>
              <a:solidFill>
                <a:srgbClr val="92D050"/>
              </a:solidFill>
              <a:ln w="19050">
                <a:noFill/>
              </a:ln>
              <a:effectLst/>
            </c:spPr>
            <c:extLst>
              <c:ext xmlns:c16="http://schemas.microsoft.com/office/drawing/2014/chart" uri="{C3380CC4-5D6E-409C-BE32-E72D297353CC}">
                <c16:uniqueId val="{00000005-7832-4EB5-A2AF-747EB7071E7F}"/>
              </c:ext>
            </c:extLst>
          </c:dPt>
          <c:dPt>
            <c:idx val="3"/>
            <c:bubble3D val="0"/>
            <c:spPr>
              <a:solidFill>
                <a:schemeClr val="accent4"/>
              </a:solidFill>
              <a:ln w="19050">
                <a:noFill/>
              </a:ln>
              <a:effectLst/>
            </c:spPr>
            <c:extLst>
              <c:ext xmlns:c16="http://schemas.microsoft.com/office/drawing/2014/chart" uri="{C3380CC4-5D6E-409C-BE32-E72D297353CC}">
                <c16:uniqueId val="{00000007-7832-4EB5-A2AF-747EB7071E7F}"/>
              </c:ext>
            </c:extLst>
          </c:dPt>
          <c:dPt>
            <c:idx val="4"/>
            <c:bubble3D val="0"/>
            <c:spPr>
              <a:solidFill>
                <a:srgbClr val="FF9933"/>
              </a:solidFill>
              <a:ln w="19050">
                <a:noFill/>
              </a:ln>
              <a:effectLst/>
            </c:spPr>
            <c:extLst>
              <c:ext xmlns:c16="http://schemas.microsoft.com/office/drawing/2014/chart" uri="{C3380CC4-5D6E-409C-BE32-E72D297353CC}">
                <c16:uniqueId val="{00000009-7832-4EB5-A2AF-747EB7071E7F}"/>
              </c:ext>
            </c:extLst>
          </c:dPt>
          <c:dPt>
            <c:idx val="5"/>
            <c:bubble3D val="0"/>
            <c:spPr>
              <a:noFill/>
              <a:ln w="19050">
                <a:noFill/>
              </a:ln>
              <a:effectLst/>
            </c:spPr>
            <c:extLst>
              <c:ext xmlns:c16="http://schemas.microsoft.com/office/drawing/2014/chart" uri="{C3380CC4-5D6E-409C-BE32-E72D297353CC}">
                <c16:uniqueId val="{0000000B-7832-4EB5-A2AF-747EB7071E7F}"/>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fr-FR"/>
              </a:p>
            </c:txPr>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Calcul_Bilan_Energie!$R$17:$R$21</c:f>
              <c:strCache>
                <c:ptCount val="5"/>
                <c:pt idx="0">
                  <c:v>A</c:v>
                </c:pt>
                <c:pt idx="1">
                  <c:v>B</c:v>
                </c:pt>
                <c:pt idx="2">
                  <c:v>C</c:v>
                </c:pt>
                <c:pt idx="3">
                  <c:v>D</c:v>
                </c:pt>
                <c:pt idx="4">
                  <c:v>E</c:v>
                </c:pt>
              </c:strCache>
            </c:strRef>
          </c:cat>
          <c:val>
            <c:numRef>
              <c:f>Calcul_Bilan_Energie!$T$17:$T$22</c:f>
              <c:numCache>
                <c:formatCode>General</c:formatCode>
                <c:ptCount val="6"/>
                <c:pt idx="0">
                  <c:v>50</c:v>
                </c:pt>
                <c:pt idx="1">
                  <c:v>60</c:v>
                </c:pt>
                <c:pt idx="2">
                  <c:v>100</c:v>
                </c:pt>
                <c:pt idx="3">
                  <c:v>140</c:v>
                </c:pt>
                <c:pt idx="4">
                  <c:v>190</c:v>
                </c:pt>
                <c:pt idx="5">
                  <c:v>540</c:v>
                </c:pt>
              </c:numCache>
            </c:numRef>
          </c:val>
          <c:extLst>
            <c:ext xmlns:c16="http://schemas.microsoft.com/office/drawing/2014/chart" uri="{C3380CC4-5D6E-409C-BE32-E72D297353CC}">
              <c16:uniqueId val="{0000000C-7832-4EB5-A2AF-747EB7071E7F}"/>
            </c:ext>
          </c:extLst>
        </c:ser>
        <c:dLbls>
          <c:showLegendKey val="0"/>
          <c:showVal val="0"/>
          <c:showCatName val="0"/>
          <c:showSerName val="0"/>
          <c:showPercent val="0"/>
          <c:showBubbleSize val="0"/>
          <c:showLeaderLines val="1"/>
        </c:dLbls>
        <c:firstSliceAng val="270"/>
        <c:holeSize val="50"/>
      </c:doughnutChart>
      <c:pieChart>
        <c:varyColors val="1"/>
        <c:ser>
          <c:idx val="1"/>
          <c:order val="1"/>
          <c:tx>
            <c:v>Aiguille</c:v>
          </c:tx>
          <c:spPr>
            <a:noFill/>
            <a:ln>
              <a:noFill/>
            </a:ln>
          </c:spPr>
          <c:dPt>
            <c:idx val="0"/>
            <c:bubble3D val="0"/>
            <c:spPr>
              <a:noFill/>
              <a:ln w="19050">
                <a:noFill/>
              </a:ln>
              <a:effectLst/>
            </c:spPr>
            <c:extLst>
              <c:ext xmlns:c16="http://schemas.microsoft.com/office/drawing/2014/chart" uri="{C3380CC4-5D6E-409C-BE32-E72D297353CC}">
                <c16:uniqueId val="{0000000E-7832-4EB5-A2AF-747EB7071E7F}"/>
              </c:ext>
            </c:extLst>
          </c:dPt>
          <c:dPt>
            <c:idx val="1"/>
            <c:bubble3D val="0"/>
            <c:spPr>
              <a:solidFill>
                <a:schemeClr val="tx1"/>
              </a:solidFill>
              <a:ln w="19050">
                <a:noFill/>
              </a:ln>
              <a:effectLst/>
            </c:spPr>
            <c:extLst>
              <c:ext xmlns:c16="http://schemas.microsoft.com/office/drawing/2014/chart" uri="{C3380CC4-5D6E-409C-BE32-E72D297353CC}">
                <c16:uniqueId val="{00000010-7832-4EB5-A2AF-747EB7071E7F}"/>
              </c:ext>
            </c:extLst>
          </c:dPt>
          <c:dPt>
            <c:idx val="2"/>
            <c:bubble3D val="0"/>
            <c:spPr>
              <a:noFill/>
              <a:ln w="19050">
                <a:noFill/>
              </a:ln>
              <a:effectLst/>
            </c:spPr>
            <c:extLst>
              <c:ext xmlns:c16="http://schemas.microsoft.com/office/drawing/2014/chart" uri="{C3380CC4-5D6E-409C-BE32-E72D297353CC}">
                <c16:uniqueId val="{00000012-7832-4EB5-A2AF-747EB7071E7F}"/>
              </c:ext>
            </c:extLst>
          </c:dPt>
          <c:val>
            <c:numRef>
              <c:f>Calcul_Bilan_Energie!$S$24:$S$26</c:f>
              <c:numCache>
                <c:formatCode>_-* #\ ##0_-;\-* #\ ##0_-;_-* "-"??_-;_-@_-</c:formatCode>
                <c:ptCount val="3"/>
                <c:pt idx="0">
                  <c:v>0</c:v>
                </c:pt>
                <c:pt idx="1">
                  <c:v>30</c:v>
                </c:pt>
                <c:pt idx="2">
                  <c:v>0</c:v>
                </c:pt>
              </c:numCache>
            </c:numRef>
          </c:val>
          <c:extLst>
            <c:ext xmlns:c16="http://schemas.microsoft.com/office/drawing/2014/chart" uri="{C3380CC4-5D6E-409C-BE32-E72D297353CC}">
              <c16:uniqueId val="{00000013-7832-4EB5-A2AF-747EB7071E7F}"/>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23088936312868"/>
          <c:y val="3.5938903863432167E-2"/>
          <c:w val="0.8549238354551475"/>
          <c:h val="0.75926108473082077"/>
        </c:manualLayout>
      </c:layout>
      <c:barChart>
        <c:barDir val="col"/>
        <c:grouping val="clustered"/>
        <c:varyColors val="0"/>
        <c:ser>
          <c:idx val="0"/>
          <c:order val="0"/>
          <c:tx>
            <c:strRef>
              <c:f>CalculSuiviMensuel!$C$1</c:f>
              <c:strCache>
                <c:ptCount val="1"/>
                <c:pt idx="0">
                  <c:v>2025</c:v>
                </c:pt>
              </c:strCache>
            </c:strRef>
          </c:tx>
          <c:spPr>
            <a:solidFill>
              <a:schemeClr val="accent2"/>
            </a:solidFill>
            <a:ln>
              <a:noFill/>
            </a:ln>
            <a:effectLst/>
          </c:spPr>
          <c:invertIfNegative val="0"/>
          <c:dLbls>
            <c:delete val="1"/>
          </c:dLbls>
          <c:cat>
            <c:strRef>
              <c:f>CalculSuiviMensuel!$D$70:$D$93</c:f>
              <c:strCache>
                <c:ptCount val="24"/>
                <c:pt idx="0">
                  <c:v>janv</c:v>
                </c:pt>
                <c:pt idx="1">
                  <c:v>févr</c:v>
                </c:pt>
                <c:pt idx="2">
                  <c:v>mars</c:v>
                </c:pt>
                <c:pt idx="3">
                  <c:v>avr</c:v>
                </c:pt>
                <c:pt idx="4">
                  <c:v>mai</c:v>
                </c:pt>
                <c:pt idx="5">
                  <c:v>juin</c:v>
                </c:pt>
                <c:pt idx="6">
                  <c:v>juil</c:v>
                </c:pt>
                <c:pt idx="7">
                  <c:v>août</c:v>
                </c:pt>
                <c:pt idx="8">
                  <c:v>sept</c:v>
                </c:pt>
                <c:pt idx="9">
                  <c:v>oct</c:v>
                </c:pt>
                <c:pt idx="10">
                  <c:v>nov</c:v>
                </c:pt>
                <c:pt idx="11">
                  <c:v>déc</c:v>
                </c:pt>
                <c:pt idx="12">
                  <c:v>janv</c:v>
                </c:pt>
                <c:pt idx="13">
                  <c:v>févr</c:v>
                </c:pt>
                <c:pt idx="14">
                  <c:v>mars</c:v>
                </c:pt>
                <c:pt idx="15">
                  <c:v>avr</c:v>
                </c:pt>
                <c:pt idx="16">
                  <c:v>mai</c:v>
                </c:pt>
                <c:pt idx="17">
                  <c:v>juin</c:v>
                </c:pt>
                <c:pt idx="18">
                  <c:v>juil</c:v>
                </c:pt>
                <c:pt idx="19">
                  <c:v>août</c:v>
                </c:pt>
                <c:pt idx="20">
                  <c:v>sept</c:v>
                </c:pt>
                <c:pt idx="21">
                  <c:v>oct</c:v>
                </c:pt>
                <c:pt idx="22">
                  <c:v>nov</c:v>
                </c:pt>
                <c:pt idx="23">
                  <c:v>déc</c:v>
                </c:pt>
              </c:strCache>
            </c:strRef>
          </c:cat>
          <c:val>
            <c:numRef>
              <c:f>CalculSuiviMensuel!$E$70:$E$81</c:f>
              <c:numCache>
                <c:formatCode>_(* #\ ##0.00_);_(* \(#\ ##0.00\);_(* "-"??_);_(@_)</c:formatCode>
                <c:ptCount val="12"/>
                <c:pt idx="0">
                  <c:v>13663.495501565962</c:v>
                </c:pt>
                <c:pt idx="1">
                  <c:v>11175.349103418401</c:v>
                </c:pt>
                <c:pt idx="2">
                  <c:v>8045.7082891682694</c:v>
                </c:pt>
                <c:pt idx="3">
                  <c:v>5423.76229910852</c:v>
                </c:pt>
                <c:pt idx="4">
                  <c:v>3813.2817862866359</c:v>
                </c:pt>
                <c:pt idx="5">
                  <c:v>1961.3989992671659</c:v>
                </c:pt>
                <c:pt idx="6">
                  <c:v>1276.743446783722</c:v>
                </c:pt>
                <c:pt idx="7">
                  <c:v>1244.7429179629924</c:v>
                </c:pt>
                <c:pt idx="8">
                  <c:v>2310.9870479186725</c:v>
                </c:pt>
                <c:pt idx="9">
                  <c:v>5047.6749873163544</c:v>
                </c:pt>
                <c:pt idx="10">
                  <c:v>8298.5272653746924</c:v>
                </c:pt>
                <c:pt idx="11">
                  <c:v>12793.848197343441</c:v>
                </c:pt>
              </c:numCache>
            </c:numRef>
          </c:val>
          <c:extLst>
            <c:ext xmlns:c16="http://schemas.microsoft.com/office/drawing/2014/chart" uri="{C3380CC4-5D6E-409C-BE32-E72D297353CC}">
              <c16:uniqueId val="{0000000C-1FD9-4614-94FE-7CCE5178A366}"/>
            </c:ext>
          </c:extLst>
        </c:ser>
        <c:ser>
          <c:idx val="1"/>
          <c:order val="1"/>
          <c:tx>
            <c:strRef>
              <c:f>CalculSuiviMensuel!$C$2</c:f>
              <c:strCache>
                <c:ptCount val="1"/>
                <c:pt idx="0">
                  <c:v>2026</c:v>
                </c:pt>
              </c:strCache>
            </c:strRef>
          </c:tx>
          <c:spPr>
            <a:solidFill>
              <a:schemeClr val="accent4"/>
            </a:solidFill>
            <a:ln>
              <a:noFill/>
            </a:ln>
            <a:effectLst/>
          </c:spPr>
          <c:invertIfNegative val="0"/>
          <c:dLbls>
            <c:dLbl>
              <c:idx val="0"/>
              <c:tx>
                <c:rich>
                  <a:bodyPr/>
                  <a:lstStyle/>
                  <a:p>
                    <a:fld id="{AC9E960F-B090-4297-9ACC-3D9C0BEBB9F2}" type="CELLRANGE">
                      <a:rPr lang="en-US"/>
                      <a:pPr/>
                      <a:t>[PLAGECELL]</a:t>
                    </a:fld>
                    <a:endParaRPr lang="fr-FR"/>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099-4744-9224-A3BE4B52D976}"/>
                </c:ext>
              </c:extLst>
            </c:dLbl>
            <c:dLbl>
              <c:idx val="1"/>
              <c:tx>
                <c:rich>
                  <a:bodyPr/>
                  <a:lstStyle/>
                  <a:p>
                    <a:fld id="{48448B9B-3DF1-4FE0-BBA0-DD6F9D1CD5CA}" type="CELLRANGE">
                      <a:rPr lang="fr-FR"/>
                      <a:pPr/>
                      <a:t>[PLAGECELL]</a:t>
                    </a:fld>
                    <a:endParaRPr lang="fr-FR"/>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F099-4744-9224-A3BE4B52D976}"/>
                </c:ext>
              </c:extLst>
            </c:dLbl>
            <c:dLbl>
              <c:idx val="2"/>
              <c:tx>
                <c:rich>
                  <a:bodyPr/>
                  <a:lstStyle/>
                  <a:p>
                    <a:fld id="{DF650793-6B6D-4A4C-BE99-3D2D222D548A}" type="CELLRANGE">
                      <a:rPr lang="fr-FR"/>
                      <a:pPr/>
                      <a:t>[PLAGECELL]</a:t>
                    </a:fld>
                    <a:endParaRPr lang="fr-FR"/>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099-4744-9224-A3BE4B52D976}"/>
                </c:ext>
              </c:extLst>
            </c:dLbl>
            <c:dLbl>
              <c:idx val="3"/>
              <c:tx>
                <c:rich>
                  <a:bodyPr/>
                  <a:lstStyle/>
                  <a:p>
                    <a:fld id="{79B5DF37-9951-4AA0-ADBD-EEBE284DD82F}" type="CELLRANGE">
                      <a:rPr lang="fr-FR"/>
                      <a:pPr/>
                      <a:t>[PLAGECELL]</a:t>
                    </a:fld>
                    <a:endParaRPr lang="fr-FR"/>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099-4744-9224-A3BE4B52D976}"/>
                </c:ext>
              </c:extLst>
            </c:dLbl>
            <c:dLbl>
              <c:idx val="4"/>
              <c:tx>
                <c:rich>
                  <a:bodyPr/>
                  <a:lstStyle/>
                  <a:p>
                    <a:fld id="{9373013E-D221-4C87-B5FC-4D7B88622018}" type="CELLRANGE">
                      <a:rPr lang="fr-FR"/>
                      <a:pPr/>
                      <a:t>[PLAGECELL]</a:t>
                    </a:fld>
                    <a:endParaRPr lang="fr-FR"/>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099-4744-9224-A3BE4B52D976}"/>
                </c:ext>
              </c:extLst>
            </c:dLbl>
            <c:dLbl>
              <c:idx val="5"/>
              <c:tx>
                <c:rich>
                  <a:bodyPr/>
                  <a:lstStyle/>
                  <a:p>
                    <a:fld id="{5617C703-5E45-4710-900F-B5B07C8377C4}" type="CELLRANGE">
                      <a:rPr lang="fr-FR"/>
                      <a:pPr/>
                      <a:t>[PLAGECELL]</a:t>
                    </a:fld>
                    <a:endParaRPr lang="fr-FR"/>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099-4744-9224-A3BE4B52D976}"/>
                </c:ext>
              </c:extLst>
            </c:dLbl>
            <c:dLbl>
              <c:idx val="6"/>
              <c:tx>
                <c:rich>
                  <a:bodyPr/>
                  <a:lstStyle/>
                  <a:p>
                    <a:fld id="{69CC0B3E-7CF3-4AFB-8884-46134EB59EAE}" type="CELLRANGE">
                      <a:rPr lang="fr-FR"/>
                      <a:pPr/>
                      <a:t>[PLAGECELL]</a:t>
                    </a:fld>
                    <a:endParaRPr lang="fr-FR"/>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099-4744-9224-A3BE4B52D976}"/>
                </c:ext>
              </c:extLst>
            </c:dLbl>
            <c:dLbl>
              <c:idx val="7"/>
              <c:tx>
                <c:rich>
                  <a:bodyPr/>
                  <a:lstStyle/>
                  <a:p>
                    <a:fld id="{F67F89ED-5D2D-4814-97DB-4D335E0F24CE}" type="CELLRANGE">
                      <a:rPr lang="fr-FR"/>
                      <a:pPr/>
                      <a:t>[PLAGECELL]</a:t>
                    </a:fld>
                    <a:endParaRPr lang="fr-FR"/>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099-4744-9224-A3BE4B52D976}"/>
                </c:ext>
              </c:extLst>
            </c:dLbl>
            <c:dLbl>
              <c:idx val="8"/>
              <c:tx>
                <c:rich>
                  <a:bodyPr/>
                  <a:lstStyle/>
                  <a:p>
                    <a:fld id="{6090D9B7-C3E9-496B-96DA-AF445D4BBF41}" type="CELLRANGE">
                      <a:rPr lang="fr-FR"/>
                      <a:pPr/>
                      <a:t>[PLAGECELL]</a:t>
                    </a:fld>
                    <a:endParaRPr lang="fr-FR"/>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099-4744-9224-A3BE4B52D976}"/>
                </c:ext>
              </c:extLst>
            </c:dLbl>
            <c:dLbl>
              <c:idx val="9"/>
              <c:tx>
                <c:rich>
                  <a:bodyPr/>
                  <a:lstStyle/>
                  <a:p>
                    <a:fld id="{4B390F43-C627-4EC6-8F3F-C9B0416090CF}" type="CELLRANGE">
                      <a:rPr lang="fr-FR"/>
                      <a:pPr/>
                      <a:t>[PLAGECELL]</a:t>
                    </a:fld>
                    <a:endParaRPr lang="fr-FR"/>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099-4744-9224-A3BE4B52D976}"/>
                </c:ext>
              </c:extLst>
            </c:dLbl>
            <c:dLbl>
              <c:idx val="10"/>
              <c:tx>
                <c:rich>
                  <a:bodyPr/>
                  <a:lstStyle/>
                  <a:p>
                    <a:fld id="{615E77FC-34A1-46AD-A7BD-960852C8320E}" type="CELLRANGE">
                      <a:rPr lang="fr-FR"/>
                      <a:pPr/>
                      <a:t>[PLAGECELL]</a:t>
                    </a:fld>
                    <a:endParaRPr lang="fr-FR"/>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099-4744-9224-A3BE4B52D976}"/>
                </c:ext>
              </c:extLst>
            </c:dLbl>
            <c:dLbl>
              <c:idx val="11"/>
              <c:tx>
                <c:rich>
                  <a:bodyPr/>
                  <a:lstStyle/>
                  <a:p>
                    <a:fld id="{5B71A84F-B212-48C0-858E-5913EC8510B2}" type="CELLRANGE">
                      <a:rPr lang="fr-FR"/>
                      <a:pPr/>
                      <a:t>[PLAGECELL]</a:t>
                    </a:fld>
                    <a:endParaRPr lang="fr-FR"/>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F099-4744-9224-A3BE4B52D97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CalculSuiviMensuel!$D$70:$D$93</c:f>
              <c:strCache>
                <c:ptCount val="24"/>
                <c:pt idx="0">
                  <c:v>janv</c:v>
                </c:pt>
                <c:pt idx="1">
                  <c:v>févr</c:v>
                </c:pt>
                <c:pt idx="2">
                  <c:v>mars</c:v>
                </c:pt>
                <c:pt idx="3">
                  <c:v>avr</c:v>
                </c:pt>
                <c:pt idx="4">
                  <c:v>mai</c:v>
                </c:pt>
                <c:pt idx="5">
                  <c:v>juin</c:v>
                </c:pt>
                <c:pt idx="6">
                  <c:v>juil</c:v>
                </c:pt>
                <c:pt idx="7">
                  <c:v>août</c:v>
                </c:pt>
                <c:pt idx="8">
                  <c:v>sept</c:v>
                </c:pt>
                <c:pt idx="9">
                  <c:v>oct</c:v>
                </c:pt>
                <c:pt idx="10">
                  <c:v>nov</c:v>
                </c:pt>
                <c:pt idx="11">
                  <c:v>déc</c:v>
                </c:pt>
                <c:pt idx="12">
                  <c:v>janv</c:v>
                </c:pt>
                <c:pt idx="13">
                  <c:v>févr</c:v>
                </c:pt>
                <c:pt idx="14">
                  <c:v>mars</c:v>
                </c:pt>
                <c:pt idx="15">
                  <c:v>avr</c:v>
                </c:pt>
                <c:pt idx="16">
                  <c:v>mai</c:v>
                </c:pt>
                <c:pt idx="17">
                  <c:v>juin</c:v>
                </c:pt>
                <c:pt idx="18">
                  <c:v>juil</c:v>
                </c:pt>
                <c:pt idx="19">
                  <c:v>août</c:v>
                </c:pt>
                <c:pt idx="20">
                  <c:v>sept</c:v>
                </c:pt>
                <c:pt idx="21">
                  <c:v>oct</c:v>
                </c:pt>
                <c:pt idx="22">
                  <c:v>nov</c:v>
                </c:pt>
                <c:pt idx="23">
                  <c:v>déc</c:v>
                </c:pt>
              </c:strCache>
            </c:strRef>
          </c:cat>
          <c:val>
            <c:numRef>
              <c:f>CalculSuiviMensuel!$E$82:$E$93</c:f>
              <c:numCache>
                <c:formatCode>_(* #\ ##0.00_);_(* \(#\ ##0.00\);_(* "-"??_);_(@_)</c:formatCode>
                <c:ptCount val="12"/>
                <c:pt idx="0">
                  <c:v>12270.870967741923</c:v>
                </c:pt>
                <c:pt idx="1">
                  <c:v>8463.5161290322576</c:v>
                </c:pt>
                <c:pt idx="2">
                  <c:v>6522.7741935483928</c:v>
                </c:pt>
                <c:pt idx="3">
                  <c:v>4335.7258064516127</c:v>
                </c:pt>
                <c:pt idx="4">
                  <c:v>2106.8548387096776</c:v>
                </c:pt>
                <c:pt idx="5">
                  <c:v>505.64516129032245</c:v>
                </c:pt>
                <c:pt idx="6">
                  <c:v>0</c:v>
                </c:pt>
                <c:pt idx="7">
                  <c:v>0</c:v>
                </c:pt>
                <c:pt idx="8">
                  <c:v>0</c:v>
                </c:pt>
                <c:pt idx="9">
                  <c:v>0</c:v>
                </c:pt>
                <c:pt idx="10">
                  <c:v>0</c:v>
                </c:pt>
                <c:pt idx="11">
                  <c:v>0</c:v>
                </c:pt>
              </c:numCache>
            </c:numRef>
          </c:val>
          <c:extLst>
            <c:ext xmlns:c15="http://schemas.microsoft.com/office/drawing/2012/chart" uri="{02D57815-91ED-43cb-92C2-25804820EDAC}">
              <c15:datalabelsRange>
                <c15:f>CalculSuiviMensuel!$F$82:$F$93</c15:f>
                <c15:dlblRangeCache>
                  <c:ptCount val="12"/>
                  <c:pt idx="0">
                    <c:v>-10,2%</c:v>
                  </c:pt>
                  <c:pt idx="1">
                    <c:v>-24,3%</c:v>
                  </c:pt>
                  <c:pt idx="2">
                    <c:v>-18,9%</c:v>
                  </c:pt>
                  <c:pt idx="3">
                    <c:v>-20,1%</c:v>
                  </c:pt>
                  <c:pt idx="4">
                    <c:v>-44,7%</c:v>
                  </c:pt>
                  <c:pt idx="5">
                    <c:v>-74,2%</c:v>
                  </c:pt>
                  <c:pt idx="6">
                    <c:v>-100,0%</c:v>
                  </c:pt>
                  <c:pt idx="7">
                    <c:v>-100,0%</c:v>
                  </c:pt>
                  <c:pt idx="8">
                    <c:v>-100,0%</c:v>
                  </c:pt>
                  <c:pt idx="9">
                    <c:v>-100,0%</c:v>
                  </c:pt>
                  <c:pt idx="10">
                    <c:v>-100,0%</c:v>
                  </c:pt>
                  <c:pt idx="11">
                    <c:v>-100,0%</c:v>
                  </c:pt>
                </c15:dlblRangeCache>
              </c15:datalabelsRange>
            </c:ext>
            <c:ext xmlns:c16="http://schemas.microsoft.com/office/drawing/2014/chart" uri="{C3380CC4-5D6E-409C-BE32-E72D297353CC}">
              <c16:uniqueId val="{0000000D-1FD9-4614-94FE-7CCE5178A366}"/>
            </c:ext>
          </c:extLst>
        </c:ser>
        <c:dLbls>
          <c:dLblPos val="outEnd"/>
          <c:showLegendKey val="0"/>
          <c:showVal val="1"/>
          <c:showCatName val="0"/>
          <c:showSerName val="0"/>
          <c:showPercent val="0"/>
          <c:showBubbleSize val="0"/>
        </c:dLbls>
        <c:gapWidth val="72"/>
        <c:overlap val="67"/>
        <c:axId val="33517640"/>
        <c:axId val="33512064"/>
      </c:barChart>
      <c:catAx>
        <c:axId val="33517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3512064"/>
        <c:crosses val="autoZero"/>
        <c:auto val="1"/>
        <c:lblAlgn val="ctr"/>
        <c:lblOffset val="100"/>
        <c:noMultiLvlLbl val="0"/>
      </c:catAx>
      <c:valAx>
        <c:axId val="33512064"/>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Conso.mensuelle EF PCI (MWh)</a:t>
                </a:r>
              </a:p>
            </c:rich>
          </c:tx>
          <c:layout>
            <c:manualLayout>
              <c:xMode val="edge"/>
              <c:yMode val="edge"/>
              <c:x val="1.3666141732283464E-2"/>
              <c:y val="0.1521468213419887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_(* #\ ##0.00_);_(* \(#\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3517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23088936312868"/>
          <c:y val="3.5938903863432167E-2"/>
          <c:w val="0.8549238354551475"/>
          <c:h val="0.75926108473082077"/>
        </c:manualLayout>
      </c:layout>
      <c:barChart>
        <c:barDir val="col"/>
        <c:grouping val="clustered"/>
        <c:varyColors val="0"/>
        <c:ser>
          <c:idx val="0"/>
          <c:order val="0"/>
          <c:tx>
            <c:strRef>
              <c:f>CalculSuiviMensuel!$C$1</c:f>
              <c:strCache>
                <c:ptCount val="1"/>
                <c:pt idx="0">
                  <c:v>2025</c:v>
                </c:pt>
              </c:strCache>
            </c:strRef>
          </c:tx>
          <c:spPr>
            <a:solidFill>
              <a:schemeClr val="accent2"/>
            </a:solidFill>
            <a:ln>
              <a:noFill/>
            </a:ln>
            <a:effectLst/>
          </c:spPr>
          <c:invertIfNegative val="0"/>
          <c:dLbls>
            <c:dLbl>
              <c:idx val="0"/>
              <c:tx>
                <c:rich>
                  <a:bodyPr/>
                  <a:lstStyle/>
                  <a:p>
                    <a:fld id="{22F7FDCA-F6CB-4229-ADA0-2D0BE52EBFDB}"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837C-4831-B761-7DF0E263F3E1}"/>
                </c:ext>
              </c:extLst>
            </c:dLbl>
            <c:dLbl>
              <c:idx val="1"/>
              <c:tx>
                <c:rich>
                  <a:bodyPr/>
                  <a:lstStyle/>
                  <a:p>
                    <a:fld id="{5D6CD586-702F-4F71-BD85-3D992D3943A6}"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837C-4831-B761-7DF0E263F3E1}"/>
                </c:ext>
              </c:extLst>
            </c:dLbl>
            <c:dLbl>
              <c:idx val="2"/>
              <c:tx>
                <c:rich>
                  <a:bodyPr/>
                  <a:lstStyle/>
                  <a:p>
                    <a:fld id="{E99F3CF7-46B2-4D3B-9CA6-20540849CF14}"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837C-4831-B761-7DF0E263F3E1}"/>
                </c:ext>
              </c:extLst>
            </c:dLbl>
            <c:dLbl>
              <c:idx val="3"/>
              <c:tx>
                <c:rich>
                  <a:bodyPr/>
                  <a:lstStyle/>
                  <a:p>
                    <a:fld id="{2ECDDC57-7C70-46B4-A639-EBAF39A1FAD2}"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837C-4831-B761-7DF0E263F3E1}"/>
                </c:ext>
              </c:extLst>
            </c:dLbl>
            <c:dLbl>
              <c:idx val="4"/>
              <c:tx>
                <c:rich>
                  <a:bodyPr/>
                  <a:lstStyle/>
                  <a:p>
                    <a:fld id="{54FCBA5A-E237-4824-AA78-0144D6AD52EA}"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837C-4831-B761-7DF0E263F3E1}"/>
                </c:ext>
              </c:extLst>
            </c:dLbl>
            <c:dLbl>
              <c:idx val="5"/>
              <c:tx>
                <c:rich>
                  <a:bodyPr/>
                  <a:lstStyle/>
                  <a:p>
                    <a:fld id="{01522CD5-FC89-4A7D-AE8B-9884678686F5}"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837C-4831-B761-7DF0E263F3E1}"/>
                </c:ext>
              </c:extLst>
            </c:dLbl>
            <c:dLbl>
              <c:idx val="6"/>
              <c:tx>
                <c:rich>
                  <a:bodyPr/>
                  <a:lstStyle/>
                  <a:p>
                    <a:fld id="{908FEF1E-24A6-47DB-87B1-3315A1D34A81}"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837C-4831-B761-7DF0E263F3E1}"/>
                </c:ext>
              </c:extLst>
            </c:dLbl>
            <c:dLbl>
              <c:idx val="7"/>
              <c:tx>
                <c:rich>
                  <a:bodyPr/>
                  <a:lstStyle/>
                  <a:p>
                    <a:fld id="{5E20E022-048E-47B6-89CE-36BEB003112F}"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837C-4831-B761-7DF0E263F3E1}"/>
                </c:ext>
              </c:extLst>
            </c:dLbl>
            <c:dLbl>
              <c:idx val="8"/>
              <c:tx>
                <c:rich>
                  <a:bodyPr/>
                  <a:lstStyle/>
                  <a:p>
                    <a:fld id="{FF774D84-3E6D-418D-8674-64523168ABFB}"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837C-4831-B761-7DF0E263F3E1}"/>
                </c:ext>
              </c:extLst>
            </c:dLbl>
            <c:dLbl>
              <c:idx val="9"/>
              <c:tx>
                <c:rich>
                  <a:bodyPr/>
                  <a:lstStyle/>
                  <a:p>
                    <a:fld id="{275AE751-8BF3-4D78-9CF4-A260402B4B59}"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837C-4831-B761-7DF0E263F3E1}"/>
                </c:ext>
              </c:extLst>
            </c:dLbl>
            <c:dLbl>
              <c:idx val="10"/>
              <c:tx>
                <c:rich>
                  <a:bodyPr/>
                  <a:lstStyle/>
                  <a:p>
                    <a:fld id="{FDD48D11-6E22-419E-AA34-04FF1E802828}"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837C-4831-B761-7DF0E263F3E1}"/>
                </c:ext>
              </c:extLst>
            </c:dLbl>
            <c:dLbl>
              <c:idx val="11"/>
              <c:tx>
                <c:rich>
                  <a:bodyPr/>
                  <a:lstStyle/>
                  <a:p>
                    <a:fld id="{82BE6F20-DF5F-4E73-900E-587C73725BC1}"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837C-4831-B761-7DF0E263F3E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CalculSuiviMensuel!$D$38:$D$61</c:f>
              <c:strCache>
                <c:ptCount val="24"/>
                <c:pt idx="0">
                  <c:v>janv</c:v>
                </c:pt>
                <c:pt idx="1">
                  <c:v>févr</c:v>
                </c:pt>
                <c:pt idx="2">
                  <c:v>mars</c:v>
                </c:pt>
                <c:pt idx="3">
                  <c:v>avr</c:v>
                </c:pt>
                <c:pt idx="4">
                  <c:v>mai</c:v>
                </c:pt>
                <c:pt idx="5">
                  <c:v>juin</c:v>
                </c:pt>
                <c:pt idx="6">
                  <c:v>juil</c:v>
                </c:pt>
                <c:pt idx="7">
                  <c:v>août</c:v>
                </c:pt>
                <c:pt idx="8">
                  <c:v>sept</c:v>
                </c:pt>
                <c:pt idx="9">
                  <c:v>oct</c:v>
                </c:pt>
                <c:pt idx="10">
                  <c:v>nov</c:v>
                </c:pt>
                <c:pt idx="11">
                  <c:v>déc</c:v>
                </c:pt>
                <c:pt idx="12">
                  <c:v>janv</c:v>
                </c:pt>
                <c:pt idx="13">
                  <c:v>févr</c:v>
                </c:pt>
                <c:pt idx="14">
                  <c:v>mars</c:v>
                </c:pt>
                <c:pt idx="15">
                  <c:v>avr</c:v>
                </c:pt>
                <c:pt idx="16">
                  <c:v>mai</c:v>
                </c:pt>
                <c:pt idx="17">
                  <c:v>juin</c:v>
                </c:pt>
                <c:pt idx="18">
                  <c:v>juil</c:v>
                </c:pt>
                <c:pt idx="19">
                  <c:v>août</c:v>
                </c:pt>
                <c:pt idx="20">
                  <c:v>sept</c:v>
                </c:pt>
                <c:pt idx="21">
                  <c:v>oct</c:v>
                </c:pt>
                <c:pt idx="22">
                  <c:v>nov</c:v>
                </c:pt>
                <c:pt idx="23">
                  <c:v>déc</c:v>
                </c:pt>
              </c:strCache>
            </c:strRef>
          </c:cat>
          <c:val>
            <c:numRef>
              <c:f>CalculSuiviMensuel!$H$38:$H$49</c:f>
              <c:numCache>
                <c:formatCode>0</c:formatCode>
                <c:ptCount val="12"/>
                <c:pt idx="0">
                  <c:v>10.077711199831022</c:v>
                </c:pt>
                <c:pt idx="1">
                  <c:v>8.9537239502770216</c:v>
                </c:pt>
                <c:pt idx="2">
                  <c:v>6.6135523249595716</c:v>
                </c:pt>
                <c:pt idx="3">
                  <c:v>4.949759039149308</c:v>
                </c:pt>
                <c:pt idx="4">
                  <c:v>3.0919476393266723</c:v>
                </c:pt>
                <c:pt idx="5">
                  <c:v>0.84670154024992761</c:v>
                </c:pt>
                <c:pt idx="6">
                  <c:v>0.20281894798023845</c:v>
                </c:pt>
                <c:pt idx="7">
                  <c:v>0.17570473699505967</c:v>
                </c:pt>
                <c:pt idx="8">
                  <c:v>1.0818366753850628</c:v>
                </c:pt>
                <c:pt idx="9">
                  <c:v>3.3427320153632292</c:v>
                </c:pt>
                <c:pt idx="10">
                  <c:v>7.1974205388183918</c:v>
                </c:pt>
                <c:pt idx="11">
                  <c:v>10.704461920702069</c:v>
                </c:pt>
              </c:numCache>
            </c:numRef>
          </c:val>
          <c:extLst>
            <c:ext xmlns:c15="http://schemas.microsoft.com/office/drawing/2012/chart" uri="{02D57815-91ED-43cb-92C2-25804820EDAC}">
              <c15:datalabelsRange>
                <c15:f>CalculSuiviMensuel!$I$50:$I$61</c15:f>
                <c15:dlblRangeCache>
                  <c:ptCount val="12"/>
                  <c:pt idx="0">
                    <c:v>14,4%</c:v>
                  </c:pt>
                  <c:pt idx="1">
                    <c:v>15,4%</c:v>
                  </c:pt>
                  <c:pt idx="2">
                    <c:v>5,3%</c:v>
                  </c:pt>
                  <c:pt idx="3">
                    <c:v>6,7%</c:v>
                  </c:pt>
                  <c:pt idx="4">
                    <c:v>-20,1%</c:v>
                  </c:pt>
                  <c:pt idx="5">
                    <c:v>-46,2%</c:v>
                  </c:pt>
                  <c:pt idx="6">
                    <c:v>-100,0%</c:v>
                  </c:pt>
                  <c:pt idx="7">
                    <c:v>-100,0%</c:v>
                  </c:pt>
                  <c:pt idx="8">
                    <c:v>-100,0%</c:v>
                  </c:pt>
                </c15:dlblRangeCache>
              </c15:datalabelsRange>
            </c:ext>
            <c:ext xmlns:c16="http://schemas.microsoft.com/office/drawing/2014/chart" uri="{C3380CC4-5D6E-409C-BE32-E72D297353CC}">
              <c16:uniqueId val="{0000000C-837C-4831-B761-7DF0E263F3E1}"/>
            </c:ext>
          </c:extLst>
        </c:ser>
        <c:ser>
          <c:idx val="1"/>
          <c:order val="1"/>
          <c:tx>
            <c:strRef>
              <c:f>CalculSuiviMensuel!$C$2</c:f>
              <c:strCache>
                <c:ptCount val="1"/>
                <c:pt idx="0">
                  <c:v>2026</c:v>
                </c:pt>
              </c:strCache>
            </c:strRef>
          </c:tx>
          <c:spPr>
            <a:solidFill>
              <a:schemeClr val="accent4"/>
            </a:solidFill>
            <a:ln>
              <a:noFill/>
            </a:ln>
            <a:effectLst/>
          </c:spPr>
          <c:invertIfNegative val="0"/>
          <c:dLbls>
            <c:delete val="1"/>
          </c:dLbls>
          <c:cat>
            <c:strRef>
              <c:f>CalculSuiviMensuel!$D$38:$D$61</c:f>
              <c:strCache>
                <c:ptCount val="24"/>
                <c:pt idx="0">
                  <c:v>janv</c:v>
                </c:pt>
                <c:pt idx="1">
                  <c:v>févr</c:v>
                </c:pt>
                <c:pt idx="2">
                  <c:v>mars</c:v>
                </c:pt>
                <c:pt idx="3">
                  <c:v>avr</c:v>
                </c:pt>
                <c:pt idx="4">
                  <c:v>mai</c:v>
                </c:pt>
                <c:pt idx="5">
                  <c:v>juin</c:v>
                </c:pt>
                <c:pt idx="6">
                  <c:v>juil</c:v>
                </c:pt>
                <c:pt idx="7">
                  <c:v>août</c:v>
                </c:pt>
                <c:pt idx="8">
                  <c:v>sept</c:v>
                </c:pt>
                <c:pt idx="9">
                  <c:v>oct</c:v>
                </c:pt>
                <c:pt idx="10">
                  <c:v>nov</c:v>
                </c:pt>
                <c:pt idx="11">
                  <c:v>déc</c:v>
                </c:pt>
                <c:pt idx="12">
                  <c:v>janv</c:v>
                </c:pt>
                <c:pt idx="13">
                  <c:v>févr</c:v>
                </c:pt>
                <c:pt idx="14">
                  <c:v>mars</c:v>
                </c:pt>
                <c:pt idx="15">
                  <c:v>avr</c:v>
                </c:pt>
                <c:pt idx="16">
                  <c:v>mai</c:v>
                </c:pt>
                <c:pt idx="17">
                  <c:v>juin</c:v>
                </c:pt>
                <c:pt idx="18">
                  <c:v>juil</c:v>
                </c:pt>
                <c:pt idx="19">
                  <c:v>août</c:v>
                </c:pt>
                <c:pt idx="20">
                  <c:v>sept</c:v>
                </c:pt>
                <c:pt idx="21">
                  <c:v>oct</c:v>
                </c:pt>
                <c:pt idx="22">
                  <c:v>nov</c:v>
                </c:pt>
                <c:pt idx="23">
                  <c:v>déc</c:v>
                </c:pt>
              </c:strCache>
            </c:strRef>
          </c:cat>
          <c:val>
            <c:numRef>
              <c:f>CalculSuiviMensuel!$H$50:$H$61</c:f>
              <c:numCache>
                <c:formatCode>0</c:formatCode>
                <c:ptCount val="12"/>
                <c:pt idx="0">
                  <c:v>11.530046708509715</c:v>
                </c:pt>
                <c:pt idx="1">
                  <c:v>10.328734411546693</c:v>
                </c:pt>
                <c:pt idx="2">
                  <c:v>6.9655204970617151</c:v>
                </c:pt>
                <c:pt idx="3">
                  <c:v>5.2802769335274817</c:v>
                </c:pt>
                <c:pt idx="4">
                  <c:v>2.4701308462779523</c:v>
                </c:pt>
                <c:pt idx="5">
                  <c:v>0.45553618134263313</c:v>
                </c:pt>
                <c:pt idx="6">
                  <c:v>0</c:v>
                </c:pt>
                <c:pt idx="7">
                  <c:v>0</c:v>
                </c:pt>
                <c:pt idx="8">
                  <c:v>0</c:v>
                </c:pt>
                <c:pt idx="9">
                  <c:v>0</c:v>
                </c:pt>
                <c:pt idx="10">
                  <c:v>0</c:v>
                </c:pt>
                <c:pt idx="11">
                  <c:v>0</c:v>
                </c:pt>
              </c:numCache>
            </c:numRef>
          </c:val>
          <c:extLst>
            <c:ext xmlns:c16="http://schemas.microsoft.com/office/drawing/2014/chart" uri="{C3380CC4-5D6E-409C-BE32-E72D297353CC}">
              <c16:uniqueId val="{0000000D-837C-4831-B761-7DF0E263F3E1}"/>
            </c:ext>
          </c:extLst>
        </c:ser>
        <c:dLbls>
          <c:showLegendKey val="0"/>
          <c:showVal val="1"/>
          <c:showCatName val="0"/>
          <c:showSerName val="0"/>
          <c:showPercent val="0"/>
          <c:showBubbleSize val="0"/>
        </c:dLbls>
        <c:gapWidth val="72"/>
        <c:overlap val="67"/>
        <c:axId val="33517640"/>
        <c:axId val="33512064"/>
      </c:barChart>
      <c:catAx>
        <c:axId val="33517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3512064"/>
        <c:crosses val="autoZero"/>
        <c:auto val="1"/>
        <c:lblAlgn val="ctr"/>
        <c:lblOffset val="100"/>
        <c:noMultiLvlLbl val="0"/>
      </c:catAx>
      <c:valAx>
        <c:axId val="33512064"/>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Conso.mensuelle EF PCI (MWh)</a:t>
                </a:r>
              </a:p>
            </c:rich>
          </c:tx>
          <c:layout>
            <c:manualLayout>
              <c:xMode val="edge"/>
              <c:yMode val="edge"/>
              <c:x val="1.3666141732283464E-2"/>
              <c:y val="0.1521468213419887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3517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[ETE - ANAP - Tableau de bord - Energie et eau - BASE.xlsx]TCD_compteur!Tableau croisé dynamique1</c:name>
    <c:fmtId val="2"/>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TCD_compteur!$B$3</c:f>
              <c:strCache>
                <c:ptCount val="1"/>
                <c:pt idx="0">
                  <c:v>Total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TCD_compteur!$A$4:$A$27</c:f>
              <c:multiLvlStrCache>
                <c:ptCount val="18"/>
                <c:lvl>
                  <c:pt idx="0">
                    <c:v>Trim1</c:v>
                  </c:pt>
                  <c:pt idx="1">
                    <c:v>Trim2</c:v>
                  </c:pt>
                  <c:pt idx="2">
                    <c:v>Trim3</c:v>
                  </c:pt>
                  <c:pt idx="3">
                    <c:v>Trim4</c:v>
                  </c:pt>
                  <c:pt idx="4">
                    <c:v>Trim1</c:v>
                  </c:pt>
                  <c:pt idx="5">
                    <c:v>Trim2</c:v>
                  </c:pt>
                  <c:pt idx="6">
                    <c:v>Trim3</c:v>
                  </c:pt>
                  <c:pt idx="7">
                    <c:v>Trim4</c:v>
                  </c:pt>
                  <c:pt idx="8">
                    <c:v>Trim1</c:v>
                  </c:pt>
                  <c:pt idx="9">
                    <c:v>Trim2</c:v>
                  </c:pt>
                  <c:pt idx="10">
                    <c:v>Trim3</c:v>
                  </c:pt>
                  <c:pt idx="11">
                    <c:v>Trim4</c:v>
                  </c:pt>
                  <c:pt idx="12">
                    <c:v>Trim1</c:v>
                  </c:pt>
                  <c:pt idx="13">
                    <c:v>Trim2</c:v>
                  </c:pt>
                  <c:pt idx="14">
                    <c:v>Trim3</c:v>
                  </c:pt>
                  <c:pt idx="15">
                    <c:v>Trim4</c:v>
                  </c:pt>
                  <c:pt idx="16">
                    <c:v>Trim1</c:v>
                  </c:pt>
                  <c:pt idx="17">
                    <c:v>Trim2</c:v>
                  </c:pt>
                </c:lvl>
                <c:lvl>
                  <c:pt idx="0">
                    <c:v>2022</c:v>
                  </c:pt>
                  <c:pt idx="4">
                    <c:v>2023</c:v>
                  </c:pt>
                  <c:pt idx="8">
                    <c:v>2024</c:v>
                  </c:pt>
                  <c:pt idx="12">
                    <c:v>2025</c:v>
                  </c:pt>
                  <c:pt idx="16">
                    <c:v>2026</c:v>
                  </c:pt>
                </c:lvl>
              </c:multiLvlStrCache>
            </c:multiLvlStrRef>
          </c:cat>
          <c:val>
            <c:numRef>
              <c:f>TCD_compteur!$B$4:$B$27</c:f>
              <c:numCache>
                <c:formatCode>General</c:formatCode>
                <c:ptCount val="18"/>
                <c:pt idx="0">
                  <c:v>20993.129032258039</c:v>
                </c:pt>
                <c:pt idx="1">
                  <c:v>6449.6774193548417</c:v>
                </c:pt>
                <c:pt idx="2">
                  <c:v>1333</c:v>
                </c:pt>
                <c:pt idx="3">
                  <c:v>16202.999999999987</c:v>
                </c:pt>
                <c:pt idx="4">
                  <c:v>29662.101694915225</c:v>
                </c:pt>
                <c:pt idx="5">
                  <c:v>8686.9202831067178</c:v>
                </c:pt>
                <c:pt idx="6">
                  <c:v>1364.1084567606308</c:v>
                </c:pt>
                <c:pt idx="7">
                  <c:v>20304.869565217381</c:v>
                </c:pt>
                <c:pt idx="8">
                  <c:v>29742.225806451592</c:v>
                </c:pt>
                <c:pt idx="9">
                  <c:v>9346.7741935483773</c:v>
                </c:pt>
                <c:pt idx="10">
                  <c:v>1631.9999999999982</c:v>
                </c:pt>
                <c:pt idx="11">
                  <c:v>22216.516129032254</c:v>
                </c:pt>
                <c:pt idx="12">
                  <c:v>29240.806451612891</c:v>
                </c:pt>
                <c:pt idx="13">
                  <c:v>7981.6774193548345</c:v>
                </c:pt>
                <c:pt idx="14">
                  <c:v>1620.9999999999998</c:v>
                </c:pt>
                <c:pt idx="15">
                  <c:v>22344.612903225807</c:v>
                </c:pt>
                <c:pt idx="16">
                  <c:v>27257.16129032254</c:v>
                </c:pt>
                <c:pt idx="17">
                  <c:v>6948.2258064516209</c:v>
                </c:pt>
              </c:numCache>
            </c:numRef>
          </c:val>
          <c:smooth val="0"/>
          <c:extLst>
            <c:ext xmlns:c16="http://schemas.microsoft.com/office/drawing/2014/chart" uri="{C3380CC4-5D6E-409C-BE32-E72D297353CC}">
              <c16:uniqueId val="{00000001-2379-4698-8315-25CB32BEC91F}"/>
            </c:ext>
          </c:extLst>
        </c:ser>
        <c:dLbls>
          <c:dLblPos val="t"/>
          <c:showLegendKey val="0"/>
          <c:showVal val="1"/>
          <c:showCatName val="0"/>
          <c:showSerName val="0"/>
          <c:showPercent val="0"/>
          <c:showBubbleSize val="0"/>
        </c:dLbls>
        <c:marker val="1"/>
        <c:smooth val="0"/>
        <c:axId val="185261231"/>
        <c:axId val="185266807"/>
      </c:lineChart>
      <c:catAx>
        <c:axId val="185261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85266807"/>
        <c:crosses val="autoZero"/>
        <c:auto val="1"/>
        <c:lblAlgn val="ctr"/>
        <c:lblOffset val="100"/>
        <c:noMultiLvlLbl val="0"/>
      </c:catAx>
      <c:valAx>
        <c:axId val="1852668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852612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[ETE - ANAP - Tableau de bord - Energie et eau - BASE.xlsx]TCD_compteur!Tableau croisé dynamique2</c:name>
    <c:fmtId val="5"/>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pivotFmt>
    </c:pivotFmts>
    <c:plotArea>
      <c:layout/>
      <c:barChart>
        <c:barDir val="col"/>
        <c:grouping val="clustered"/>
        <c:varyColors val="0"/>
        <c:ser>
          <c:idx val="0"/>
          <c:order val="0"/>
          <c:tx>
            <c:strRef>
              <c:f>TCD_compteur!$F$3</c:f>
              <c:strCache>
                <c:ptCount val="1"/>
                <c:pt idx="0">
                  <c:v>Total</c:v>
                </c:pt>
              </c:strCache>
            </c:strRef>
          </c:tx>
          <c:spPr>
            <a:solidFill>
              <a:schemeClr val="accent1"/>
            </a:solidFill>
            <a:ln>
              <a:noFill/>
            </a:ln>
            <a:effectLst/>
          </c:spPr>
          <c:invertIfNegative val="0"/>
          <c:cat>
            <c:multiLvlStrRef>
              <c:f>TCD_compteur!$E$4:$E$27</c:f>
              <c:multiLvlStrCache>
                <c:ptCount val="18"/>
                <c:lvl>
                  <c:pt idx="0">
                    <c:v>Trim1</c:v>
                  </c:pt>
                  <c:pt idx="1">
                    <c:v>Trim2</c:v>
                  </c:pt>
                  <c:pt idx="2">
                    <c:v>Trim3</c:v>
                  </c:pt>
                  <c:pt idx="3">
                    <c:v>Trim4</c:v>
                  </c:pt>
                  <c:pt idx="4">
                    <c:v>Trim1</c:v>
                  </c:pt>
                  <c:pt idx="5">
                    <c:v>Trim2</c:v>
                  </c:pt>
                  <c:pt idx="6">
                    <c:v>Trim3</c:v>
                  </c:pt>
                  <c:pt idx="7">
                    <c:v>Trim4</c:v>
                  </c:pt>
                  <c:pt idx="8">
                    <c:v>Trim1</c:v>
                  </c:pt>
                  <c:pt idx="9">
                    <c:v>Trim2</c:v>
                  </c:pt>
                  <c:pt idx="10">
                    <c:v>Trim3</c:v>
                  </c:pt>
                  <c:pt idx="11">
                    <c:v>Trim4</c:v>
                  </c:pt>
                  <c:pt idx="12">
                    <c:v>Trim1</c:v>
                  </c:pt>
                  <c:pt idx="13">
                    <c:v>Trim2</c:v>
                  </c:pt>
                  <c:pt idx="14">
                    <c:v>Trim3</c:v>
                  </c:pt>
                  <c:pt idx="15">
                    <c:v>Trim4</c:v>
                  </c:pt>
                  <c:pt idx="16">
                    <c:v>Trim1</c:v>
                  </c:pt>
                  <c:pt idx="17">
                    <c:v>Trim2</c:v>
                  </c:pt>
                </c:lvl>
                <c:lvl>
                  <c:pt idx="0">
                    <c:v>2022</c:v>
                  </c:pt>
                  <c:pt idx="4">
                    <c:v>2023</c:v>
                  </c:pt>
                  <c:pt idx="8">
                    <c:v>2024</c:v>
                  </c:pt>
                  <c:pt idx="12">
                    <c:v>2025</c:v>
                  </c:pt>
                  <c:pt idx="16">
                    <c:v>2026</c:v>
                  </c:pt>
                </c:lvl>
              </c:multiLvlStrCache>
            </c:multiLvlStrRef>
          </c:cat>
          <c:val>
            <c:numRef>
              <c:f>TCD_compteur!$F$4:$F$27</c:f>
              <c:numCache>
                <c:formatCode>0.00</c:formatCode>
                <c:ptCount val="18"/>
                <c:pt idx="0">
                  <c:v>23.855828445747747</c:v>
                </c:pt>
                <c:pt idx="1">
                  <c:v>15.61665234710618</c:v>
                </c:pt>
                <c:pt idx="2">
                  <c:v>10.098484848484841</c:v>
                </c:pt>
                <c:pt idx="3">
                  <c:v>24.475830815709948</c:v>
                </c:pt>
                <c:pt idx="4">
                  <c:v>33.706933744221821</c:v>
                </c:pt>
                <c:pt idx="5">
                  <c:v>21.502277928481966</c:v>
                </c:pt>
                <c:pt idx="6">
                  <c:v>11.861812667483731</c:v>
                </c:pt>
                <c:pt idx="7">
                  <c:v>32.332594849072265</c:v>
                </c:pt>
                <c:pt idx="8">
                  <c:v>34.265237104206875</c:v>
                </c:pt>
                <c:pt idx="9">
                  <c:v>21.486837226548012</c:v>
                </c:pt>
                <c:pt idx="10">
                  <c:v>9.7142857142857029</c:v>
                </c:pt>
                <c:pt idx="11">
                  <c:v>32.058464832658316</c:v>
                </c:pt>
                <c:pt idx="12">
                  <c:v>30.114115810106028</c:v>
                </c:pt>
                <c:pt idx="13">
                  <c:v>22.804792626728123</c:v>
                </c:pt>
                <c:pt idx="14">
                  <c:v>11.1027397260274</c:v>
                </c:pt>
                <c:pt idx="15">
                  <c:v>32.477635033758425</c:v>
                </c:pt>
                <c:pt idx="16">
                  <c:v>33.650816407805586</c:v>
                </c:pt>
                <c:pt idx="17">
                  <c:v>24.904035148572092</c:v>
                </c:pt>
              </c:numCache>
            </c:numRef>
          </c:val>
          <c:extLst>
            <c:ext xmlns:c16="http://schemas.microsoft.com/office/drawing/2014/chart" uri="{C3380CC4-5D6E-409C-BE32-E72D297353CC}">
              <c16:uniqueId val="{00000001-3CA9-4062-A2E6-2F859ACC0EE9}"/>
            </c:ext>
          </c:extLst>
        </c:ser>
        <c:dLbls>
          <c:showLegendKey val="0"/>
          <c:showVal val="0"/>
          <c:showCatName val="0"/>
          <c:showSerName val="0"/>
          <c:showPercent val="0"/>
          <c:showBubbleSize val="0"/>
        </c:dLbls>
        <c:gapWidth val="219"/>
        <c:overlap val="-27"/>
        <c:axId val="785950224"/>
        <c:axId val="785950880"/>
      </c:barChart>
      <c:catAx>
        <c:axId val="785950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85950880"/>
        <c:crosses val="autoZero"/>
        <c:auto val="1"/>
        <c:lblAlgn val="ctr"/>
        <c:lblOffset val="100"/>
        <c:noMultiLvlLbl val="0"/>
      </c:catAx>
      <c:valAx>
        <c:axId val="7859508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859502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s>
    <c:plotArea>
      <c:layout/>
      <c:barChart>
        <c:barDir val="col"/>
        <c:grouping val="stacked"/>
        <c:varyColors val="0"/>
        <c:ser>
          <c:idx val="0"/>
          <c:order val="0"/>
          <c:tx>
            <c:v>Eau (m3)</c:v>
          </c:tx>
          <c:spPr>
            <a:solidFill>
              <a:schemeClr val="accent1"/>
            </a:solidFill>
            <a:ln>
              <a:noFill/>
            </a:ln>
            <a:effectLst/>
          </c:spPr>
          <c:invertIfNegative val="0"/>
          <c:cat>
            <c:strLit>
              <c:ptCount val="6"/>
              <c:pt idx="0">
                <c:v>2021</c:v>
              </c:pt>
              <c:pt idx="1">
                <c:v>2022</c:v>
              </c:pt>
              <c:pt idx="2">
                <c:v>2023</c:v>
              </c:pt>
              <c:pt idx="3">
                <c:v>2024</c:v>
              </c:pt>
              <c:pt idx="4">
                <c:v>2025</c:v>
              </c:pt>
              <c:pt idx="5">
                <c:v>2026</c:v>
              </c:pt>
            </c:strLit>
          </c:cat>
          <c:val>
            <c:numLit>
              <c:formatCode>General</c:formatCode>
              <c:ptCount val="6"/>
              <c:pt idx="0">
                <c:v>193.05415492957744</c:v>
              </c:pt>
              <c:pt idx="1">
                <c:v>270.03167361502346</c:v>
              </c:pt>
              <c:pt idx="2">
                <c:v>447.81254000000001</c:v>
              </c:pt>
              <c:pt idx="3">
                <c:v>541.26708037225046</c:v>
              </c:pt>
              <c:pt idx="4">
                <c:v>474.84408629441623</c:v>
              </c:pt>
            </c:numLit>
          </c:val>
          <c:extLst>
            <c:ext xmlns:c16="http://schemas.microsoft.com/office/drawing/2014/chart" uri="{C3380CC4-5D6E-409C-BE32-E72D297353CC}">
              <c16:uniqueId val="{00000001-A3FC-4227-AB9D-FA807C92C06A}"/>
            </c:ext>
          </c:extLst>
        </c:ser>
        <c:ser>
          <c:idx val="1"/>
          <c:order val="1"/>
          <c:tx>
            <c:v>Electricité (kWh)</c:v>
          </c:tx>
          <c:spPr>
            <a:solidFill>
              <a:schemeClr val="accent2"/>
            </a:solidFill>
            <a:ln>
              <a:noFill/>
            </a:ln>
            <a:effectLst/>
          </c:spPr>
          <c:invertIfNegative val="0"/>
          <c:cat>
            <c:strLit>
              <c:ptCount val="6"/>
              <c:pt idx="0">
                <c:v>2021</c:v>
              </c:pt>
              <c:pt idx="1">
                <c:v>2022</c:v>
              </c:pt>
              <c:pt idx="2">
                <c:v>2023</c:v>
              </c:pt>
              <c:pt idx="3">
                <c:v>2024</c:v>
              </c:pt>
              <c:pt idx="4">
                <c:v>2025</c:v>
              </c:pt>
              <c:pt idx="5">
                <c:v>2026</c:v>
              </c:pt>
            </c:strLit>
          </c:cat>
          <c:val>
            <c:numLit>
              <c:formatCode>General</c:formatCode>
              <c:ptCount val="6"/>
              <c:pt idx="0">
                <c:v>2211.9139310559053</c:v>
              </c:pt>
              <c:pt idx="1">
                <c:v>2677.2701500397666</c:v>
              </c:pt>
              <c:pt idx="2">
                <c:v>3633.3149617254526</c:v>
              </c:pt>
              <c:pt idx="3">
                <c:v>3745.2847012162929</c:v>
              </c:pt>
              <c:pt idx="4">
                <c:v>3298.4885245901596</c:v>
              </c:pt>
            </c:numLit>
          </c:val>
          <c:extLst>
            <c:ext xmlns:c16="http://schemas.microsoft.com/office/drawing/2014/chart" uri="{C3380CC4-5D6E-409C-BE32-E72D297353CC}">
              <c16:uniqueId val="{00000002-A3FC-4227-AB9D-FA807C92C06A}"/>
            </c:ext>
          </c:extLst>
        </c:ser>
        <c:ser>
          <c:idx val="2"/>
          <c:order val="2"/>
          <c:tx>
            <c:v>Gaz naturel (kWh)</c:v>
          </c:tx>
          <c:spPr>
            <a:solidFill>
              <a:schemeClr val="accent3"/>
            </a:solidFill>
            <a:ln>
              <a:noFill/>
            </a:ln>
            <a:effectLst/>
          </c:spPr>
          <c:invertIfNegative val="0"/>
          <c:cat>
            <c:strLit>
              <c:ptCount val="6"/>
              <c:pt idx="0">
                <c:v>2021</c:v>
              </c:pt>
              <c:pt idx="1">
                <c:v>2022</c:v>
              </c:pt>
              <c:pt idx="2">
                <c:v>2023</c:v>
              </c:pt>
              <c:pt idx="3">
                <c:v>2024</c:v>
              </c:pt>
              <c:pt idx="4">
                <c:v>2025</c:v>
              </c:pt>
              <c:pt idx="5">
                <c:v>2026</c:v>
              </c:pt>
            </c:strLit>
          </c:cat>
          <c:val>
            <c:numLit>
              <c:formatCode>General</c:formatCode>
              <c:ptCount val="6"/>
              <c:pt idx="0">
                <c:v>3817.7570967741949</c:v>
              </c:pt>
              <c:pt idx="1">
                <c:v>3023.9410967741978</c:v>
              </c:pt>
              <c:pt idx="2">
                <c:v>3966.1260000000066</c:v>
              </c:pt>
              <c:pt idx="3">
                <c:v>7555.1829032258001</c:v>
              </c:pt>
              <c:pt idx="4">
                <c:v>7010.7287096774162</c:v>
              </c:pt>
              <c:pt idx="5">
                <c:v>3758.4183870967763</c:v>
              </c:pt>
            </c:numLit>
          </c:val>
          <c:extLst>
            <c:ext xmlns:c16="http://schemas.microsoft.com/office/drawing/2014/chart" uri="{C3380CC4-5D6E-409C-BE32-E72D297353CC}">
              <c16:uniqueId val="{00000003-A3FC-4227-AB9D-FA807C92C06A}"/>
            </c:ext>
          </c:extLst>
        </c:ser>
        <c:dLbls>
          <c:showLegendKey val="0"/>
          <c:showVal val="0"/>
          <c:showCatName val="0"/>
          <c:showSerName val="0"/>
          <c:showPercent val="0"/>
          <c:showBubbleSize val="0"/>
        </c:dLbls>
        <c:gapWidth val="219"/>
        <c:overlap val="100"/>
        <c:axId val="92796071"/>
        <c:axId val="92799023"/>
      </c:barChart>
      <c:catAx>
        <c:axId val="9279607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2799023"/>
        <c:crosses val="autoZero"/>
        <c:auto val="1"/>
        <c:lblAlgn val="ctr"/>
        <c:lblOffset val="100"/>
        <c:noMultiLvlLbl val="0"/>
        <c:extLst>
          <c:ext xmlns:c15="http://schemas.microsoft.com/office/drawing/2012/chart" uri="{F40574EE-89B7-4290-83BB-5DA773EAF853}">
            <c15:numFmt c:formatCode="General" c:sourceLinked="1"/>
          </c:ext>
        </c:extLst>
      </c:catAx>
      <c:valAx>
        <c:axId val="927990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Dépense annuelle</a:t>
                </a:r>
                <a:r>
                  <a:rPr lang="fr-FR" baseline="0"/>
                  <a:t> ( €         /an)</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2796071"/>
        <c:crosses val="autoZero"/>
        <c:crossBetween val="between"/>
        <c:extLst>
          <c:ext xmlns:c15="http://schemas.microsoft.com/office/drawing/2012/chart" uri="{F40574EE-89B7-4290-83BB-5DA773EAF853}">
            <c15:numFmt c:formatCode="General" c:sourceLinked="1"/>
          </c:ext>
        </c:extLs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5="http://schemas.microsoft.com/office/drawing/2012/chart" uri="{723BEF56-08C2-4564-9609-F4CBC75E7E54}">
      <c15:pivotSource>
        <c15:name>[ETE - ANAP - Tableau de bord - Energie et eau - BASE.xlsx]PivotChartTable2</c15:name>
        <c15:fmtId val="0"/>
      </c15:pivotSource>
      <c15:pivotOptions>
        <c15:dropZoneFilter val="1"/>
        <c15:dropZoneSeries val="1"/>
        <c15:dropZonesVisible val="1"/>
      </c15: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circle"/>
          <c:size val="5"/>
          <c:spPr>
            <a:solidFill>
              <a:schemeClr val="accent2"/>
            </a:solidFill>
            <a:ln w="9525">
              <a:solidFill>
                <a:schemeClr val="accent2"/>
              </a:solidFill>
            </a:ln>
            <a:effectLst/>
          </c:spPr>
        </c:marker>
      </c:pivotFmt>
      <c:pivotFmt>
        <c:idx val="2"/>
        <c:spPr>
          <a:ln w="28575" cap="rnd">
            <a:solidFill>
              <a:schemeClr val="accent1"/>
            </a:solidFill>
            <a:round/>
          </a:ln>
          <a:effectLst/>
        </c:spPr>
        <c:marker>
          <c:symbol val="circle"/>
          <c:size val="5"/>
          <c:spPr>
            <a:solidFill>
              <a:schemeClr val="accent3"/>
            </a:solidFill>
            <a:ln w="9525">
              <a:solidFill>
                <a:schemeClr val="accent3"/>
              </a:solidFill>
            </a:ln>
            <a:effectLst/>
          </c:spPr>
        </c:marker>
      </c:pivotFmt>
      <c:pivotFmt>
        <c:idx val="3"/>
        <c:spPr>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s>
    <c:plotArea>
      <c:layout>
        <c:manualLayout>
          <c:layoutTarget val="inner"/>
          <c:xMode val="edge"/>
          <c:yMode val="edge"/>
          <c:x val="0.10734382561370789"/>
          <c:y val="5.0925925925925923E-2"/>
          <c:w val="0.86505115031143087"/>
          <c:h val="0.57693314377369498"/>
        </c:manualLayout>
      </c:layout>
      <c:lineChart>
        <c:grouping val="standard"/>
        <c:varyColors val="0"/>
        <c:ser>
          <c:idx val="0"/>
          <c:order val="0"/>
          <c:tx>
            <c:v>Eau (m3)</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Lit>
              <c:ptCount val="6"/>
              <c:pt idx="0">
                <c:v>2021</c:v>
              </c:pt>
              <c:pt idx="1">
                <c:v>2022</c:v>
              </c:pt>
              <c:pt idx="2">
                <c:v>2023</c:v>
              </c:pt>
              <c:pt idx="3">
                <c:v>2024</c:v>
              </c:pt>
              <c:pt idx="4">
                <c:v>2025</c:v>
              </c:pt>
              <c:pt idx="5">
                <c:v>2026</c:v>
              </c:pt>
            </c:strLit>
          </c:cat>
          <c:val>
            <c:numLit>
              <c:formatCode>General</c:formatCode>
              <c:ptCount val="6"/>
              <c:pt idx="0">
                <c:v>#N/A</c:v>
              </c:pt>
              <c:pt idx="1">
                <c:v>#N/A</c:v>
              </c:pt>
              <c:pt idx="2">
                <c:v>#N/A</c:v>
              </c:pt>
              <c:pt idx="3">
                <c:v>#N/A</c:v>
              </c:pt>
              <c:pt idx="4">
                <c:v>#N/A</c:v>
              </c:pt>
            </c:numLit>
          </c:val>
          <c:smooth val="0"/>
          <c:extLst>
            <c:ext xmlns:c16="http://schemas.microsoft.com/office/drawing/2014/chart" uri="{C3380CC4-5D6E-409C-BE32-E72D297353CC}">
              <c16:uniqueId val="{00000001-807A-4FD2-AF63-1BB4E0C312B0}"/>
            </c:ext>
          </c:extLst>
        </c:ser>
        <c:ser>
          <c:idx val="1"/>
          <c:order val="1"/>
          <c:tx>
            <c:v>Electricité (kWh)</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6"/>
              <c:pt idx="0">
                <c:v>2021</c:v>
              </c:pt>
              <c:pt idx="1">
                <c:v>2022</c:v>
              </c:pt>
              <c:pt idx="2">
                <c:v>2023</c:v>
              </c:pt>
              <c:pt idx="3">
                <c:v>2024</c:v>
              </c:pt>
              <c:pt idx="4">
                <c:v>2025</c:v>
              </c:pt>
              <c:pt idx="5">
                <c:v>2026</c:v>
              </c:pt>
            </c:strLit>
          </c:cat>
          <c:val>
            <c:numLit>
              <c:formatCode>General</c:formatCode>
              <c:ptCount val="6"/>
              <c:pt idx="0">
                <c:v>0.18951791260329287</c:v>
              </c:pt>
              <c:pt idx="1">
                <c:v>0.20248750155834477</c:v>
              </c:pt>
              <c:pt idx="2">
                <c:v>0.2892439826336895</c:v>
              </c:pt>
              <c:pt idx="3">
                <c:v>0.2829931922203322</c:v>
              </c:pt>
              <c:pt idx="4">
                <c:v>0.23904646493447823</c:v>
              </c:pt>
            </c:numLit>
          </c:val>
          <c:smooth val="0"/>
          <c:extLst>
            <c:ext xmlns:c16="http://schemas.microsoft.com/office/drawing/2014/chart" uri="{C3380CC4-5D6E-409C-BE32-E72D297353CC}">
              <c16:uniqueId val="{00000002-807A-4FD2-AF63-1BB4E0C312B0}"/>
            </c:ext>
          </c:extLst>
        </c:ser>
        <c:ser>
          <c:idx val="2"/>
          <c:order val="2"/>
          <c:tx>
            <c:v>Gaz naturel (kWh)</c:v>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Lit>
              <c:ptCount val="6"/>
              <c:pt idx="0">
                <c:v>2021</c:v>
              </c:pt>
              <c:pt idx="1">
                <c:v>2022</c:v>
              </c:pt>
              <c:pt idx="2">
                <c:v>2023</c:v>
              </c:pt>
              <c:pt idx="3">
                <c:v>2024</c:v>
              </c:pt>
              <c:pt idx="4">
                <c:v>2025</c:v>
              </c:pt>
              <c:pt idx="5">
                <c:v>2026</c:v>
              </c:pt>
            </c:strLit>
          </c:cat>
          <c:val>
            <c:numLit>
              <c:formatCode>General</c:formatCode>
              <c:ptCount val="6"/>
              <c:pt idx="0">
                <c:v>7.1208935684902622E-2</c:v>
              </c:pt>
              <c:pt idx="1">
                <c:v>7.4625693348050012E-2</c:v>
              </c:pt>
              <c:pt idx="2">
                <c:v>7.3351325602319634E-2</c:v>
              </c:pt>
              <c:pt idx="3">
                <c:v>0.13324728299393673</c:v>
              </c:pt>
              <c:pt idx="4">
                <c:v>0.1271801098252823</c:v>
              </c:pt>
              <c:pt idx="5">
                <c:v>0.12196454312516311</c:v>
              </c:pt>
            </c:numLit>
          </c:val>
          <c:smooth val="0"/>
          <c:extLst>
            <c:ext xmlns:c16="http://schemas.microsoft.com/office/drawing/2014/chart" uri="{C3380CC4-5D6E-409C-BE32-E72D297353CC}">
              <c16:uniqueId val="{00000003-807A-4FD2-AF63-1BB4E0C312B0}"/>
            </c:ext>
          </c:extLst>
        </c:ser>
        <c:dLbls>
          <c:showLegendKey val="0"/>
          <c:showVal val="0"/>
          <c:showCatName val="0"/>
          <c:showSerName val="0"/>
          <c:showPercent val="0"/>
          <c:showBubbleSize val="0"/>
        </c:dLbls>
        <c:marker val="1"/>
        <c:smooth val="0"/>
        <c:axId val="1172764488"/>
        <c:axId val="1167797424"/>
      </c:lineChart>
      <c:catAx>
        <c:axId val="117276448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67797424"/>
        <c:crosses val="autoZero"/>
        <c:auto val="1"/>
        <c:lblAlgn val="ctr"/>
        <c:lblOffset val="100"/>
        <c:noMultiLvlLbl val="0"/>
        <c:extLst>
          <c:ext xmlns:c15="http://schemas.microsoft.com/office/drawing/2012/chart" uri="{F40574EE-89B7-4290-83BB-5DA773EAF853}">
            <c15:numFmt c:formatCode="General" c:sourceLinked="1"/>
          </c:ext>
        </c:extLst>
      </c:catAx>
      <c:valAx>
        <c:axId val="1167797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Coût unitaire ( €  </a:t>
                </a:r>
                <a:r>
                  <a:rPr lang="fr-FR" baseline="0"/>
                  <a:t>      /kWh)</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72764488"/>
        <c:crosses val="autoZero"/>
        <c:crossBetween val="between"/>
        <c:extLst>
          <c:ext xmlns:c15="http://schemas.microsoft.com/office/drawing/2012/chart" uri="{F40574EE-89B7-4290-83BB-5DA773EAF853}">
            <c15:numFmt c:formatCode="General" c:sourceLinked="1"/>
          </c:ext>
        </c:extLs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extLst>
    <c:ext xmlns:c15="http://schemas.microsoft.com/office/drawing/2012/chart" uri="{723BEF56-08C2-4564-9609-F4CBC75E7E54}">
      <c15:pivotSource>
        <c15:name>[ETE - ANAP - Tableau de bord - Energie et eau - BASE.xlsx]PivotChartTable1</c15:name>
        <c15:fmtId val="0"/>
      </c15:pivotSource>
      <c15:pivotOptions>
        <c15:dropZoneFilter val="1"/>
        <c15:dropZoneSeries val="1"/>
        <c15:dropZonesVisible val="1"/>
      </c15:pivotOptions>
    </c:ext>
    <c:ext xmlns:c16="http://schemas.microsoft.com/office/drawing/2014/chart" uri="{E28EC0CA-F0BB-4C9C-879D-F8772B89E7AC}">
      <c16:pivotOptions16>
        <c16:showExpandCollapseFieldButtons val="1"/>
      </c16:pivotOptions16>
    </c:ext>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dLbls>
          <c:showLegendKey val="0"/>
          <c:showVal val="0"/>
          <c:showCatName val="0"/>
          <c:showSerName val="0"/>
          <c:showPercent val="0"/>
          <c:showBubbleSize val="0"/>
        </c:dLbls>
        <c:marker val="1"/>
        <c:smooth val="0"/>
        <c:axId val="552420800"/>
        <c:axId val="552421456"/>
      </c:lineChart>
      <c:catAx>
        <c:axId val="552420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2421456"/>
        <c:crosses val="autoZero"/>
        <c:auto val="1"/>
        <c:lblAlgn val="ctr"/>
        <c:lblOffset val="100"/>
        <c:noMultiLvlLbl val="0"/>
      </c:catAx>
      <c:valAx>
        <c:axId val="5524214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fr-FR" b="1"/>
                  <a:t>Conso (U)</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24208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049439064460556E-2"/>
          <c:y val="0.13229042895902302"/>
          <c:w val="0.567718541167617"/>
          <c:h val="0.64934352516080929"/>
        </c:manualLayout>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C3AC-4558-B173-1149448E6C9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3AC-4558-B173-1149448E6C94}"/>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C3AC-4558-B173-1149448E6C94}"/>
              </c:ext>
            </c:extLst>
          </c:dPt>
          <c:dPt>
            <c:idx val="3"/>
            <c:bubble3D val="0"/>
            <c:spPr>
              <a:solidFill>
                <a:srgbClr val="CC99FF"/>
              </a:solidFill>
              <a:ln w="19050">
                <a:solidFill>
                  <a:schemeClr val="lt1"/>
                </a:solidFill>
              </a:ln>
              <a:effectLst/>
            </c:spPr>
            <c:extLst>
              <c:ext xmlns:c16="http://schemas.microsoft.com/office/drawing/2014/chart" uri="{C3380CC4-5D6E-409C-BE32-E72D297353CC}">
                <c16:uniqueId val="{00000007-C3AC-4558-B173-1149448E6C94}"/>
              </c:ext>
            </c:extLst>
          </c:dPt>
          <c:dPt>
            <c:idx val="4"/>
            <c:bubble3D val="0"/>
            <c:spPr>
              <a:solidFill>
                <a:srgbClr val="D60093"/>
              </a:solidFill>
              <a:ln w="19050">
                <a:solidFill>
                  <a:schemeClr val="lt1"/>
                </a:solidFill>
              </a:ln>
              <a:effectLst/>
            </c:spPr>
            <c:extLst>
              <c:ext xmlns:c16="http://schemas.microsoft.com/office/drawing/2014/chart" uri="{C3380CC4-5D6E-409C-BE32-E72D297353CC}">
                <c16:uniqueId val="{00000009-C3AC-4558-B173-1149448E6C9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Calcul_Bilan_Energie!$W$23:$W$27</c:f>
              <c:strCache>
                <c:ptCount val="3"/>
                <c:pt idx="0">
                  <c:v>Electricité </c:v>
                </c:pt>
                <c:pt idx="1">
                  <c:v>Bornes IRVE</c:v>
                </c:pt>
                <c:pt idx="2">
                  <c:v>ECS et chauffage</c:v>
                </c:pt>
              </c:strCache>
            </c:strRef>
          </c:cat>
          <c:val>
            <c:numRef>
              <c:f>Calcul_Bilan_Energie!$X$23:$X$27</c:f>
              <c:numCache>
                <c:formatCode>_-* #\ ##0_-;\-* #\ ##0_-;_-* "-"??_-;_-@_-</c:formatCode>
                <c:ptCount val="5"/>
                <c:pt idx="0">
                  <c:v>13798.524590163939</c:v>
                </c:pt>
                <c:pt idx="1">
                  <c:v>0</c:v>
                </c:pt>
                <c:pt idx="2">
                  <c:v>55124.411508282443</c:v>
                </c:pt>
                <c:pt idx="3">
                  <c:v>0</c:v>
                </c:pt>
                <c:pt idx="4">
                  <c:v>0</c:v>
                </c:pt>
              </c:numCache>
            </c:numRef>
          </c:val>
          <c:extLst>
            <c:ext xmlns:c16="http://schemas.microsoft.com/office/drawing/2014/chart" uri="{C3380CC4-5D6E-409C-BE32-E72D297353CC}">
              <c16:uniqueId val="{0000000A-C3AC-4558-B173-1149448E6C94}"/>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[ETE - ANAP - Tableau de bord - Energie et eau - BASE.xlsx]Calcul_Bilan_Energie!TCD_Conso_annuel</c:name>
    <c:fmtId val="3"/>
  </c:pivotSource>
  <c:chart>
    <c:autoTitleDeleted val="1"/>
    <c:pivotFmts>
      <c:pivotFmt>
        <c:idx val="0"/>
        <c:dLbl>
          <c:idx val="0"/>
          <c:showLegendKey val="0"/>
          <c:showVal val="0"/>
          <c:showCatName val="0"/>
          <c:showSerName val="0"/>
          <c:showPercent val="1"/>
          <c:showBubbleSize val="0"/>
          <c:extLst>
            <c:ext xmlns:c15="http://schemas.microsoft.com/office/drawing/2012/chart" uri="{CE6537A1-D6FC-4f65-9D91-7224C49458BB}"/>
          </c:extLst>
        </c:dLbl>
      </c:pivotFmt>
      <c:pivotFmt>
        <c:idx val="1"/>
        <c:dLbl>
          <c:idx val="0"/>
          <c:showLegendKey val="0"/>
          <c:showVal val="0"/>
          <c:showCatName val="0"/>
          <c:showSerName val="0"/>
          <c:showPercent val="1"/>
          <c:showBubbleSize val="0"/>
          <c:extLst>
            <c:ext xmlns:c15="http://schemas.microsoft.com/office/drawing/2012/chart" uri="{CE6537A1-D6FC-4f65-9D91-7224C49458BB}"/>
          </c:extLst>
        </c:dLbl>
      </c:pivotFmt>
      <c:pivotFmt>
        <c:idx val="2"/>
      </c:pivotFmt>
      <c:pivotFmt>
        <c:idx val="3"/>
      </c:pivotFmt>
      <c:pivotFmt>
        <c:idx val="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extLst>
            <c:ext xmlns:c15="http://schemas.microsoft.com/office/drawing/2012/chart" uri="{CE6537A1-D6FC-4f65-9D91-7224C49458BB}"/>
          </c:extLst>
        </c:dLbl>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spPr>
          <a:solidFill>
            <a:schemeClr val="accent1"/>
          </a:solidFill>
          <a:ln w="19050">
            <a:solidFill>
              <a:schemeClr val="lt1"/>
            </a:solidFill>
          </a:ln>
          <a:effectLst/>
        </c:spPr>
      </c:pivotFmt>
      <c:pivotFmt>
        <c:idx val="20"/>
      </c:pivotFmt>
      <c:pivotFmt>
        <c:idx val="21"/>
        <c:spPr>
          <a:solidFill>
            <a:schemeClr val="accent1"/>
          </a:solidFill>
          <a:ln w="19050">
            <a:solidFill>
              <a:schemeClr val="lt1"/>
            </a:solidFill>
          </a:ln>
          <a:effectLst/>
        </c:spPr>
      </c:pivotFmt>
      <c:pivotFmt>
        <c:idx val="22"/>
      </c:pivotFmt>
      <c:pivotFmt>
        <c:idx val="23"/>
      </c:pivotFmt>
      <c:pivotFmt>
        <c:idx val="24"/>
      </c:pivotFmt>
      <c:pivotFmt>
        <c:idx val="25"/>
      </c:pivotFmt>
      <c:pivotFmt>
        <c:idx val="26"/>
      </c:pivotFmt>
      <c:pivotFmt>
        <c:idx val="27"/>
        <c:spPr>
          <a:solidFill>
            <a:schemeClr val="accent1"/>
          </a:solidFill>
          <a:ln w="19050">
            <a:solidFill>
              <a:schemeClr val="lt1"/>
            </a:solidFill>
          </a:ln>
          <a:effectLst/>
        </c:spPr>
      </c:pivotFmt>
      <c:pivotFmt>
        <c:idx val="28"/>
        <c:spPr>
          <a:solidFill>
            <a:schemeClr val="accent1"/>
          </a:solidFill>
          <a:ln w="19050">
            <a:solidFill>
              <a:schemeClr val="lt1"/>
            </a:solidFill>
          </a:ln>
          <a:effectLst/>
        </c:spPr>
      </c:pivotFmt>
      <c:pivotFmt>
        <c:idx val="29"/>
        <c:spPr>
          <a:solidFill>
            <a:schemeClr val="accent1"/>
          </a:solidFill>
          <a:ln w="19050">
            <a:solidFill>
              <a:schemeClr val="lt1"/>
            </a:solidFill>
          </a:ln>
          <a:effectLst/>
        </c:spPr>
      </c:pivotFmt>
      <c:pivotFmt>
        <c:idx val="30"/>
        <c:spPr>
          <a:solidFill>
            <a:schemeClr val="accent1"/>
          </a:solidFill>
          <a:ln w="19050">
            <a:solidFill>
              <a:schemeClr val="lt1"/>
            </a:solidFill>
          </a:ln>
          <a:effectLst/>
        </c:spPr>
      </c:pivotFmt>
    </c:pivotFmts>
    <c:plotArea>
      <c:layout>
        <c:manualLayout>
          <c:layoutTarget val="inner"/>
          <c:xMode val="edge"/>
          <c:yMode val="edge"/>
          <c:x val="0.17823183972507037"/>
          <c:y val="0.1148552895534523"/>
          <c:w val="0.60037085292396009"/>
          <c:h val="0.56196328994229261"/>
        </c:manualLayout>
      </c:layout>
      <c:pieChart>
        <c:varyColors val="1"/>
        <c:ser>
          <c:idx val="0"/>
          <c:order val="0"/>
          <c:tx>
            <c:strRef>
              <c:f>Calcul_Bilan_Energie!$D$5</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AE5-41B4-837E-B4E8521A7F3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AE5-41B4-837E-B4E8521A7F3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Calcul_Bilan_Energie!$C$6:$C$11</c:f>
              <c:multiLvlStrCache>
                <c:ptCount val="2"/>
                <c:lvl>
                  <c:pt idx="0">
                    <c:v>Gaz naturel (kWh)</c:v>
                  </c:pt>
                  <c:pt idx="1">
                    <c:v>Electricité (kWh)</c:v>
                  </c:pt>
                </c:lvl>
                <c:lvl>
                  <c:pt idx="0">
                    <c:v>Chaleur</c:v>
                  </c:pt>
                  <c:pt idx="1">
                    <c:v>Electricité</c:v>
                  </c:pt>
                </c:lvl>
                <c:lvl>
                  <c:pt idx="0">
                    <c:v>Consommation</c:v>
                  </c:pt>
                </c:lvl>
              </c:multiLvlStrCache>
            </c:multiLvlStrRef>
          </c:cat>
          <c:val>
            <c:numRef>
              <c:f>Calcul_Bilan_Energie!$D$6:$D$11</c:f>
              <c:numCache>
                <c:formatCode>General</c:formatCode>
                <c:ptCount val="2"/>
                <c:pt idx="0">
                  <c:v>55124.411508282443</c:v>
                </c:pt>
                <c:pt idx="1">
                  <c:v>13798.524590163954</c:v>
                </c:pt>
              </c:numCache>
            </c:numRef>
          </c:val>
          <c:extLst>
            <c:ext xmlns:c16="http://schemas.microsoft.com/office/drawing/2014/chart" uri="{C3380CC4-5D6E-409C-BE32-E72D297353CC}">
              <c16:uniqueId val="{00000007-E3E4-41A7-97BB-63F95D7499A6}"/>
            </c:ext>
          </c:extLst>
        </c:ser>
        <c:dLbls>
          <c:showLegendKey val="0"/>
          <c:showVal val="1"/>
          <c:showCatName val="0"/>
          <c:showSerName val="0"/>
          <c:showPercent val="0"/>
          <c:showBubbleSize val="0"/>
          <c:showLeaderLines val="1"/>
        </c:dLbls>
        <c:firstSliceAng val="0"/>
      </c:pieChart>
      <c:spPr>
        <a:noFill/>
        <a:ln>
          <a:noFill/>
        </a:ln>
        <a:effectLst/>
      </c:spPr>
    </c:plotArea>
    <c:legend>
      <c:legendPos val="b"/>
      <c:layout>
        <c:manualLayout>
          <c:xMode val="edge"/>
          <c:yMode val="edge"/>
          <c:x val="0"/>
          <c:y val="0.68643347466182114"/>
          <c:w val="0.9"/>
          <c:h val="0.2437114455760777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Categories val="1"/>
        <c14:dropZonesVisible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[ETE - ANAP - Tableau de bord - Energie et eau - BASE.xlsx]Calcul_Bilan_Energie!TCD_Cout_annuel</c:name>
    <c:fmtId val="6"/>
  </c:pivotSource>
  <c:chart>
    <c:autoTitleDeleted val="1"/>
    <c:pivotFmts>
      <c:pivotFmt>
        <c:idx val="0"/>
        <c:dLbl>
          <c:idx val="0"/>
          <c:showLegendKey val="0"/>
          <c:showVal val="0"/>
          <c:showCatName val="0"/>
          <c:showSerName val="0"/>
          <c:showPercent val="1"/>
          <c:showBubbleSize val="0"/>
          <c:extLst>
            <c:ext xmlns:c15="http://schemas.microsoft.com/office/drawing/2012/chart" uri="{CE6537A1-D6FC-4f65-9D91-7224C49458BB}"/>
          </c:extLst>
        </c:dLbl>
      </c:pivotFmt>
      <c:pivotFmt>
        <c:idx val="1"/>
        <c:dLbl>
          <c:idx val="0"/>
          <c:showLegendKey val="0"/>
          <c:showVal val="0"/>
          <c:showCatName val="0"/>
          <c:showSerName val="0"/>
          <c:showPercent val="1"/>
          <c:showBubbleSize val="0"/>
          <c:extLst>
            <c:ext xmlns:c15="http://schemas.microsoft.com/office/drawing/2012/chart" uri="{CE6537A1-D6FC-4f65-9D91-7224C49458BB}"/>
          </c:extLst>
        </c:dLbl>
      </c:pivotFmt>
      <c:pivotFmt>
        <c:idx val="2"/>
      </c:pivotFmt>
      <c:pivotFmt>
        <c:idx val="3"/>
      </c:pivotFmt>
      <c:pivotFmt>
        <c:idx val="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extLst>
            <c:ext xmlns:c15="http://schemas.microsoft.com/office/drawing/2012/chart" uri="{CE6537A1-D6FC-4f65-9D91-7224C49458BB}"/>
          </c:extLst>
        </c:dLbl>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pivotFmt>
      <c:pivotFmt>
        <c:idx val="20"/>
      </c:pivotFmt>
      <c:pivotFmt>
        <c:idx val="21"/>
        <c:spPr>
          <a:solidFill>
            <a:schemeClr val="accent1"/>
          </a:solidFill>
          <a:ln w="19050">
            <a:solidFill>
              <a:schemeClr val="lt1"/>
            </a:solidFill>
          </a:ln>
          <a:effectLst/>
        </c:spPr>
      </c:pivotFmt>
      <c:pivotFmt>
        <c:idx val="22"/>
      </c:pivotFmt>
      <c:pivotFmt>
        <c:idx val="23"/>
        <c:spPr>
          <a:solidFill>
            <a:schemeClr val="accent2"/>
          </a:solidFill>
          <a:ln w="19050">
            <a:solidFill>
              <a:schemeClr val="lt1"/>
            </a:solidFill>
          </a:ln>
          <a:effectLst/>
        </c:spPr>
      </c:pivotFmt>
      <c:pivotFmt>
        <c:idx val="24"/>
      </c:pivotFmt>
      <c:pivotFmt>
        <c:idx val="25"/>
      </c:pivotFmt>
      <c:pivotFmt>
        <c:idx val="26"/>
      </c:pivotFmt>
      <c:pivotFmt>
        <c:idx val="27"/>
      </c:pivotFmt>
      <c:pivotFmt>
        <c:idx val="28"/>
      </c:pivotFmt>
      <c:pivotFmt>
        <c:idx val="29"/>
      </c:pivotFmt>
      <c:pivotFmt>
        <c:idx val="30"/>
      </c:pivotFmt>
      <c:pivotFmt>
        <c:idx val="31"/>
      </c:pivotFmt>
      <c:pivotFmt>
        <c:idx val="32"/>
      </c:pivotFmt>
      <c:pivotFmt>
        <c:idx val="33"/>
        <c:spPr>
          <a:solidFill>
            <a:schemeClr val="accent1"/>
          </a:solidFill>
          <a:ln w="19050">
            <a:solidFill>
              <a:schemeClr val="lt1"/>
            </a:solidFill>
          </a:ln>
          <a:effectLst/>
        </c:spPr>
      </c:pivotFmt>
      <c:pivotFmt>
        <c:idx val="34"/>
        <c:spPr>
          <a:solidFill>
            <a:schemeClr val="accent1"/>
          </a:solidFill>
          <a:ln w="19050">
            <a:solidFill>
              <a:schemeClr val="lt1"/>
            </a:solidFill>
          </a:ln>
          <a:effectLst/>
        </c:spPr>
      </c:pivotFmt>
    </c:pivotFmts>
    <c:plotArea>
      <c:layout>
        <c:manualLayout>
          <c:layoutTarget val="inner"/>
          <c:xMode val="edge"/>
          <c:yMode val="edge"/>
          <c:x val="5.9006197322203489E-2"/>
          <c:y val="0.10320159493373988"/>
          <c:w val="0.58346675533961223"/>
          <c:h val="0.62745124138670383"/>
        </c:manualLayout>
      </c:layout>
      <c:pieChart>
        <c:varyColors val="1"/>
        <c:ser>
          <c:idx val="0"/>
          <c:order val="0"/>
          <c:tx>
            <c:strRef>
              <c:f>Calcul_Bilan_Energie!$I$5</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BE6-45B1-ACA1-3160612FC3DA}"/>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7BE6-45B1-ACA1-3160612FC3DA}"/>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8D95-4942-9005-6AED0D76FAA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Calcul_Bilan_Energie!$H$6:$H$13</c:f>
              <c:multiLvlStrCache>
                <c:ptCount val="3"/>
                <c:lvl>
                  <c:pt idx="0">
                    <c:v>Gaz naturel (kWh)</c:v>
                  </c:pt>
                  <c:pt idx="1">
                    <c:v>Eau (m3)</c:v>
                  </c:pt>
                  <c:pt idx="2">
                    <c:v>Electricité (kWh)</c:v>
                  </c:pt>
                </c:lvl>
                <c:lvl>
                  <c:pt idx="0">
                    <c:v>Chaleur</c:v>
                  </c:pt>
                  <c:pt idx="1">
                    <c:v>Eau</c:v>
                  </c:pt>
                  <c:pt idx="2">
                    <c:v>Electricité</c:v>
                  </c:pt>
                </c:lvl>
                <c:lvl>
                  <c:pt idx="0">
                    <c:v>Consommation</c:v>
                  </c:pt>
                </c:lvl>
              </c:multiLvlStrCache>
            </c:multiLvlStrRef>
          </c:cat>
          <c:val>
            <c:numRef>
              <c:f>Calcul_Bilan_Energie!$I$6:$I$13</c:f>
              <c:numCache>
                <c:formatCode>General</c:formatCode>
                <c:ptCount val="3"/>
                <c:pt idx="0">
                  <c:v>7010.7287096774162</c:v>
                </c:pt>
                <c:pt idx="1">
                  <c:v>474.84408629441623</c:v>
                </c:pt>
                <c:pt idx="2">
                  <c:v>3298.4885245901578</c:v>
                </c:pt>
              </c:numCache>
            </c:numRef>
          </c:val>
          <c:extLst>
            <c:ext xmlns:c16="http://schemas.microsoft.com/office/drawing/2014/chart" uri="{C3380CC4-5D6E-409C-BE32-E72D297353CC}">
              <c16:uniqueId val="{00000007-9437-4547-AE46-FD9DE5F8E02A}"/>
            </c:ext>
          </c:extLst>
        </c:ser>
        <c:dLbls>
          <c:showLegendKey val="0"/>
          <c:showVal val="1"/>
          <c:showCatName val="0"/>
          <c:showSerName val="0"/>
          <c:showPercent val="0"/>
          <c:showBubbleSize val="0"/>
          <c:showLeaderLines val="1"/>
        </c:dLbls>
        <c:firstSliceAng val="0"/>
      </c:pieChart>
      <c:spPr>
        <a:noFill/>
        <a:ln>
          <a:noFill/>
        </a:ln>
        <a:effectLst/>
      </c:spPr>
    </c:plotArea>
    <c:legend>
      <c:legendPos val="b"/>
      <c:layout>
        <c:manualLayout>
          <c:xMode val="edge"/>
          <c:yMode val="edge"/>
          <c:x val="1.9851108868092118E-2"/>
          <c:y val="0.73891249447529972"/>
          <c:w val="0.89999972696916664"/>
          <c:h val="0.2088830017743108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Categories val="1"/>
        <c14:dropZoneSeries val="1"/>
        <c14:dropZonesVisible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6920384951881E-2"/>
          <c:y val="6.5466061074859333E-2"/>
          <c:w val="0.89019685039370078"/>
          <c:h val="0.79687918864510865"/>
        </c:manualLayout>
      </c:layout>
      <c:barChart>
        <c:barDir val="col"/>
        <c:grouping val="stacked"/>
        <c:varyColors val="0"/>
        <c:ser>
          <c:idx val="6"/>
          <c:order val="0"/>
          <c:tx>
            <c:strRef>
              <c:f>'CALCUL DEET'!$C$76</c:f>
              <c:strCache>
                <c:ptCount val="1"/>
                <c:pt idx="0">
                  <c:v>Electricité</c:v>
                </c:pt>
              </c:strCache>
            </c:strRef>
          </c:tx>
          <c:spPr>
            <a:solidFill>
              <a:schemeClr val="accent1"/>
            </a:solidFill>
            <a:ln>
              <a:noFill/>
            </a:ln>
            <a:effectLst/>
          </c:spPr>
          <c:invertIfNegative val="0"/>
          <c:cat>
            <c:numRef>
              <c:f>'CALCUL DEET'!$D$54:$M$54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'CALCUL DEET'!$D$76:$P$76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6CE1-4F4D-9705-7373DBEFF7EA}"/>
            </c:ext>
          </c:extLst>
        </c:ser>
        <c:ser>
          <c:idx val="3"/>
          <c:order val="1"/>
          <c:tx>
            <c:strRef>
              <c:f>'CALCUL DEET'!$C$78</c:f>
              <c:strCache>
                <c:ptCount val="1"/>
                <c:pt idx="0">
                  <c:v>ECS estimée</c:v>
                </c:pt>
              </c:strCache>
            </c:strRef>
          </c:tx>
          <c:spPr>
            <a:solidFill>
              <a:srgbClr val="CC99FF"/>
            </a:solidFill>
            <a:ln>
              <a:noFill/>
            </a:ln>
            <a:effectLst/>
          </c:spPr>
          <c:invertIfNegative val="0"/>
          <c:val>
            <c:numRef>
              <c:f>'CALCUL DEET'!$D$78:$P$78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A5F1-4206-84CF-F55AD35C7E50}"/>
            </c:ext>
          </c:extLst>
        </c:ser>
        <c:ser>
          <c:idx val="7"/>
          <c:order val="2"/>
          <c:tx>
            <c:strRef>
              <c:f>'CALCUL DEET'!$C$79</c:f>
              <c:strCache>
                <c:ptCount val="1"/>
                <c:pt idx="0">
                  <c:v>Chauffage</c:v>
                </c:pt>
              </c:strCache>
            </c:strRef>
          </c:tx>
          <c:spPr>
            <a:solidFill>
              <a:schemeClr val="accent4"/>
            </a:solidFill>
            <a:ln>
              <a:noFill/>
            </a:ln>
            <a:effectLst/>
          </c:spPr>
          <c:invertIfNegative val="0"/>
          <c:cat>
            <c:numRef>
              <c:f>'CALCUL DEET'!$D$54:$M$54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'CALCUL DEET'!$D$79:$P$79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6CE1-4F4D-9705-7373DBEFF7EA}"/>
            </c:ext>
          </c:extLst>
        </c:ser>
        <c:ser>
          <c:idx val="0"/>
          <c:order val="3"/>
          <c:tx>
            <c:strRef>
              <c:f>'CALCUL DEET'!$C$80</c:f>
              <c:strCache>
                <c:ptCount val="1"/>
                <c:pt idx="0">
                  <c:v>Ajust. Chauffage</c:v>
                </c:pt>
              </c:strCache>
            </c:strRef>
          </c:tx>
          <c:spPr>
            <a:solidFill>
              <a:srgbClr val="FF0000"/>
            </a:solidFill>
            <a:ln>
              <a:noFill/>
            </a:ln>
            <a:effectLst/>
          </c:spPr>
          <c:invertIfNegative val="0"/>
          <c:val>
            <c:numRef>
              <c:f>'CALCUL DEET'!$D$80:$P$80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35B2-44EB-8B9F-BC307877722C}"/>
            </c:ext>
          </c:extLst>
        </c:ser>
        <c:ser>
          <c:idx val="1"/>
          <c:order val="4"/>
          <c:tx>
            <c:strRef>
              <c:f>'CALCUL DEET'!$C$81</c:f>
              <c:strCache>
                <c:ptCount val="1"/>
                <c:pt idx="0">
                  <c:v>Ajust. Refroidissement</c:v>
                </c:pt>
              </c:strCache>
            </c:strRef>
          </c:tx>
          <c:spPr>
            <a:solidFill>
              <a:schemeClr val="accent1">
                <a:lumMod val="40000"/>
                <a:lumOff val="60000"/>
              </a:schemeClr>
            </a:solidFill>
            <a:ln>
              <a:noFill/>
            </a:ln>
            <a:effectLst/>
          </c:spPr>
          <c:invertIfNegative val="0"/>
          <c:val>
            <c:numRef>
              <c:f>'CALCUL DEET'!$D$81:$P$81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35B2-44EB-8B9F-BC307877722C}"/>
            </c:ext>
          </c:extLst>
        </c:ser>
        <c:dLbls>
          <c:showLegendKey val="0"/>
          <c:showVal val="0"/>
          <c:showCatName val="0"/>
          <c:showSerName val="0"/>
          <c:showPercent val="0"/>
          <c:showBubbleSize val="0"/>
        </c:dLbls>
        <c:gapWidth val="150"/>
        <c:overlap val="100"/>
        <c:axId val="983358736"/>
        <c:axId val="983362344"/>
      </c:barChart>
      <c:lineChart>
        <c:grouping val="standard"/>
        <c:varyColors val="0"/>
        <c:ser>
          <c:idx val="2"/>
          <c:order val="5"/>
          <c:tx>
            <c:strRef>
              <c:f>'CALCUL DEET'!$C$82</c:f>
              <c:strCache>
                <c:ptCount val="1"/>
                <c:pt idx="0">
                  <c:v>Intensité totale ajustée</c:v>
                </c:pt>
              </c:strCache>
            </c:strRef>
          </c:tx>
          <c:spPr>
            <a:ln w="28575" cap="rnd">
              <a:solidFill>
                <a:schemeClr val="tx1">
                  <a:lumMod val="65000"/>
                  <a:lumOff val="35000"/>
                </a:schemeClr>
              </a:solidFill>
              <a:round/>
            </a:ln>
            <a:effectLst/>
          </c:spPr>
          <c:marker>
            <c:symbol val="circle"/>
            <c:size val="5"/>
            <c:spPr>
              <a:solidFill>
                <a:schemeClr val="tx1">
                  <a:lumMod val="65000"/>
                  <a:lumOff val="35000"/>
                </a:schemeClr>
              </a:solidFill>
              <a:ln w="9525">
                <a:solidFill>
                  <a:schemeClr val="accent3"/>
                </a:solid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'CALCUL DEET'!$D$54:$P$54</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'CALCUL DEET'!$D$82:$P$82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35B2-44EB-8B9F-BC307877722C}"/>
            </c:ext>
          </c:extLst>
        </c:ser>
        <c:dLbls>
          <c:showLegendKey val="0"/>
          <c:showVal val="0"/>
          <c:showCatName val="0"/>
          <c:showSerName val="0"/>
          <c:showPercent val="0"/>
          <c:showBubbleSize val="0"/>
        </c:dLbls>
        <c:marker val="1"/>
        <c:smooth val="0"/>
        <c:axId val="983358736"/>
        <c:axId val="983362344"/>
      </c:lineChart>
      <c:catAx>
        <c:axId val="9833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83362344"/>
        <c:crosses val="autoZero"/>
        <c:auto val="1"/>
        <c:lblAlgn val="ctr"/>
        <c:lblOffset val="100"/>
        <c:noMultiLvlLbl val="0"/>
      </c:catAx>
      <c:valAx>
        <c:axId val="9833623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fr-FR" b="1"/>
                  <a:t>Intensité énergétique</a:t>
                </a:r>
                <a:r>
                  <a:rPr lang="fr-FR" b="1" baseline="0"/>
                  <a:t> (kWh [EF PCI]/m².an)</a:t>
                </a:r>
                <a:endParaRPr lang="fr-FR"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83358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chemeClr val="accent1"/>
            </a:solidFill>
            <a:ln>
              <a:noFill/>
            </a:ln>
            <a:effectLst/>
          </c:spPr>
          <c:invertIfNegative val="0"/>
          <c:cat>
            <c:numRef>
              <c:f>'CALCUL DEET'!$D$54:$P$54</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'CALCUL DEET'!$D$87:$P$87</c:f>
              <c:numCache>
                <c:formatCode>0%</c:formatCode>
                <c:ptCount val="13"/>
                <c:pt idx="0">
                  <c:v>0.17573778942394427</c:v>
                </c:pt>
                <c:pt idx="1">
                  <c:v>0</c:v>
                </c:pt>
                <c:pt idx="2">
                  <c:v>6.0182997551441172E-2</c:v>
                </c:pt>
                <c:pt idx="3">
                  <c:v>8.7675587439322952E-2</c:v>
                </c:pt>
                <c:pt idx="4">
                  <c:v>0</c:v>
                </c:pt>
                <c:pt idx="5">
                  <c:v>0</c:v>
                </c:pt>
                <c:pt idx="6">
                  <c:v>4.0852270286524293E-2</c:v>
                </c:pt>
                <c:pt idx="7">
                  <c:v>0</c:v>
                </c:pt>
                <c:pt idx="8">
                  <c:v>0</c:v>
                </c:pt>
                <c:pt idx="9">
                  <c:v>0</c:v>
                </c:pt>
                <c:pt idx="10">
                  <c:v>0</c:v>
                </c:pt>
                <c:pt idx="11">
                  <c:v>2.9683405644572322E-2</c:v>
                </c:pt>
                <c:pt idx="12">
                  <c:v>0</c:v>
                </c:pt>
              </c:numCache>
            </c:numRef>
          </c:val>
          <c:extLst>
            <c:ext xmlns:c16="http://schemas.microsoft.com/office/drawing/2014/chart" uri="{C3380CC4-5D6E-409C-BE32-E72D297353CC}">
              <c16:uniqueId val="{00000000-E1DC-4205-828F-059D750E0A01}"/>
            </c:ext>
          </c:extLst>
        </c:ser>
        <c:ser>
          <c:idx val="1"/>
          <c:order val="1"/>
          <c:tx>
            <c:v>DJU négatif</c:v>
          </c:tx>
          <c:spPr>
            <a:solidFill>
              <a:srgbClr val="FF0000"/>
            </a:solidFill>
            <a:ln>
              <a:noFill/>
            </a:ln>
            <a:effectLst/>
          </c:spPr>
          <c:invertIfNegative val="0"/>
          <c:cat>
            <c:numRef>
              <c:f>'CALCUL DEET'!$D$54:$P$54</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'CALCUL DEET'!$D$88:$P$88</c:f>
              <c:numCache>
                <c:formatCode>0%</c:formatCode>
                <c:ptCount val="13"/>
                <c:pt idx="0">
                  <c:v>0</c:v>
                </c:pt>
                <c:pt idx="1">
                  <c:v>-8.4153099359938172E-2</c:v>
                </c:pt>
                <c:pt idx="2">
                  <c:v>0</c:v>
                </c:pt>
                <c:pt idx="3">
                  <c:v>0</c:v>
                </c:pt>
                <c:pt idx="4">
                  <c:v>-9.9617681171871683E-2</c:v>
                </c:pt>
                <c:pt idx="5">
                  <c:v>-5.2364792302074865E-2</c:v>
                </c:pt>
                <c:pt idx="6">
                  <c:v>0</c:v>
                </c:pt>
                <c:pt idx="7">
                  <c:v>-3.4752351905150601E-2</c:v>
                </c:pt>
                <c:pt idx="8">
                  <c:v>-2.7020060999183852E-2</c:v>
                </c:pt>
                <c:pt idx="9">
                  <c:v>-2.4872202414193089E-2</c:v>
                </c:pt>
                <c:pt idx="10">
                  <c:v>-9.4892392284892005E-2</c:v>
                </c:pt>
                <c:pt idx="11">
                  <c:v>0</c:v>
                </c:pt>
                <c:pt idx="12">
                  <c:v>-0.10348382662485506</c:v>
                </c:pt>
              </c:numCache>
            </c:numRef>
          </c:val>
          <c:extLst>
            <c:ext xmlns:c16="http://schemas.microsoft.com/office/drawing/2014/chart" uri="{C3380CC4-5D6E-409C-BE32-E72D297353CC}">
              <c16:uniqueId val="{00000001-E1DC-4205-828F-059D750E0A01}"/>
            </c:ext>
          </c:extLst>
        </c:ser>
        <c:dLbls>
          <c:showLegendKey val="0"/>
          <c:showVal val="0"/>
          <c:showCatName val="0"/>
          <c:showSerName val="0"/>
          <c:showPercent val="0"/>
          <c:showBubbleSize val="0"/>
        </c:dLbls>
        <c:gapWidth val="219"/>
        <c:overlap val="100"/>
        <c:axId val="1053368136"/>
        <c:axId val="1053368464"/>
      </c:barChart>
      <c:scatterChart>
        <c:scatterStyle val="lineMarker"/>
        <c:varyColors val="0"/>
        <c:ser>
          <c:idx val="2"/>
          <c:order val="2"/>
          <c:tx>
            <c:v>evenements</c:v>
          </c:tx>
          <c:spPr>
            <a:ln w="25400" cap="rnd">
              <a:noFill/>
              <a:round/>
            </a:ln>
            <a:effectLst/>
          </c:spPr>
          <c:marker>
            <c:symbol val="circle"/>
            <c:size val="5"/>
            <c:spPr>
              <a:solidFill>
                <a:schemeClr val="bg1">
                  <a:alpha val="0"/>
                </a:schemeClr>
              </a:solidFill>
              <a:ln w="9525">
                <a:solidFill>
                  <a:schemeClr val="accent1">
                    <a:alpha val="0"/>
                  </a:schemeClr>
                </a:solidFill>
              </a:ln>
              <a:effectLst/>
            </c:spPr>
          </c:marker>
          <c:dLbls>
            <c:dLbl>
              <c:idx val="0"/>
              <c:tx>
                <c:rich>
                  <a:bodyPr/>
                  <a:lstStyle/>
                  <a:p>
                    <a:fld id="{A75862D0-C5AD-4D9A-9F0A-C72E71FDAF24}" type="CELLRANGE">
                      <a:rPr lang="en-US"/>
                      <a:pPr/>
                      <a:t>[PLAGECELL]</a:t>
                    </a:fld>
                    <a:endParaRPr lang="fr-FR"/>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6B0B-43E6-9645-E3C95267BB19}"/>
                </c:ext>
              </c:extLst>
            </c:dLbl>
            <c:dLbl>
              <c:idx val="1"/>
              <c:layout>
                <c:manualLayout>
                  <c:x val="-5.8779696905340795E-2"/>
                  <c:y val="3.1913544364001477E-2"/>
                </c:manualLayout>
              </c:layout>
              <c:tx>
                <c:rich>
                  <a:bodyPr/>
                  <a:lstStyle/>
                  <a:p>
                    <a:fld id="{B7AEBA13-E940-4E26-98F3-96C146B278A1}" type="CELLRANGE">
                      <a:rPr lang="en-US"/>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6B0B-43E6-9645-E3C95267BB19}"/>
                </c:ext>
              </c:extLst>
            </c:dLbl>
            <c:dLbl>
              <c:idx val="2"/>
              <c:tx>
                <c:rich>
                  <a:bodyPr/>
                  <a:lstStyle/>
                  <a:p>
                    <a:fld id="{ABEB161A-8817-402C-A2A0-6BC0798BDEC5}" type="CELLRANGE">
                      <a:rPr lang="fr-FR"/>
                      <a:pPr/>
                      <a:t>[PLAGECELL]</a:t>
                    </a:fld>
                    <a:endParaRPr lang="fr-FR"/>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6B0B-43E6-9645-E3C95267BB19}"/>
                </c:ext>
              </c:extLst>
            </c:dLbl>
            <c:dLbl>
              <c:idx val="3"/>
              <c:layout>
                <c:manualLayout>
                  <c:x val="-6.0389946715946226E-2"/>
                  <c:y val="5.2047772551920946E-2"/>
                </c:manualLayout>
              </c:layout>
              <c:tx>
                <c:rich>
                  <a:bodyPr/>
                  <a:lstStyle/>
                  <a:p>
                    <a:fld id="{377420F6-A8A2-4245-A367-5E1CFA2086E8}" type="CELLRANGE">
                      <a:rPr lang="en-US"/>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6B0B-43E6-9645-E3C95267BB19}"/>
                </c:ext>
              </c:extLst>
            </c:dLbl>
            <c:dLbl>
              <c:idx val="4"/>
              <c:tx>
                <c:rich>
                  <a:bodyPr/>
                  <a:lstStyle/>
                  <a:p>
                    <a:fld id="{91C78B2E-5BCC-49CD-8AE9-62188D711B99}" type="CELLRANGE">
                      <a:rPr lang="fr-FR"/>
                      <a:pPr/>
                      <a:t>[PLAGECELL]</a:t>
                    </a:fld>
                    <a:endParaRPr lang="fr-FR"/>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6B0B-43E6-9645-E3C95267BB19}"/>
                </c:ext>
              </c:extLst>
            </c:dLbl>
            <c:dLbl>
              <c:idx val="5"/>
              <c:layout>
                <c:manualLayout>
                  <c:x val="-5.5559197284129849E-2"/>
                  <c:y val="3.8624953759974635E-2"/>
                </c:manualLayout>
              </c:layout>
              <c:tx>
                <c:rich>
                  <a:bodyPr/>
                  <a:lstStyle/>
                  <a:p>
                    <a:fld id="{28784B5E-1F9F-4257-94AC-890984FD859E}" type="CELLRANGE">
                      <a:rPr lang="en-US"/>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6B0B-43E6-9645-E3C95267BB19}"/>
                </c:ext>
              </c:extLst>
            </c:dLbl>
            <c:dLbl>
              <c:idx val="6"/>
              <c:tx>
                <c:rich>
                  <a:bodyPr/>
                  <a:lstStyle/>
                  <a:p>
                    <a:fld id="{B0BA1394-C721-4D13-AAFB-EDB3FD15912E}" type="CELLRANGE">
                      <a:rPr lang="fr-FR"/>
                      <a:pPr/>
                      <a:t>[PLAGECELL]</a:t>
                    </a:fld>
                    <a:endParaRPr lang="fr-FR"/>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6B0B-43E6-9645-E3C95267BB19}"/>
                </c:ext>
              </c:extLst>
            </c:dLbl>
            <c:dLbl>
              <c:idx val="7"/>
              <c:layout>
                <c:manualLayout>
                  <c:x val="-6.0389946715946344E-2"/>
                  <c:y val="4.5336363155947787E-2"/>
                </c:manualLayout>
              </c:layout>
              <c:tx>
                <c:rich>
                  <a:bodyPr/>
                  <a:lstStyle/>
                  <a:p>
                    <a:fld id="{E4B96C73-F865-4465-BD33-AD52C2B4AC59}" type="CELLRANGE">
                      <a:rPr lang="en-US"/>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6B0B-43E6-9645-E3C95267BB19}"/>
                </c:ext>
              </c:extLst>
            </c:dLbl>
            <c:dLbl>
              <c:idx val="8"/>
              <c:tx>
                <c:rich>
                  <a:bodyPr/>
                  <a:lstStyle/>
                  <a:p>
                    <a:fld id="{B92FFF87-0B86-49A5-9B21-D05ECA1EF551}" type="CELLRANGE">
                      <a:rPr lang="fr-FR"/>
                      <a:pPr/>
                      <a:t>[PLAGECELL]</a:t>
                    </a:fld>
                    <a:endParaRPr lang="fr-FR"/>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6B0B-43E6-9645-E3C95267BB19}"/>
                </c:ext>
              </c:extLst>
            </c:dLbl>
            <c:dLbl>
              <c:idx val="9"/>
              <c:layout>
                <c:manualLayout>
                  <c:x val="-6.0389946715946226E-2"/>
                  <c:y val="4.5336363155947787E-2"/>
                </c:manualLayout>
              </c:layout>
              <c:tx>
                <c:rich>
                  <a:bodyPr/>
                  <a:lstStyle/>
                  <a:p>
                    <a:fld id="{4827159F-C482-4DE5-AACC-C729D2CCFDF9}" type="CELLRANGE">
                      <a:rPr lang="en-US"/>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6B0B-43E6-9645-E3C95267BB19}"/>
                </c:ext>
              </c:extLst>
            </c:dLbl>
            <c:dLbl>
              <c:idx val="10"/>
              <c:tx>
                <c:rich>
                  <a:bodyPr/>
                  <a:lstStyle/>
                  <a:p>
                    <a:fld id="{9BB4D5D7-2F30-4EE9-B7FD-8990C513F6D7}" type="CELLRANGE">
                      <a:rPr lang="fr-FR"/>
                      <a:pPr/>
                      <a:t>[PLAGECELL]</a:t>
                    </a:fld>
                    <a:endParaRPr lang="fr-FR"/>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11FC-4204-A8EC-9A61843D564D}"/>
                </c:ext>
              </c:extLst>
            </c:dLbl>
            <c:dLbl>
              <c:idx val="11"/>
              <c:layout>
                <c:manualLayout>
                  <c:x val="-6.2000196526551685E-2"/>
                  <c:y val="4.5336363155947787E-2"/>
                </c:manualLayout>
              </c:layout>
              <c:tx>
                <c:rich>
                  <a:bodyPr/>
                  <a:lstStyle/>
                  <a:p>
                    <a:fld id="{2F5697E9-5D5E-4224-9068-562EAEE76B4A}" type="CELLRANGE">
                      <a:rPr lang="en-US"/>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11FC-4204-A8EC-9A61843D564D}"/>
                </c:ext>
              </c:extLst>
            </c:dLbl>
            <c:dLbl>
              <c:idx val="12"/>
              <c:tx>
                <c:rich>
                  <a:bodyPr/>
                  <a:lstStyle/>
                  <a:p>
                    <a:fld id="{4D9A495C-62E8-425C-A434-1B35F8D87D87}" type="CELLRANGE">
                      <a:rPr lang="fr-FR"/>
                      <a:pPr/>
                      <a:t>[PLAGECELL]</a:t>
                    </a:fld>
                    <a:endParaRPr lang="fr-FR"/>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11FC-4204-A8EC-9A61843D564D}"/>
                </c:ext>
              </c:extLst>
            </c:dLbl>
            <c:spPr>
              <a:noFill/>
              <a:ln>
                <a:no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fr-FR"/>
              </a:p>
            </c:txPr>
            <c:dLblPos val="t"/>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DataLabelsRange val="1"/>
                <c15:showLeaderLines val="0"/>
              </c:ext>
            </c:extLst>
          </c:dLbls>
          <c:errBars>
            <c:errDir val="y"/>
            <c:errBarType val="minus"/>
            <c:errValType val="percentage"/>
            <c:noEndCap val="0"/>
            <c:val val="100"/>
            <c:spPr>
              <a:noFill/>
              <a:ln w="9525" cap="flat" cmpd="sng" algn="ctr">
                <a:solidFill>
                  <a:schemeClr val="tx1">
                    <a:lumMod val="65000"/>
                    <a:lumOff val="35000"/>
                  </a:schemeClr>
                </a:solidFill>
                <a:round/>
              </a:ln>
              <a:effectLst/>
            </c:spPr>
          </c:errBars>
          <c:yVal>
            <c:numRef>
              <c:f>'CALCUL DEET'!$D$90:$P$90</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yVal>
          <c:smooth val="0"/>
          <c:extLst>
            <c:ext xmlns:c15="http://schemas.microsoft.com/office/drawing/2012/chart" uri="{02D57815-91ED-43cb-92C2-25804820EDAC}">
              <c15:datalabelsRange>
                <c15:f>'CALCUL DEET'!$D$91:$P$91</c15:f>
                <c15:dlblRangeCache>
                  <c:ptCount val="13"/>
                </c15:dlblRangeCache>
              </c15:datalabelsRange>
            </c:ext>
            <c:ext xmlns:c16="http://schemas.microsoft.com/office/drawing/2014/chart" uri="{C3380CC4-5D6E-409C-BE32-E72D297353CC}">
              <c16:uniqueId val="{00000000-6B0B-43E6-9645-E3C95267BB19}"/>
            </c:ext>
          </c:extLst>
        </c:ser>
        <c:dLbls>
          <c:showLegendKey val="0"/>
          <c:showVal val="0"/>
          <c:showCatName val="0"/>
          <c:showSerName val="0"/>
          <c:showPercent val="0"/>
          <c:showBubbleSize val="0"/>
        </c:dLbls>
        <c:axId val="1053368136"/>
        <c:axId val="1053368464"/>
      </c:scatterChart>
      <c:catAx>
        <c:axId val="1053368136"/>
        <c:scaling>
          <c:orientation val="minMax"/>
        </c:scaling>
        <c:delete val="0"/>
        <c:axPos val="t"/>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53368464"/>
        <c:crosses val="autoZero"/>
        <c:auto val="1"/>
        <c:lblAlgn val="ctr"/>
        <c:lblOffset val="100"/>
        <c:noMultiLvlLbl val="0"/>
      </c:catAx>
      <c:valAx>
        <c:axId val="1053368464"/>
        <c:scaling>
          <c:orientation val="maxMin"/>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fr-FR" b="1"/>
                  <a:t>Variation</a:t>
                </a:r>
                <a:r>
                  <a:rPr lang="fr-FR" b="1" baseline="0"/>
                  <a:t> des DJU (%) </a:t>
                </a:r>
                <a:endParaRPr lang="fr-FR"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5336813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26044115803071"/>
          <c:y val="1.9540293960198924E-2"/>
          <c:w val="0.85851648397335578"/>
          <c:h val="0.76098725789373067"/>
        </c:manualLayout>
      </c:layout>
      <c:areaChart>
        <c:grouping val="standard"/>
        <c:varyColors val="0"/>
        <c:ser>
          <c:idx val="5"/>
          <c:order val="0"/>
          <c:tx>
            <c:strRef>
              <c:f>'CALCUL DEET'!$C$47</c:f>
              <c:strCache>
                <c:ptCount val="1"/>
                <c:pt idx="0">
                  <c:v>INF</c:v>
                </c:pt>
              </c:strCache>
            </c:strRef>
          </c:tx>
          <c:spPr>
            <a:solidFill>
              <a:schemeClr val="bg1">
                <a:lumMod val="85000"/>
              </a:schemeClr>
            </a:solidFill>
            <a:ln>
              <a:noFill/>
            </a:ln>
            <a:effectLst/>
          </c:spPr>
          <c:val>
            <c:numRef>
              <c:f>'CALCUL DEET'!$D$47:$O$47</c:f>
              <c:numCache>
                <c:formatCode>General</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extLst>
            <c:ext xmlns:c16="http://schemas.microsoft.com/office/drawing/2014/chart" uri="{C3380CC4-5D6E-409C-BE32-E72D297353CC}">
              <c16:uniqueId val="{00000000-1F47-40A8-BBA1-F6EE8600AB07}"/>
            </c:ext>
          </c:extLst>
        </c:ser>
        <c:ser>
          <c:idx val="4"/>
          <c:order val="1"/>
          <c:tx>
            <c:strRef>
              <c:f>'CALCUL DEET'!$C$46</c:f>
              <c:strCache>
                <c:ptCount val="1"/>
                <c:pt idx="0">
                  <c:v>Valeur référence</c:v>
                </c:pt>
              </c:strCache>
            </c:strRef>
          </c:tx>
          <c:spPr>
            <a:solidFill>
              <a:schemeClr val="accent2">
                <a:lumMod val="40000"/>
                <a:lumOff val="60000"/>
              </a:schemeClr>
            </a:solidFill>
            <a:ln>
              <a:noFill/>
            </a:ln>
            <a:effectLst/>
          </c:spPr>
          <c:cat>
            <c:strRef>
              <c:f>'CALCUL DEET'!$D$11:$O$11</c:f>
              <c:strCache>
                <c:ptCount val="12"/>
                <c:pt idx="0">
                  <c:v>Année</c:v>
                </c:pt>
                <c:pt idx="1">
                  <c:v>2020</c:v>
                </c:pt>
                <c:pt idx="2">
                  <c:v>2021</c:v>
                </c:pt>
                <c:pt idx="3">
                  <c:v>2022</c:v>
                </c:pt>
                <c:pt idx="4">
                  <c:v>2023</c:v>
                </c:pt>
                <c:pt idx="5">
                  <c:v>2024</c:v>
                </c:pt>
                <c:pt idx="6">
                  <c:v>2025</c:v>
                </c:pt>
                <c:pt idx="7">
                  <c:v>2026</c:v>
                </c:pt>
                <c:pt idx="8">
                  <c:v>2027</c:v>
                </c:pt>
                <c:pt idx="9">
                  <c:v>2028</c:v>
                </c:pt>
                <c:pt idx="10">
                  <c:v>2029</c:v>
                </c:pt>
                <c:pt idx="11">
                  <c:v>2030</c:v>
                </c:pt>
              </c:strCache>
            </c:strRef>
          </c:cat>
          <c:val>
            <c:numRef>
              <c:f>'CALCUL DEET'!$D$46:$O$46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1F47-40A8-BBA1-F6EE8600AB07}"/>
            </c:ext>
          </c:extLst>
        </c:ser>
        <c:ser>
          <c:idx val="3"/>
          <c:order val="2"/>
          <c:tx>
            <c:strRef>
              <c:f>'CALCUL DEET'!$C$45</c:f>
              <c:strCache>
                <c:ptCount val="1"/>
                <c:pt idx="0">
                  <c:v>rampe limite haute</c:v>
                </c:pt>
              </c:strCache>
            </c:strRef>
          </c:tx>
          <c:spPr>
            <a:solidFill>
              <a:schemeClr val="accent6">
                <a:lumMod val="40000"/>
                <a:lumOff val="60000"/>
              </a:schemeClr>
            </a:solidFill>
            <a:ln>
              <a:noFill/>
            </a:ln>
            <a:effectLst/>
          </c:spPr>
          <c:cat>
            <c:strRef>
              <c:f>'CALCUL DEET'!$D$11:$O$11</c:f>
              <c:strCache>
                <c:ptCount val="12"/>
                <c:pt idx="0">
                  <c:v>Année</c:v>
                </c:pt>
                <c:pt idx="1">
                  <c:v>2020</c:v>
                </c:pt>
                <c:pt idx="2">
                  <c:v>2021</c:v>
                </c:pt>
                <c:pt idx="3">
                  <c:v>2022</c:v>
                </c:pt>
                <c:pt idx="4">
                  <c:v>2023</c:v>
                </c:pt>
                <c:pt idx="5">
                  <c:v>2024</c:v>
                </c:pt>
                <c:pt idx="6">
                  <c:v>2025</c:v>
                </c:pt>
                <c:pt idx="7">
                  <c:v>2026</c:v>
                </c:pt>
                <c:pt idx="8">
                  <c:v>2027</c:v>
                </c:pt>
                <c:pt idx="9">
                  <c:v>2028</c:v>
                </c:pt>
                <c:pt idx="10">
                  <c:v>2029</c:v>
                </c:pt>
                <c:pt idx="11">
                  <c:v>2030</c:v>
                </c:pt>
              </c:strCache>
            </c:strRef>
          </c:cat>
          <c:val>
            <c:numRef>
              <c:f>'CALCUL DEET'!$D$45:$O$45</c:f>
              <c:numCache>
                <c:formatCode>_-* #\ ##0.0\ _€_-;\-* #\ ##0.0\ _€_-;_-* \-?\ _€_-;_-@_-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1F47-40A8-BBA1-F6EE8600AB07}"/>
            </c:ext>
          </c:extLst>
        </c:ser>
        <c:ser>
          <c:idx val="2"/>
          <c:order val="3"/>
          <c:tx>
            <c:strRef>
              <c:f>'CALCUL DEET'!$C$44</c:f>
              <c:strCache>
                <c:ptCount val="1"/>
                <c:pt idx="0">
                  <c:v>objectif anuel</c:v>
                </c:pt>
              </c:strCache>
            </c:strRef>
          </c:tx>
          <c:spPr>
            <a:solidFill>
              <a:schemeClr val="accent6">
                <a:lumMod val="40000"/>
                <a:lumOff val="60000"/>
              </a:schemeClr>
            </a:solidFill>
            <a:ln>
              <a:solidFill>
                <a:schemeClr val="tx1"/>
              </a:solidFill>
              <a:prstDash val="dash"/>
            </a:ln>
            <a:effectLst/>
          </c:spPr>
          <c:cat>
            <c:strRef>
              <c:f>'CALCUL DEET'!$D$11:$O$11</c:f>
              <c:strCache>
                <c:ptCount val="12"/>
                <c:pt idx="0">
                  <c:v>Année</c:v>
                </c:pt>
                <c:pt idx="1">
                  <c:v>2020</c:v>
                </c:pt>
                <c:pt idx="2">
                  <c:v>2021</c:v>
                </c:pt>
                <c:pt idx="3">
                  <c:v>2022</c:v>
                </c:pt>
                <c:pt idx="4">
                  <c:v>2023</c:v>
                </c:pt>
                <c:pt idx="5">
                  <c:v>2024</c:v>
                </c:pt>
                <c:pt idx="6">
                  <c:v>2025</c:v>
                </c:pt>
                <c:pt idx="7">
                  <c:v>2026</c:v>
                </c:pt>
                <c:pt idx="8">
                  <c:v>2027</c:v>
                </c:pt>
                <c:pt idx="9">
                  <c:v>2028</c:v>
                </c:pt>
                <c:pt idx="10">
                  <c:v>2029</c:v>
                </c:pt>
                <c:pt idx="11">
                  <c:v>2030</c:v>
                </c:pt>
              </c:strCache>
            </c:strRef>
          </c:cat>
          <c:val>
            <c:numRef>
              <c:f>'CALCUL DEET'!$D$44:$O$44</c:f>
              <c:numCache>
                <c:formatCode>General</c:formatCode>
                <c:ptCount val="12"/>
                <c:pt idx="0">
                  <c:v>0</c:v>
                </c:pt>
                <c:pt idx="1">
                  <c:v>0</c:v>
                </c:pt>
                <c:pt idx="2" formatCode="_-* #\ ##0.0\ _€_-;\-* #\ ##0.0\ _€_-;_-* \-??\ _€_-;_-@_-">
                  <c:v>0</c:v>
                </c:pt>
                <c:pt idx="3" formatCode="_-* #\ ##0.0\ _€_-;\-* #\ ##0.0\ _€_-;_-* \-??\ _€_-;_-@_-">
                  <c:v>0</c:v>
                </c:pt>
                <c:pt idx="4" formatCode="_-* #\ ##0.0\ _€_-;\-* #\ ##0.0\ _€_-;_-* \-??\ _€_-;_-@_-">
                  <c:v>0</c:v>
                </c:pt>
                <c:pt idx="5" formatCode="_-* #\ ##0.0\ _€_-;\-* #\ ##0.0\ _€_-;_-* \-??\ _€_-;_-@_-">
                  <c:v>0</c:v>
                </c:pt>
                <c:pt idx="6" formatCode="_-* #\ ##0.0\ _€_-;\-* #\ ##0.0\ _€_-;_-* \-??\ _€_-;_-@_-">
                  <c:v>0</c:v>
                </c:pt>
                <c:pt idx="7" formatCode="_-* #\ ##0.0\ _€_-;\-* #\ ##0.0\ _€_-;_-* \-??\ _€_-;_-@_-">
                  <c:v>0</c:v>
                </c:pt>
                <c:pt idx="8" formatCode="_-* #\ ##0.0\ _€_-;\-* #\ ##0.0\ _€_-;_-* \-??\ _€_-;_-@_-">
                  <c:v>0</c:v>
                </c:pt>
                <c:pt idx="9" formatCode="_-* #\ ##0.0\ _€_-;\-* #\ ##0.0\ _€_-;_-* \-??\ _€_-;_-@_-">
                  <c:v>0</c:v>
                </c:pt>
                <c:pt idx="10" formatCode="_-* #\ ##0.0\ _€_-;\-* #\ ##0.0\ _€_-;_-* \-??\ _€_-;_-@_-">
                  <c:v>0</c:v>
                </c:pt>
                <c:pt idx="11" formatCode="_-* #\ ##0.0\ _€_-;\-* #\ ##0.0\ _€_-;_-* \-??\ _€_-;_-@_-">
                  <c:v>0</c:v>
                </c:pt>
              </c:numCache>
            </c:numRef>
          </c:val>
          <c:extLst>
            <c:ext xmlns:c16="http://schemas.microsoft.com/office/drawing/2014/chart" uri="{C3380CC4-5D6E-409C-BE32-E72D297353CC}">
              <c16:uniqueId val="{00000003-1F47-40A8-BBA1-F6EE8600AB07}"/>
            </c:ext>
          </c:extLst>
        </c:ser>
        <c:ser>
          <c:idx val="1"/>
          <c:order val="4"/>
          <c:tx>
            <c:strRef>
              <c:f>'CALCUL DEET'!$C$43</c:f>
              <c:strCache>
                <c:ptCount val="1"/>
                <c:pt idx="0">
                  <c:v>rampe limite basse</c:v>
                </c:pt>
              </c:strCache>
            </c:strRef>
          </c:tx>
          <c:spPr>
            <a:solidFill>
              <a:schemeClr val="accent6">
                <a:lumMod val="60000"/>
                <a:lumOff val="40000"/>
              </a:schemeClr>
            </a:solidFill>
            <a:ln>
              <a:noFill/>
            </a:ln>
            <a:effectLst/>
          </c:spPr>
          <c:cat>
            <c:strRef>
              <c:f>'CALCUL DEET'!$D$11:$O$11</c:f>
              <c:strCache>
                <c:ptCount val="12"/>
                <c:pt idx="0">
                  <c:v>Année</c:v>
                </c:pt>
                <c:pt idx="1">
                  <c:v>2020</c:v>
                </c:pt>
                <c:pt idx="2">
                  <c:v>2021</c:v>
                </c:pt>
                <c:pt idx="3">
                  <c:v>2022</c:v>
                </c:pt>
                <c:pt idx="4">
                  <c:v>2023</c:v>
                </c:pt>
                <c:pt idx="5">
                  <c:v>2024</c:v>
                </c:pt>
                <c:pt idx="6">
                  <c:v>2025</c:v>
                </c:pt>
                <c:pt idx="7">
                  <c:v>2026</c:v>
                </c:pt>
                <c:pt idx="8">
                  <c:v>2027</c:v>
                </c:pt>
                <c:pt idx="9">
                  <c:v>2028</c:v>
                </c:pt>
                <c:pt idx="10">
                  <c:v>2029</c:v>
                </c:pt>
                <c:pt idx="11">
                  <c:v>2030</c:v>
                </c:pt>
              </c:strCache>
            </c:strRef>
          </c:cat>
          <c:val>
            <c:numRef>
              <c:f>'CALCUL DEET'!$D$43:$O$43</c:f>
              <c:numCache>
                <c:formatCode>_-* #\ ##0.0\ _€_-;\-* #\ ##0.0\ _€_-;_-* \-?\ _€_-;_-@_-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1F47-40A8-BBA1-F6EE8600AB07}"/>
            </c:ext>
          </c:extLst>
        </c:ser>
        <c:ser>
          <c:idx val="0"/>
          <c:order val="5"/>
          <c:tx>
            <c:strRef>
              <c:f>'CALCUL DEET'!$C$42:$C$43</c:f>
              <c:strCache>
                <c:ptCount val="1"/>
                <c:pt idx="0">
                  <c:v>objectif -40 rampe limite basse</c:v>
                </c:pt>
              </c:strCache>
            </c:strRef>
          </c:tx>
          <c:spPr>
            <a:solidFill>
              <a:schemeClr val="accent6">
                <a:lumMod val="75000"/>
              </a:schemeClr>
            </a:solidFill>
            <a:ln>
              <a:solidFill>
                <a:schemeClr val="tx1"/>
              </a:solidFill>
            </a:ln>
            <a:effectLst/>
          </c:spPr>
          <c:cat>
            <c:strRef>
              <c:f>'CALCUL DEET'!$D$11:$O$11</c:f>
              <c:strCache>
                <c:ptCount val="12"/>
                <c:pt idx="0">
                  <c:v>Année</c:v>
                </c:pt>
                <c:pt idx="1">
                  <c:v>2020</c:v>
                </c:pt>
                <c:pt idx="2">
                  <c:v>2021</c:v>
                </c:pt>
                <c:pt idx="3">
                  <c:v>2022</c:v>
                </c:pt>
                <c:pt idx="4">
                  <c:v>2023</c:v>
                </c:pt>
                <c:pt idx="5">
                  <c:v>2024</c:v>
                </c:pt>
                <c:pt idx="6">
                  <c:v>2025</c:v>
                </c:pt>
                <c:pt idx="7">
                  <c:v>2026</c:v>
                </c:pt>
                <c:pt idx="8">
                  <c:v>2027</c:v>
                </c:pt>
                <c:pt idx="9">
                  <c:v>2028</c:v>
                </c:pt>
                <c:pt idx="10">
                  <c:v>2029</c:v>
                </c:pt>
                <c:pt idx="11">
                  <c:v>2030</c:v>
                </c:pt>
              </c:strCache>
            </c:strRef>
          </c:cat>
          <c:val>
            <c:numRef>
              <c:f>'CALCUL DEET'!$D$42:$O$42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1F47-40A8-BBA1-F6EE8600AB07}"/>
            </c:ext>
          </c:extLst>
        </c:ser>
        <c:dLbls>
          <c:showLegendKey val="0"/>
          <c:showVal val="0"/>
          <c:showCatName val="0"/>
          <c:showSerName val="0"/>
          <c:showPercent val="0"/>
          <c:showBubbleSize val="0"/>
        </c:dLbls>
        <c:axId val="983358736"/>
        <c:axId val="983362344"/>
      </c:areaChart>
      <c:barChart>
        <c:barDir val="col"/>
        <c:grouping val="stacked"/>
        <c:varyColors val="0"/>
        <c:ser>
          <c:idx val="6"/>
          <c:order val="7"/>
          <c:tx>
            <c:strRef>
              <c:f>'CALCUL DEET'!$C$33</c:f>
              <c:strCache>
                <c:ptCount val="1"/>
                <c:pt idx="0">
                  <c:v>Electricité</c:v>
                </c:pt>
              </c:strCache>
            </c:strRef>
          </c:tx>
          <c:spPr>
            <a:solidFill>
              <a:schemeClr val="accent1"/>
            </a:solidFill>
            <a:ln w="25400">
              <a:noFill/>
            </a:ln>
            <a:effectLst/>
          </c:spPr>
          <c:invertIfNegative val="0"/>
          <c:val>
            <c:numRef>
              <c:f>'CALCUL DEET'!$D$33:$O$33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1F47-40A8-BBA1-F6EE8600AB07}"/>
            </c:ext>
          </c:extLst>
        </c:ser>
        <c:ser>
          <c:idx val="12"/>
          <c:order val="8"/>
          <c:tx>
            <c:strRef>
              <c:f>'CALCUL DEET'!$C$35</c:f>
              <c:strCache>
                <c:ptCount val="1"/>
                <c:pt idx="0">
                  <c:v>ECS+Cuisson estimées</c:v>
                </c:pt>
              </c:strCache>
            </c:strRef>
          </c:tx>
          <c:spPr>
            <a:solidFill>
              <a:srgbClr val="CC99FF"/>
            </a:solidFill>
            <a:ln>
              <a:noFill/>
            </a:ln>
            <a:effectLst/>
          </c:spPr>
          <c:invertIfNegative val="0"/>
          <c:val>
            <c:numRef>
              <c:f>'CALCUL DEET'!$D$35:$O$35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7255-4D09-89E4-C79568CC4EB8}"/>
            </c:ext>
          </c:extLst>
        </c:ser>
        <c:ser>
          <c:idx val="7"/>
          <c:order val="9"/>
          <c:tx>
            <c:strRef>
              <c:f>'CALCUL DEET'!$C$36</c:f>
              <c:strCache>
                <c:ptCount val="1"/>
                <c:pt idx="0">
                  <c:v>Chauffage</c:v>
                </c:pt>
              </c:strCache>
            </c:strRef>
          </c:tx>
          <c:spPr>
            <a:solidFill>
              <a:schemeClr val="accent4"/>
            </a:solidFill>
            <a:ln>
              <a:noFill/>
            </a:ln>
            <a:effectLst/>
          </c:spPr>
          <c:invertIfNegative val="0"/>
          <c:val>
            <c:numRef>
              <c:f>'CALCUL DEET'!$D$36:$O$36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1F47-40A8-BBA1-F6EE8600AB07}"/>
            </c:ext>
          </c:extLst>
        </c:ser>
        <c:ser>
          <c:idx val="8"/>
          <c:order val="10"/>
          <c:tx>
            <c:strRef>
              <c:f>'CALCUL DEET'!$C$37</c:f>
              <c:strCache>
                <c:ptCount val="1"/>
                <c:pt idx="0">
                  <c:v>Ajust. Chauffage</c:v>
                </c:pt>
              </c:strCache>
            </c:strRef>
          </c:tx>
          <c:spPr>
            <a:solidFill>
              <a:srgbClr val="FF0000"/>
            </a:solidFill>
            <a:ln>
              <a:noFill/>
            </a:ln>
            <a:effectLst/>
          </c:spPr>
          <c:invertIfNegative val="0"/>
          <c:val>
            <c:numRef>
              <c:f>'CALCUL DEET'!$D$37:$O$37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DA6-4B3C-B4D9-103133D1EC98}"/>
            </c:ext>
          </c:extLst>
        </c:ser>
        <c:ser>
          <c:idx val="9"/>
          <c:order val="11"/>
          <c:tx>
            <c:strRef>
              <c:f>'CALCUL DEET'!$C$38</c:f>
              <c:strCache>
                <c:ptCount val="1"/>
                <c:pt idx="0">
                  <c:v>Ajust. Refroidissement</c:v>
                </c:pt>
              </c:strCache>
            </c:strRef>
          </c:tx>
          <c:spPr>
            <a:solidFill>
              <a:schemeClr val="accent1">
                <a:lumMod val="40000"/>
                <a:lumOff val="60000"/>
              </a:schemeClr>
            </a:solidFill>
            <a:ln>
              <a:noFill/>
            </a:ln>
            <a:effectLst/>
          </c:spPr>
          <c:invertIfNegative val="0"/>
          <c:val>
            <c:numRef>
              <c:f>'CALCUL DEET'!$D$38:$O$38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3DA6-4B3C-B4D9-103133D1EC98}"/>
            </c:ext>
          </c:extLst>
        </c:ser>
        <c:dLbls>
          <c:showLegendKey val="0"/>
          <c:showVal val="0"/>
          <c:showCatName val="0"/>
          <c:showSerName val="0"/>
          <c:showPercent val="0"/>
          <c:showBubbleSize val="0"/>
        </c:dLbls>
        <c:gapWidth val="150"/>
        <c:overlap val="100"/>
        <c:axId val="983358736"/>
        <c:axId val="983362344"/>
      </c:barChart>
      <c:lineChart>
        <c:grouping val="standard"/>
        <c:varyColors val="0"/>
        <c:ser>
          <c:idx val="11"/>
          <c:order val="6"/>
          <c:tx>
            <c:v>Cabs</c:v>
          </c:tx>
          <c:spPr>
            <a:ln w="12700" cap="rnd">
              <a:solidFill>
                <a:srgbClr val="FF0000"/>
              </a:solidFill>
              <a:round/>
            </a:ln>
            <a:effectLst/>
          </c:spPr>
          <c:marker>
            <c:symbol val="none"/>
          </c:marker>
          <c:val>
            <c:numRef>
              <c:f>'CALCUL DEET'!$D$48:$O$48</c:f>
              <c:numCache>
                <c:formatCode>General</c:formatCode>
                <c:ptCount val="12"/>
                <c:pt idx="0">
                  <c:v>#N/A</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83CF-4EB9-81B2-3880E5299E23}"/>
            </c:ext>
          </c:extLst>
        </c:ser>
        <c:ser>
          <c:idx val="10"/>
          <c:order val="12"/>
          <c:tx>
            <c:strRef>
              <c:f>'CALCUL DEET'!$C$39</c:f>
              <c:strCache>
                <c:ptCount val="1"/>
                <c:pt idx="0">
                  <c:v>Intensité totale ajustée</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'CALCUL DEET'!$D$39:$O$39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3DA6-4B3C-B4D9-103133D1EC98}"/>
            </c:ext>
          </c:extLst>
        </c:ser>
        <c:dLbls>
          <c:showLegendKey val="0"/>
          <c:showVal val="0"/>
          <c:showCatName val="0"/>
          <c:showSerName val="0"/>
          <c:showPercent val="0"/>
          <c:showBubbleSize val="0"/>
        </c:dLbls>
        <c:marker val="1"/>
        <c:smooth val="0"/>
        <c:axId val="983358736"/>
        <c:axId val="983362344"/>
      </c:lineChart>
      <c:catAx>
        <c:axId val="9833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83362344"/>
        <c:crosses val="autoZero"/>
        <c:auto val="1"/>
        <c:lblAlgn val="ctr"/>
        <c:lblOffset val="100"/>
        <c:noMultiLvlLbl val="0"/>
      </c:catAx>
      <c:valAx>
        <c:axId val="9833623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fr-FR" b="1"/>
                  <a:t>Intensité énergétique</a:t>
                </a:r>
                <a:r>
                  <a:rPr lang="fr-FR" b="1" baseline="0"/>
                  <a:t> (kWh [EF PCI]/m².an)</a:t>
                </a:r>
                <a:endParaRPr lang="fr-FR"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83358736"/>
        <c:crosses val="autoZero"/>
        <c:crossBetween val="between"/>
      </c:valAx>
      <c:spPr>
        <a:noFill/>
        <a:ln>
          <a:noFill/>
        </a:ln>
        <a:effectLst/>
      </c:spPr>
    </c:plotArea>
    <c:legend>
      <c:legendPos val="b"/>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spPr>
            <a:solidFill>
              <a:schemeClr val="accent1"/>
            </a:solidFill>
            <a:ln>
              <a:noFill/>
            </a:ln>
            <a:effectLst/>
          </c:spPr>
          <c:invertIfNegative val="0"/>
          <c:cat>
            <c:strRef>
              <c:f>'CALCUL DEET'!$D$11:$O$11</c:f>
              <c:strCache>
                <c:ptCount val="12"/>
                <c:pt idx="0">
                  <c:v>Année</c:v>
                </c:pt>
                <c:pt idx="1">
                  <c:v>2020</c:v>
                </c:pt>
                <c:pt idx="2">
                  <c:v>2021</c:v>
                </c:pt>
                <c:pt idx="3">
                  <c:v>2022</c:v>
                </c:pt>
                <c:pt idx="4">
                  <c:v>2023</c:v>
                </c:pt>
                <c:pt idx="5">
                  <c:v>2024</c:v>
                </c:pt>
                <c:pt idx="6">
                  <c:v>2025</c:v>
                </c:pt>
                <c:pt idx="7">
                  <c:v>2026</c:v>
                </c:pt>
                <c:pt idx="8">
                  <c:v>2027</c:v>
                </c:pt>
                <c:pt idx="9">
                  <c:v>2028</c:v>
                </c:pt>
                <c:pt idx="10">
                  <c:v>2029</c:v>
                </c:pt>
                <c:pt idx="11">
                  <c:v>2030</c:v>
                </c:pt>
              </c:strCache>
            </c:strRef>
          </c:cat>
          <c:val>
            <c:numRef>
              <c:f>'CALCUL DEET'!$D$51:$O$51</c:f>
              <c:numCache>
                <c:formatCode>0%</c:formatCode>
                <c:ptCount val="12"/>
                <c:pt idx="0">
                  <c:v>0</c:v>
                </c:pt>
                <c:pt idx="1">
                  <c:v>0</c:v>
                </c:pt>
                <c:pt idx="2">
                  <c:v>2.9683405644572322E-2</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9CB-41E7-8B01-7A3E594CE61C}"/>
            </c:ext>
          </c:extLst>
        </c:ser>
        <c:ser>
          <c:idx val="1"/>
          <c:order val="2"/>
          <c:tx>
            <c:v>DJU négatif</c:v>
          </c:tx>
          <c:spPr>
            <a:solidFill>
              <a:srgbClr val="FF0000"/>
            </a:solidFill>
            <a:ln>
              <a:noFill/>
            </a:ln>
            <a:effectLst/>
          </c:spPr>
          <c:invertIfNegative val="0"/>
          <c:val>
            <c:numRef>
              <c:f>'CALCUL DEET'!$D$52:$O$52</c:f>
              <c:numCache>
                <c:formatCode>0%</c:formatCode>
                <c:ptCount val="12"/>
                <c:pt idx="0">
                  <c:v>0</c:v>
                </c:pt>
                <c:pt idx="1">
                  <c:v>-9.4892392284892005E-2</c:v>
                </c:pt>
                <c:pt idx="2">
                  <c:v>0</c:v>
                </c:pt>
                <c:pt idx="3">
                  <c:v>-0.10348382662485506</c:v>
                </c:pt>
                <c:pt idx="4">
                  <c:v>-0.12925812964474423</c:v>
                </c:pt>
                <c:pt idx="5">
                  <c:v>-7.0406804415997282E-2</c:v>
                </c:pt>
                <c:pt idx="6">
                  <c:v>-7.4272949868980656E-2</c:v>
                </c:pt>
                <c:pt idx="7">
                  <c:v>0</c:v>
                </c:pt>
                <c:pt idx="8">
                  <c:v>0</c:v>
                </c:pt>
                <c:pt idx="9">
                  <c:v>0</c:v>
                </c:pt>
                <c:pt idx="10">
                  <c:v>0</c:v>
                </c:pt>
                <c:pt idx="11">
                  <c:v>0</c:v>
                </c:pt>
              </c:numCache>
            </c:numRef>
          </c:val>
          <c:extLst>
            <c:ext xmlns:c16="http://schemas.microsoft.com/office/drawing/2014/chart" uri="{C3380CC4-5D6E-409C-BE32-E72D297353CC}">
              <c16:uniqueId val="{00000001-19CB-41E7-8B01-7A3E594CE61C}"/>
            </c:ext>
          </c:extLst>
        </c:ser>
        <c:dLbls>
          <c:showLegendKey val="0"/>
          <c:showVal val="0"/>
          <c:showCatName val="0"/>
          <c:showSerName val="0"/>
          <c:showPercent val="0"/>
          <c:showBubbleSize val="0"/>
        </c:dLbls>
        <c:gapWidth val="219"/>
        <c:overlap val="-27"/>
        <c:axId val="1053368136"/>
        <c:axId val="1053368464"/>
      </c:barChart>
      <c:scatterChart>
        <c:scatterStyle val="lineMarker"/>
        <c:varyColors val="0"/>
        <c:ser>
          <c:idx val="2"/>
          <c:order val="0"/>
          <c:tx>
            <c:v>evenements</c:v>
          </c:tx>
          <c:spPr>
            <a:ln w="25400" cap="rnd">
              <a:noFill/>
              <a:round/>
            </a:ln>
            <a:effectLst/>
          </c:spPr>
          <c:marker>
            <c:symbol val="circle"/>
            <c:size val="5"/>
            <c:spPr>
              <a:solidFill>
                <a:schemeClr val="accent1">
                  <a:alpha val="0"/>
                </a:schemeClr>
              </a:solidFill>
              <a:ln w="9525">
                <a:solidFill>
                  <a:schemeClr val="accent1">
                    <a:shade val="50000"/>
                    <a:alpha val="2000"/>
                  </a:schemeClr>
                </a:solidFill>
              </a:ln>
              <a:effectLst/>
            </c:spPr>
          </c:marker>
          <c:dLbls>
            <c:dLbl>
              <c:idx val="0"/>
              <c:tx>
                <c:rich>
                  <a:bodyPr/>
                  <a:lstStyle/>
                  <a:p>
                    <a:fld id="{EE164656-773D-407A-9384-A1D1EA652F2B}" type="CELLRANGE">
                      <a:rPr lang="en-US"/>
                      <a:pPr/>
                      <a:t>[PLAGECELL]</a:t>
                    </a:fld>
                    <a:endParaRPr lang="fr-F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CCDD-44A1-A2A4-CEDBABA35829}"/>
                </c:ext>
              </c:extLst>
            </c:dLbl>
            <c:dLbl>
              <c:idx val="1"/>
              <c:tx>
                <c:rich>
                  <a:bodyPr/>
                  <a:lstStyle/>
                  <a:p>
                    <a:fld id="{5C902778-48D1-4B95-B3AF-64DB562DCACE}" type="CELLRANGE">
                      <a:rPr lang="fr-FR"/>
                      <a:pPr/>
                      <a:t>[PLAGECELL]</a:t>
                    </a:fld>
                    <a:endParaRPr lang="fr-F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CCDD-44A1-A2A4-CEDBABA35829}"/>
                </c:ext>
              </c:extLst>
            </c:dLbl>
            <c:dLbl>
              <c:idx val="2"/>
              <c:tx>
                <c:rich>
                  <a:bodyPr/>
                  <a:lstStyle/>
                  <a:p>
                    <a:fld id="{BD6C63A6-C27F-4AD2-9AA3-784545EE7488}" type="CELLRANGE">
                      <a:rPr lang="fr-FR"/>
                      <a:pPr/>
                      <a:t>[PLAGECELL]</a:t>
                    </a:fld>
                    <a:endParaRPr lang="fr-F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CCDD-44A1-A2A4-CEDBABA35829}"/>
                </c:ext>
              </c:extLst>
            </c:dLbl>
            <c:dLbl>
              <c:idx val="3"/>
              <c:tx>
                <c:rich>
                  <a:bodyPr/>
                  <a:lstStyle/>
                  <a:p>
                    <a:fld id="{70B1BD2A-F07B-4196-8F78-66BE84E8F11E}" type="CELLRANGE">
                      <a:rPr lang="fr-FR"/>
                      <a:pPr/>
                      <a:t>[PLAGECELL]</a:t>
                    </a:fld>
                    <a:endParaRPr lang="fr-F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CCDD-44A1-A2A4-CEDBABA35829}"/>
                </c:ext>
              </c:extLst>
            </c:dLbl>
            <c:dLbl>
              <c:idx val="4"/>
              <c:tx>
                <c:rich>
                  <a:bodyPr/>
                  <a:lstStyle/>
                  <a:p>
                    <a:fld id="{CDFA37D4-8EA2-4393-A7E6-9EFFE1205D25}" type="CELLRANGE">
                      <a:rPr lang="fr-FR"/>
                      <a:pPr/>
                      <a:t>[PLAGECELL]</a:t>
                    </a:fld>
                    <a:endParaRPr lang="fr-F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CCDD-44A1-A2A4-CEDBABA35829}"/>
                </c:ext>
              </c:extLst>
            </c:dLbl>
            <c:dLbl>
              <c:idx val="5"/>
              <c:tx>
                <c:rich>
                  <a:bodyPr/>
                  <a:lstStyle/>
                  <a:p>
                    <a:fld id="{B650DF68-D46F-495C-A8C2-EBA3D98D50AA}" type="CELLRANGE">
                      <a:rPr lang="fr-FR"/>
                      <a:pPr/>
                      <a:t>[PLAGECELL]</a:t>
                    </a:fld>
                    <a:endParaRPr lang="fr-F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CCDD-44A1-A2A4-CEDBABA35829}"/>
                </c:ext>
              </c:extLst>
            </c:dLbl>
            <c:dLbl>
              <c:idx val="6"/>
              <c:tx>
                <c:rich>
                  <a:bodyPr/>
                  <a:lstStyle/>
                  <a:p>
                    <a:fld id="{DF25B5E7-81B3-4EF4-998D-F8AACA480F6E}" type="CELLRANGE">
                      <a:rPr lang="fr-FR"/>
                      <a:pPr/>
                      <a:t>[PLAGECELL]</a:t>
                    </a:fld>
                    <a:endParaRPr lang="fr-F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CCDD-44A1-A2A4-CEDBABA35829}"/>
                </c:ext>
              </c:extLst>
            </c:dLbl>
            <c:dLbl>
              <c:idx val="7"/>
              <c:tx>
                <c:rich>
                  <a:bodyPr/>
                  <a:lstStyle/>
                  <a:p>
                    <a:fld id="{759FE078-01A2-4FAA-BD58-C231DD96576B}" type="CELLRANGE">
                      <a:rPr lang="fr-FR"/>
                      <a:pPr/>
                      <a:t>[PLAGECELL]</a:t>
                    </a:fld>
                    <a:endParaRPr lang="fr-F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CCDD-44A1-A2A4-CEDBABA35829}"/>
                </c:ext>
              </c:extLst>
            </c:dLbl>
            <c:dLbl>
              <c:idx val="8"/>
              <c:tx>
                <c:rich>
                  <a:bodyPr/>
                  <a:lstStyle/>
                  <a:p>
                    <a:fld id="{24B7695A-A360-4818-B473-EDD1833E34E8}" type="CELLRANGE">
                      <a:rPr lang="fr-FR"/>
                      <a:pPr/>
                      <a:t>[PLAGECELL]</a:t>
                    </a:fld>
                    <a:endParaRPr lang="fr-F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CCDD-44A1-A2A4-CEDBABA35829}"/>
                </c:ext>
              </c:extLst>
            </c:dLbl>
            <c:dLbl>
              <c:idx val="9"/>
              <c:tx>
                <c:rich>
                  <a:bodyPr/>
                  <a:lstStyle/>
                  <a:p>
                    <a:fld id="{09ECE46F-E03C-43F9-9605-A2D76F04FDEB}" type="CELLRANGE">
                      <a:rPr lang="fr-FR"/>
                      <a:pPr/>
                      <a:t>[PLAGECELL]</a:t>
                    </a:fld>
                    <a:endParaRPr lang="fr-F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CCDD-44A1-A2A4-CEDBABA35829}"/>
                </c:ext>
              </c:extLst>
            </c:dLbl>
            <c:dLbl>
              <c:idx val="10"/>
              <c:tx>
                <c:rich>
                  <a:bodyPr/>
                  <a:lstStyle/>
                  <a:p>
                    <a:fld id="{20B93B4F-8D99-4FBC-8C5B-314946EE7292}" type="CELLRANGE">
                      <a:rPr lang="fr-FR"/>
                      <a:pPr/>
                      <a:t>[PLAGECELL]</a:t>
                    </a:fld>
                    <a:endParaRPr lang="fr-F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CCDD-44A1-A2A4-CEDBABA35829}"/>
                </c:ext>
              </c:extLst>
            </c:dLbl>
            <c:dLbl>
              <c:idx val="11"/>
              <c:tx>
                <c:rich>
                  <a:bodyPr/>
                  <a:lstStyle/>
                  <a:p>
                    <a:fld id="{941E260A-6DBC-47E5-9880-23382E142AC0}" type="CELLRANGE">
                      <a:rPr lang="fr-FR"/>
                      <a:pPr/>
                      <a:t>[PLAGECELL]</a:t>
                    </a:fld>
                    <a:endParaRPr lang="fr-F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CCDD-44A1-A2A4-CEDBABA35829}"/>
                </c:ext>
              </c:extLst>
            </c:dLbl>
            <c:spPr>
              <a:noFill/>
              <a:ln>
                <a:no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fr-FR"/>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DataLabelsRange val="1"/>
                <c15:showLeaderLines val="1"/>
                <c15:leaderLines>
                  <c:spPr>
                    <a:ln w="9525" cap="flat" cmpd="sng" algn="ctr">
                      <a:solidFill>
                        <a:schemeClr val="tx1">
                          <a:lumMod val="35000"/>
                          <a:lumOff val="65000"/>
                        </a:schemeClr>
                      </a:solidFill>
                      <a:round/>
                    </a:ln>
                    <a:effectLst/>
                  </c:spPr>
                </c15:leaderLines>
              </c:ext>
            </c:extLst>
          </c:dLbls>
          <c:errBars>
            <c:errDir val="y"/>
            <c:errBarType val="minus"/>
            <c:errValType val="percentage"/>
            <c:noEndCap val="0"/>
            <c:val val="100"/>
            <c:spPr>
              <a:noFill/>
              <a:ln w="9525" cap="flat" cmpd="sng" algn="ctr">
                <a:solidFill>
                  <a:schemeClr val="tx1">
                    <a:lumMod val="65000"/>
                    <a:lumOff val="35000"/>
                  </a:schemeClr>
                </a:solidFill>
                <a:round/>
              </a:ln>
              <a:effectLst/>
            </c:spPr>
          </c:errBars>
          <c:yVal>
            <c:numRef>
              <c:f>'CALCUL DEET'!$D$9:$O$9</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5="http://schemas.microsoft.com/office/drawing/2012/chart" uri="{02D57815-91ED-43cb-92C2-25804820EDAC}">
              <c15:datalabelsRange>
                <c15:f>'CALCUL DEET'!$D$10:$O$10</c15:f>
                <c15:dlblRangeCache>
                  <c:ptCount val="12"/>
                </c15:dlblRangeCache>
              </c15:datalabelsRange>
            </c:ext>
            <c:ext xmlns:c16="http://schemas.microsoft.com/office/drawing/2014/chart" uri="{C3380CC4-5D6E-409C-BE32-E72D297353CC}">
              <c16:uniqueId val="{00000000-CCDD-44A1-A2A4-CEDBABA35829}"/>
            </c:ext>
          </c:extLst>
        </c:ser>
        <c:dLbls>
          <c:showLegendKey val="0"/>
          <c:showVal val="0"/>
          <c:showCatName val="0"/>
          <c:showSerName val="0"/>
          <c:showPercent val="0"/>
          <c:showBubbleSize val="0"/>
        </c:dLbls>
        <c:axId val="1053368136"/>
        <c:axId val="1053368464"/>
      </c:scatterChart>
      <c:catAx>
        <c:axId val="1053368136"/>
        <c:scaling>
          <c:orientation val="minMax"/>
        </c:scaling>
        <c:delete val="0"/>
        <c:axPos val="t"/>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53368464"/>
        <c:crosses val="autoZero"/>
        <c:auto val="1"/>
        <c:lblAlgn val="ctr"/>
        <c:lblOffset val="100"/>
        <c:noMultiLvlLbl val="0"/>
      </c:catAx>
      <c:valAx>
        <c:axId val="1053368464"/>
        <c:scaling>
          <c:orientation val="maxMin"/>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b="1"/>
                  <a:t>Variation des DJU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5336813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CalculSuiviMensuel!$C$1</c:f>
              <c:strCache>
                <c:ptCount val="1"/>
                <c:pt idx="0">
                  <c:v>2025</c:v>
                </c:pt>
              </c:strCache>
            </c:strRef>
          </c:tx>
          <c:spPr>
            <a:solidFill>
              <a:schemeClr val="accent2"/>
            </a:solidFill>
            <a:ln>
              <a:noFill/>
            </a:ln>
            <a:effectLst/>
          </c:spPr>
          <c:invertIfNegative val="0"/>
          <c:dLbls>
            <c:dLbl>
              <c:idx val="0"/>
              <c:tx>
                <c:rich>
                  <a:bodyPr/>
                  <a:lstStyle/>
                  <a:p>
                    <a:fld id="{75660D5D-35C5-434B-8477-85B2ABE0DB67}"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734-46BF-B62A-F36DB3276C1B}"/>
                </c:ext>
              </c:extLst>
            </c:dLbl>
            <c:dLbl>
              <c:idx val="1"/>
              <c:tx>
                <c:rich>
                  <a:bodyPr/>
                  <a:lstStyle/>
                  <a:p>
                    <a:fld id="{A0751085-8568-49ED-8C8B-6570E9F98702}"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D734-46BF-B62A-F36DB3276C1B}"/>
                </c:ext>
              </c:extLst>
            </c:dLbl>
            <c:dLbl>
              <c:idx val="2"/>
              <c:tx>
                <c:rich>
                  <a:bodyPr/>
                  <a:lstStyle/>
                  <a:p>
                    <a:fld id="{71A9F3C2-6964-41D6-9424-588A604FDB04}"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D734-46BF-B62A-F36DB3276C1B}"/>
                </c:ext>
              </c:extLst>
            </c:dLbl>
            <c:dLbl>
              <c:idx val="3"/>
              <c:tx>
                <c:rich>
                  <a:bodyPr/>
                  <a:lstStyle/>
                  <a:p>
                    <a:fld id="{6ECFAFC2-7261-4206-ABBA-E76F45E40738}"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D734-46BF-B62A-F36DB3276C1B}"/>
                </c:ext>
              </c:extLst>
            </c:dLbl>
            <c:dLbl>
              <c:idx val="4"/>
              <c:tx>
                <c:rich>
                  <a:bodyPr/>
                  <a:lstStyle/>
                  <a:p>
                    <a:fld id="{B05EFAD7-9D4F-4D35-B952-FEA977A4143D}"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D734-46BF-B62A-F36DB3276C1B}"/>
                </c:ext>
              </c:extLst>
            </c:dLbl>
            <c:dLbl>
              <c:idx val="5"/>
              <c:tx>
                <c:rich>
                  <a:bodyPr/>
                  <a:lstStyle/>
                  <a:p>
                    <a:fld id="{BD800E2A-1C5C-4F27-A2D0-4C1163CD1540}"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D734-46BF-B62A-F36DB3276C1B}"/>
                </c:ext>
              </c:extLst>
            </c:dLbl>
            <c:dLbl>
              <c:idx val="6"/>
              <c:tx>
                <c:rich>
                  <a:bodyPr/>
                  <a:lstStyle/>
                  <a:p>
                    <a:fld id="{E5B743E1-07F5-4346-BF87-BD2112817AF0}"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D734-46BF-B62A-F36DB3276C1B}"/>
                </c:ext>
              </c:extLst>
            </c:dLbl>
            <c:dLbl>
              <c:idx val="7"/>
              <c:tx>
                <c:rich>
                  <a:bodyPr/>
                  <a:lstStyle/>
                  <a:p>
                    <a:fld id="{85A4FAF5-A28A-4883-A472-8ADEEE26A052}"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D734-46BF-B62A-F36DB3276C1B}"/>
                </c:ext>
              </c:extLst>
            </c:dLbl>
            <c:dLbl>
              <c:idx val="8"/>
              <c:tx>
                <c:rich>
                  <a:bodyPr/>
                  <a:lstStyle/>
                  <a:p>
                    <a:fld id="{5B565AEE-DBA8-49D1-B3B8-3433B7709402}"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D734-46BF-B62A-F36DB3276C1B}"/>
                </c:ext>
              </c:extLst>
            </c:dLbl>
            <c:dLbl>
              <c:idx val="9"/>
              <c:tx>
                <c:rich>
                  <a:bodyPr/>
                  <a:lstStyle/>
                  <a:p>
                    <a:fld id="{4C00D5CC-5D17-4CA6-9475-0A61AB3119A1}"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D734-46BF-B62A-F36DB3276C1B}"/>
                </c:ext>
              </c:extLst>
            </c:dLbl>
            <c:dLbl>
              <c:idx val="10"/>
              <c:tx>
                <c:rich>
                  <a:bodyPr/>
                  <a:lstStyle/>
                  <a:p>
                    <a:fld id="{0CDF4967-B4F9-4FAB-9075-0B70405A6E00}"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D734-46BF-B62A-F36DB3276C1B}"/>
                </c:ext>
              </c:extLst>
            </c:dLbl>
            <c:dLbl>
              <c:idx val="11"/>
              <c:tx>
                <c:rich>
                  <a:bodyPr/>
                  <a:lstStyle/>
                  <a:p>
                    <a:fld id="{AE70806A-4AC6-416A-982C-D85C9163C5A9}"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D734-46BF-B62A-F36DB3276C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CalculSuiviMensuel!$D$4:$D$27</c:f>
              <c:strCache>
                <c:ptCount val="24"/>
                <c:pt idx="0">
                  <c:v>janv</c:v>
                </c:pt>
                <c:pt idx="1">
                  <c:v>févr</c:v>
                </c:pt>
                <c:pt idx="2">
                  <c:v>mars</c:v>
                </c:pt>
                <c:pt idx="3">
                  <c:v>avr</c:v>
                </c:pt>
                <c:pt idx="4">
                  <c:v>mai</c:v>
                </c:pt>
                <c:pt idx="5">
                  <c:v>juin</c:v>
                </c:pt>
                <c:pt idx="6">
                  <c:v>juil</c:v>
                </c:pt>
                <c:pt idx="7">
                  <c:v>août</c:v>
                </c:pt>
                <c:pt idx="8">
                  <c:v>sept</c:v>
                </c:pt>
                <c:pt idx="9">
                  <c:v>oct</c:v>
                </c:pt>
                <c:pt idx="10">
                  <c:v>nov</c:v>
                </c:pt>
                <c:pt idx="11">
                  <c:v>déc</c:v>
                </c:pt>
                <c:pt idx="12">
                  <c:v>janv</c:v>
                </c:pt>
                <c:pt idx="13">
                  <c:v>févr</c:v>
                </c:pt>
                <c:pt idx="14">
                  <c:v>mars</c:v>
                </c:pt>
                <c:pt idx="15">
                  <c:v>avr</c:v>
                </c:pt>
                <c:pt idx="16">
                  <c:v>mai</c:v>
                </c:pt>
                <c:pt idx="17">
                  <c:v>juin</c:v>
                </c:pt>
                <c:pt idx="18">
                  <c:v>juil</c:v>
                </c:pt>
                <c:pt idx="19">
                  <c:v>août</c:v>
                </c:pt>
                <c:pt idx="20">
                  <c:v>sept</c:v>
                </c:pt>
                <c:pt idx="21">
                  <c:v>oct</c:v>
                </c:pt>
                <c:pt idx="22">
                  <c:v>nov</c:v>
                </c:pt>
                <c:pt idx="23">
                  <c:v>déc</c:v>
                </c:pt>
              </c:strCache>
            </c:strRef>
          </c:cat>
          <c:val>
            <c:numRef>
              <c:f>CalculSuiviMensuel!$H$4:$H$15</c:f>
              <c:numCache>
                <c:formatCode>0</c:formatCode>
                <c:ptCount val="12"/>
                <c:pt idx="0">
                  <c:v>1.2902364545707139</c:v>
                </c:pt>
                <c:pt idx="1">
                  <c:v>1.148949152542373</c:v>
                </c:pt>
                <c:pt idx="2">
                  <c:v>1.1821750486246172</c:v>
                </c:pt>
                <c:pt idx="3">
                  <c:v>1.1026229508196714</c:v>
                </c:pt>
                <c:pt idx="4">
                  <c:v>1.0774098360655746</c:v>
                </c:pt>
                <c:pt idx="5">
                  <c:v>1.0140983606557386</c:v>
                </c:pt>
                <c:pt idx="6">
                  <c:v>1.0439037546271817</c:v>
                </c:pt>
                <c:pt idx="7">
                  <c:v>1.0420000000000003</c:v>
                </c:pt>
                <c:pt idx="8">
                  <c:v>1.1026864093072448</c:v>
                </c:pt>
                <c:pt idx="9">
                  <c:v>1.1881639344262294</c:v>
                </c:pt>
                <c:pt idx="10">
                  <c:v>1.255043394406943</c:v>
                </c:pt>
                <c:pt idx="11">
                  <c:v>1.3512352941176466</c:v>
                </c:pt>
              </c:numCache>
            </c:numRef>
          </c:val>
          <c:extLst>
            <c:ext xmlns:c15="http://schemas.microsoft.com/office/drawing/2012/chart" uri="{02D57815-91ED-43cb-92C2-25804820EDAC}">
              <c15:datalabelsRange>
                <c15:f>CalculSuiviMensuel!$I$16:$I$27</c15:f>
                <c15:dlblRangeCache>
                  <c:ptCount val="12"/>
                </c15:dlblRangeCache>
              </c15:datalabelsRange>
            </c:ext>
            <c:ext xmlns:c16="http://schemas.microsoft.com/office/drawing/2014/chart" uri="{C3380CC4-5D6E-409C-BE32-E72D297353CC}">
              <c16:uniqueId val="{0000000C-D734-46BF-B62A-F36DB3276C1B}"/>
            </c:ext>
          </c:extLst>
        </c:ser>
        <c:ser>
          <c:idx val="1"/>
          <c:order val="1"/>
          <c:tx>
            <c:strRef>
              <c:f>CalculSuiviMensuel!$C$2</c:f>
              <c:strCache>
                <c:ptCount val="1"/>
                <c:pt idx="0">
                  <c:v>2026</c:v>
                </c:pt>
              </c:strCache>
            </c:strRef>
          </c:tx>
          <c:spPr>
            <a:solidFill>
              <a:schemeClr val="accent4"/>
            </a:solidFill>
            <a:ln>
              <a:noFill/>
            </a:ln>
            <a:effectLst/>
          </c:spPr>
          <c:invertIfNegative val="0"/>
          <c:dLbls>
            <c:delete val="1"/>
          </c:dLbls>
          <c:cat>
            <c:strRef>
              <c:f>CalculSuiviMensuel!$D$4:$D$27</c:f>
              <c:strCache>
                <c:ptCount val="24"/>
                <c:pt idx="0">
                  <c:v>janv</c:v>
                </c:pt>
                <c:pt idx="1">
                  <c:v>févr</c:v>
                </c:pt>
                <c:pt idx="2">
                  <c:v>mars</c:v>
                </c:pt>
                <c:pt idx="3">
                  <c:v>avr</c:v>
                </c:pt>
                <c:pt idx="4">
                  <c:v>mai</c:v>
                </c:pt>
                <c:pt idx="5">
                  <c:v>juin</c:v>
                </c:pt>
                <c:pt idx="6">
                  <c:v>juil</c:v>
                </c:pt>
                <c:pt idx="7">
                  <c:v>août</c:v>
                </c:pt>
                <c:pt idx="8">
                  <c:v>sept</c:v>
                </c:pt>
                <c:pt idx="9">
                  <c:v>oct</c:v>
                </c:pt>
                <c:pt idx="10">
                  <c:v>nov</c:v>
                </c:pt>
                <c:pt idx="11">
                  <c:v>déc</c:v>
                </c:pt>
                <c:pt idx="12">
                  <c:v>janv</c:v>
                </c:pt>
                <c:pt idx="13">
                  <c:v>févr</c:v>
                </c:pt>
                <c:pt idx="14">
                  <c:v>mars</c:v>
                </c:pt>
                <c:pt idx="15">
                  <c:v>avr</c:v>
                </c:pt>
                <c:pt idx="16">
                  <c:v>mai</c:v>
                </c:pt>
                <c:pt idx="17">
                  <c:v>juin</c:v>
                </c:pt>
                <c:pt idx="18">
                  <c:v>juil</c:v>
                </c:pt>
                <c:pt idx="19">
                  <c:v>août</c:v>
                </c:pt>
                <c:pt idx="20">
                  <c:v>sept</c:v>
                </c:pt>
                <c:pt idx="21">
                  <c:v>oct</c:v>
                </c:pt>
                <c:pt idx="22">
                  <c:v>nov</c:v>
                </c:pt>
                <c:pt idx="23">
                  <c:v>déc</c:v>
                </c:pt>
              </c:strCache>
            </c:strRef>
          </c:cat>
          <c:val>
            <c:numRef>
              <c:f>CalculSuiviMensuel!$H$16:$H$27</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D-D734-46BF-B62A-F36DB3276C1B}"/>
            </c:ext>
          </c:extLst>
        </c:ser>
        <c:dLbls>
          <c:showLegendKey val="0"/>
          <c:showVal val="1"/>
          <c:showCatName val="0"/>
          <c:showSerName val="0"/>
          <c:showPercent val="0"/>
          <c:showBubbleSize val="0"/>
        </c:dLbls>
        <c:gapWidth val="72"/>
        <c:overlap val="67"/>
        <c:axId val="33517640"/>
        <c:axId val="33512064"/>
      </c:barChart>
      <c:catAx>
        <c:axId val="33517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3512064"/>
        <c:crosses val="autoZero"/>
        <c:auto val="1"/>
        <c:lblAlgn val="ctr"/>
        <c:lblOffset val="100"/>
        <c:noMultiLvlLbl val="0"/>
      </c:catAx>
      <c:valAx>
        <c:axId val="335120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Conso.</a:t>
                </a:r>
                <a:r>
                  <a:rPr lang="fr-FR" baseline="0"/>
                  <a:t> </a:t>
                </a:r>
                <a:r>
                  <a:rPr lang="fr-FR"/>
                  <a:t>mensuelle EF PCI (MWh)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3517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Style="combo" dx="39" fmlaLink="'CALCUL DEET'!$D$7" fmlaRange="$B$7:$B$20" noThreeD="1" sel="1" val="0"/>
</file>

<file path=xl/ctrlProps/ctrlProp10.xml><?xml version="1.0" encoding="utf-8"?>
<formControlPr xmlns="http://schemas.microsoft.com/office/spreadsheetml/2009/9/main" objectType="Drop" dropStyle="combo" dx="39" fmlaLink="CalculSuiviMensuel!$B$2" fmlaRange="Site!$B$8:$B$28" noThreeD="1" sel="17" val="13"/>
</file>

<file path=xl/ctrlProps/ctrlProp11.xml><?xml version="1.0" encoding="utf-8"?>
<formControlPr xmlns="http://schemas.microsoft.com/office/spreadsheetml/2009/9/main" objectType="Drop" dropStyle="combo" dx="39" fmlaLink="CalculSuiviMensuel!$H$1" fmlaRange="Liste!$S$16:$S$17" noThreeD="1" sel="2" val="0"/>
</file>

<file path=xl/ctrlProps/ctrlProp12.xml><?xml version="1.0" encoding="utf-8"?>
<formControlPr xmlns="http://schemas.microsoft.com/office/spreadsheetml/2009/9/main" objectType="Drop" dropStyle="combo" dx="39" fmlaLink="CalculSuiviMensuel!$H$35" fmlaRange="Liste!$S$16:$S$17" noThreeD="1" sel="1" val="0"/>
</file>

<file path=xl/ctrlProps/ctrlProp2.xml><?xml version="1.0" encoding="utf-8"?>
<formControlPr xmlns="http://schemas.microsoft.com/office/spreadsheetml/2009/9/main" objectType="Drop" dropStyle="combo" dx="39" fmlaLink="Controle_des_données!$B$16" fmlaRange="Liste!$B$38:$B$46" noThreeD="1" sel="3" val="0"/>
</file>

<file path=xl/ctrlProps/ctrlProp3.xml><?xml version="1.0" encoding="utf-8"?>
<formControlPr xmlns="http://schemas.microsoft.com/office/spreadsheetml/2009/9/main" objectType="Drop" dropStyle="combo" dx="39" fmlaLink="'CALCUL DEET'!$R$13" fmlaRange="Site!$B$18:$B$28" noThreeD="1" sel="6" val="0"/>
</file>

<file path=xl/ctrlProps/ctrlProp4.xml><?xml version="1.0" encoding="utf-8"?>
<formControlPr xmlns="http://schemas.microsoft.com/office/spreadsheetml/2009/9/main" objectType="Drop" dropStyle="combo" dx="39" fmlaLink="Controle_des_données!$B$40" fmlaRange="Liste!$Q$15:$Q$17" noThreeD="1" sel="1" val="0"/>
</file>

<file path=xl/ctrlProps/ctrlProp5.xml><?xml version="1.0" encoding="utf-8"?>
<formControlPr xmlns="http://schemas.microsoft.com/office/spreadsheetml/2009/9/main" objectType="Drop" dropStyle="combo" dx="39" fmlaLink="Controle_des_données!$B$42" fmlaRange="Liste!$R$15:$R$18" noThreeD="1" sel="2" val="0"/>
</file>

<file path=xl/ctrlProps/ctrlProp6.xml><?xml version="1.0" encoding="utf-8"?>
<formControlPr xmlns="http://schemas.microsoft.com/office/spreadsheetml/2009/9/main" objectType="Drop" dropStyle="combo" dx="39" fmlaLink="Controle_des_données!$C$43" fmlaRange="Liste!$S$15:$S$18" noThreeD="1" sel="1" val="0"/>
</file>

<file path=xl/ctrlProps/ctrlProp7.xml><?xml version="1.0" encoding="utf-8"?>
<formControlPr xmlns="http://schemas.microsoft.com/office/spreadsheetml/2009/9/main" objectType="Drop" dropStyle="combo" dx="39" fmlaLink="Controle_des_données!$C$44" fmlaRange="Liste!$S$15:$S$17" noThreeD="1" sel="1" val="0"/>
</file>

<file path=xl/ctrlProps/ctrlProp8.xml><?xml version="1.0" encoding="utf-8"?>
<formControlPr xmlns="http://schemas.microsoft.com/office/spreadsheetml/2009/9/main" objectType="Drop" dropStyle="combo" dx="39" fmlaLink="Controle_des_données!$C$33" fmlaRange="Liste!$P$3:$P$7" noThreeD="1" sel="1" val="0"/>
</file>

<file path=xl/ctrlProps/ctrlProp9.xml><?xml version="1.0" encoding="utf-8"?>
<formControlPr xmlns="http://schemas.microsoft.com/office/spreadsheetml/2009/9/main" objectType="Drop" dropStyle="combo" dx="39" fmlaLink="CalculSuiviMensuel!$B$1" fmlaRange="Site!$B$8:$B$28" noThreeD="1" sel="16" val="13"/>
</file>

<file path=xl/drawings/_rels/drawing10.xml.rels><?xml version="1.0" encoding="UTF-8" standalone="yes"?>
<Relationships xmlns="http://schemas.openxmlformats.org/package/2006/relationships"><Relationship Id="rId3" Type="http://schemas.openxmlformats.org/officeDocument/2006/relationships/hyperlink" Target="#Accueil!A1"/><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1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9.xml"/><Relationship Id="rId7" Type="http://schemas.openxmlformats.org/officeDocument/2006/relationships/image" Target="../media/image17.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hyperlink" Target="#Accueil!A1"/><Relationship Id="rId5" Type="http://schemas.openxmlformats.org/officeDocument/2006/relationships/chart" Target="../charts/chart11.xml"/><Relationship Id="rId4"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17.jpeg"/><Relationship Id="rId5" Type="http://schemas.openxmlformats.org/officeDocument/2006/relationships/hyperlink" Target="#Accueil!A1"/><Relationship Id="rId4"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image" Target="../media/image17.jpeg"/><Relationship Id="rId5" Type="http://schemas.openxmlformats.org/officeDocument/2006/relationships/hyperlink" Target="#Accueil!A1"/><Relationship Id="rId4"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image" Target="../media/image2.jpe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hyperlink" Target="#Accueil!A1"/><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hyperlink" Target="#Accueil!A1"/></Relationships>
</file>

<file path=xl/drawings/_rels/drawing2.xml.rels><?xml version="1.0" encoding="UTF-8" standalone="yes"?>
<Relationships xmlns="http://schemas.openxmlformats.org/package/2006/relationships"><Relationship Id="rId8" Type="http://schemas.openxmlformats.org/officeDocument/2006/relationships/hyperlink" Target="#'Suivi DEET'!A1"/><Relationship Id="rId13" Type="http://schemas.openxmlformats.org/officeDocument/2006/relationships/hyperlink" Target="#'D&#233;marche CTEES'!A1"/><Relationship Id="rId3" Type="http://schemas.openxmlformats.org/officeDocument/2006/relationships/hyperlink" Target="#'Surface DEET'!A1"/><Relationship Id="rId7" Type="http://schemas.openxmlformats.org/officeDocument/2006/relationships/hyperlink" Target="#'Choix DEET'!A1"/><Relationship Id="rId12" Type="http://schemas.openxmlformats.org/officeDocument/2006/relationships/hyperlink" Target="#'D&#233;claration OPERAT'!A1"/><Relationship Id="rId2" Type="http://schemas.openxmlformats.org/officeDocument/2006/relationships/image" Target="../media/image2.jpeg"/><Relationship Id="rId16" Type="http://schemas.openxmlformats.org/officeDocument/2006/relationships/image" Target="../media/image3.jpeg"/><Relationship Id="rId1" Type="http://schemas.openxmlformats.org/officeDocument/2006/relationships/image" Target="../media/image1.png"/><Relationship Id="rId6" Type="http://schemas.openxmlformats.org/officeDocument/2006/relationships/hyperlink" Target="#Synth&#232;se!A1"/><Relationship Id="rId11" Type="http://schemas.openxmlformats.org/officeDocument/2006/relationships/hyperlink" Target="#'Co&#251;t Energie'!A1"/><Relationship Id="rId5" Type="http://schemas.openxmlformats.org/officeDocument/2006/relationships/hyperlink" Target="#Site!A1"/><Relationship Id="rId15" Type="http://schemas.openxmlformats.org/officeDocument/2006/relationships/hyperlink" Target="https://www.youtube.com/watch?v=CIDLxJht8es" TargetMode="External"/><Relationship Id="rId10" Type="http://schemas.openxmlformats.org/officeDocument/2006/relationships/hyperlink" Target="#'Suivi Compteur'!A1"/><Relationship Id="rId4" Type="http://schemas.openxmlformats.org/officeDocument/2006/relationships/hyperlink" Target="#DJU!A1"/><Relationship Id="rId9" Type="http://schemas.openxmlformats.org/officeDocument/2006/relationships/hyperlink" Target="#'Suivi Mensuel'!A1"/><Relationship Id="rId14" Type="http://schemas.openxmlformats.org/officeDocument/2006/relationships/hyperlink" Target="#'Reporting CTEES'!A1"/></Relationships>
</file>

<file path=xl/drawings/_rels/drawing20.xml.rels><?xml version="1.0" encoding="UTF-8" standalone="yes"?>
<Relationships xmlns="http://schemas.openxmlformats.org/package/2006/relationships"><Relationship Id="rId2" Type="http://schemas.openxmlformats.org/officeDocument/2006/relationships/hyperlink" Target="https://app-anap.shinyapps.io/optiturpe_1/" TargetMode="External"/><Relationship Id="rId1" Type="http://schemas.openxmlformats.org/officeDocument/2006/relationships/hyperlink" Target="#Site!A1"/></Relationships>
</file>

<file path=xl/drawings/_rels/drawing21.xml.rels><?xml version="1.0" encoding="UTF-8" standalone="yes"?>
<Relationships xmlns="http://schemas.openxmlformats.org/package/2006/relationships"><Relationship Id="rId1" Type="http://schemas.openxmlformats.org/officeDocument/2006/relationships/hyperlink" Target="#Site!A1"/></Relationships>
</file>

<file path=xl/drawings/_rels/drawing22.xml.rels><?xml version="1.0" encoding="UTF-8" standalone="yes"?>
<Relationships xmlns="http://schemas.openxmlformats.org/package/2006/relationships"><Relationship Id="rId1" Type="http://schemas.openxmlformats.org/officeDocument/2006/relationships/hyperlink" Target="#Site!A1"/></Relationships>
</file>

<file path=xl/drawings/_rels/drawing23.xml.rels><?xml version="1.0" encoding="UTF-8" standalone="yes"?>
<Relationships xmlns="http://schemas.openxmlformats.org/package/2006/relationships"><Relationship Id="rId1" Type="http://schemas.openxmlformats.org/officeDocument/2006/relationships/hyperlink" Target="#Site!A1"/></Relationships>
</file>

<file path=xl/drawings/_rels/drawing24.xml.rels><?xml version="1.0" encoding="UTF-8" standalone="yes"?>
<Relationships xmlns="http://schemas.openxmlformats.org/package/2006/relationships"><Relationship Id="rId1" Type="http://schemas.openxmlformats.org/officeDocument/2006/relationships/hyperlink" Target="#Site!A1"/></Relationships>
</file>

<file path=xl/drawings/_rels/drawing25.xml.rels><?xml version="1.0" encoding="UTF-8" standalone="yes"?>
<Relationships xmlns="http://schemas.openxmlformats.org/package/2006/relationships"><Relationship Id="rId1" Type="http://schemas.openxmlformats.org/officeDocument/2006/relationships/hyperlink" Target="#Site!A1"/></Relationships>
</file>

<file path=xl/drawings/_rels/drawing26.xml.rels><?xml version="1.0" encoding="UTF-8" standalone="yes"?>
<Relationships xmlns="http://schemas.openxmlformats.org/package/2006/relationships"><Relationship Id="rId1" Type="http://schemas.openxmlformats.org/officeDocument/2006/relationships/hyperlink" Target="#Site!A1"/></Relationships>
</file>

<file path=xl/drawings/_rels/drawing27.xml.rels><?xml version="1.0" encoding="UTF-8" standalone="yes"?>
<Relationships xmlns="http://schemas.openxmlformats.org/package/2006/relationships"><Relationship Id="rId1" Type="http://schemas.openxmlformats.org/officeDocument/2006/relationships/hyperlink" Target="#Site!A1"/></Relationships>
</file>

<file path=xl/drawings/_rels/drawing28.xml.rels><?xml version="1.0" encoding="UTF-8" standalone="yes"?>
<Relationships xmlns="http://schemas.openxmlformats.org/package/2006/relationships"><Relationship Id="rId1" Type="http://schemas.openxmlformats.org/officeDocument/2006/relationships/image" Target="../media/image20.png"/></Relationships>
</file>

<file path=xl/drawings/_rels/drawing3.xml.rels><?xml version="1.0" encoding="UTF-8" standalone="yes"?>
<Relationships xmlns="http://schemas.openxmlformats.org/package/2006/relationships"><Relationship Id="rId3" Type="http://schemas.openxmlformats.org/officeDocument/2006/relationships/hyperlink" Target="https://www.youtube.com/watch?v=CIDLxJht8es&amp;t=180s" TargetMode="External"/><Relationship Id="rId2" Type="http://schemas.openxmlformats.org/officeDocument/2006/relationships/hyperlink" Target="#Accueil!A1"/><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hyperlink" Target="https://app-anap.shinyapps.io/shinydju/" TargetMode="External"/><Relationship Id="rId2" Type="http://schemas.openxmlformats.org/officeDocument/2006/relationships/hyperlink" Target="#Site!A1"/><Relationship Id="rId1" Type="http://schemas.openxmlformats.org/officeDocument/2006/relationships/hyperlink" Target="https://www.youtube.com/watch?v=CIDLxJht8es&amp;t=394s" TargetMode="External"/><Relationship Id="rId4" Type="http://schemas.openxmlformats.org/officeDocument/2006/relationships/hyperlink" Target="#Accueil!A1"/></Relationships>
</file>

<file path=xl/drawings/_rels/drawing5.xml.rels><?xml version="1.0" encoding="UTF-8" standalone="yes"?>
<Relationships xmlns="http://schemas.openxmlformats.org/package/2006/relationships"><Relationship Id="rId8" Type="http://schemas.openxmlformats.org/officeDocument/2006/relationships/hyperlink" Target="#Compteur_3!A1"/><Relationship Id="rId13" Type="http://schemas.openxmlformats.org/officeDocument/2006/relationships/hyperlink" Target="#Compteur_8!A1"/><Relationship Id="rId3" Type="http://schemas.openxmlformats.org/officeDocument/2006/relationships/hyperlink" Target="https://www.youtube.com/watch?v=CIDLxJht8es&amp;t=107s" TargetMode="External"/><Relationship Id="rId7" Type="http://schemas.openxmlformats.org/officeDocument/2006/relationships/hyperlink" Target="#Compteur_2!A1"/><Relationship Id="rId12" Type="http://schemas.openxmlformats.org/officeDocument/2006/relationships/hyperlink" Target="#Compteur_7!A1"/><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hyperlink" Target="#Compteur_1!A1"/><Relationship Id="rId11" Type="http://schemas.openxmlformats.org/officeDocument/2006/relationships/hyperlink" Target="#Compteur_6!A1"/><Relationship Id="rId5" Type="http://schemas.openxmlformats.org/officeDocument/2006/relationships/hyperlink" Target="#DJU!A1"/><Relationship Id="rId15" Type="http://schemas.openxmlformats.org/officeDocument/2006/relationships/image" Target="../media/image3.jpeg"/><Relationship Id="rId10" Type="http://schemas.openxmlformats.org/officeDocument/2006/relationships/hyperlink" Target="#Compteur_5!A1"/><Relationship Id="rId4" Type="http://schemas.openxmlformats.org/officeDocument/2006/relationships/hyperlink" Target="https://www.mapes-pdl.fr/outils-et-documentations/conseiller-energie-partage/" TargetMode="External"/><Relationship Id="rId9" Type="http://schemas.openxmlformats.org/officeDocument/2006/relationships/hyperlink" Target="#Compteur_4!A1"/><Relationship Id="rId14" Type="http://schemas.openxmlformats.org/officeDocument/2006/relationships/hyperlink" Target="#Accueil!A1"/></Relationships>
</file>

<file path=xl/drawings/_rels/drawing6.xml.rels><?xml version="1.0" encoding="UTF-8" standalone="yes"?>
<Relationships xmlns="http://schemas.openxmlformats.org/package/2006/relationships"><Relationship Id="rId8" Type="http://schemas.openxmlformats.org/officeDocument/2006/relationships/hyperlink" Target="https://teo-paysdelaloire.fr/tableau-de-bord/actions-medico-social-sanitaire/" TargetMode="External"/><Relationship Id="rId13" Type="http://schemas.openxmlformats.org/officeDocument/2006/relationships/hyperlink" Target="#Accueil!A1"/><Relationship Id="rId3" Type="http://schemas.openxmlformats.org/officeDocument/2006/relationships/image" Target="../media/image7.jpeg"/><Relationship Id="rId7" Type="http://schemas.openxmlformats.org/officeDocument/2006/relationships/image" Target="../media/image8.png"/><Relationship Id="rId12" Type="http://schemas.openxmlformats.org/officeDocument/2006/relationships/hyperlink" Target="#Synth&#232;se!A1"/><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chart" Target="../charts/chart1.xml"/><Relationship Id="rId11" Type="http://schemas.openxmlformats.org/officeDocument/2006/relationships/chart" Target="../charts/chart4.xml"/><Relationship Id="rId5" Type="http://schemas.openxmlformats.org/officeDocument/2006/relationships/image" Target="../media/image2.jpeg"/><Relationship Id="rId10" Type="http://schemas.openxmlformats.org/officeDocument/2006/relationships/chart" Target="../charts/chart3.xml"/><Relationship Id="rId4" Type="http://schemas.openxmlformats.org/officeDocument/2006/relationships/image" Target="../media/image1.png"/><Relationship Id="rId9" Type="http://schemas.openxmlformats.org/officeDocument/2006/relationships/chart" Target="../charts/chart2.xml"/><Relationship Id="rId14"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chart" Target="../charts/chart5.xml"/><Relationship Id="rId6" Type="http://schemas.openxmlformats.org/officeDocument/2006/relationships/image" Target="../media/image9.jpeg"/><Relationship Id="rId5" Type="http://schemas.openxmlformats.org/officeDocument/2006/relationships/hyperlink" Target="#Accueil!A1"/><Relationship Id="rId4" Type="http://schemas.openxmlformats.org/officeDocument/2006/relationships/chart" Target="../charts/chart6.xml"/></Relationships>
</file>

<file path=xl/drawings/_rels/drawing9.xml.rels><?xml version="1.0" encoding="UTF-8" standalone="yes"?>
<Relationships xmlns="http://schemas.openxmlformats.org/package/2006/relationships"><Relationship Id="rId8" Type="http://schemas.openxmlformats.org/officeDocument/2006/relationships/hyperlink" Target="#Accueil!A1"/><Relationship Id="rId3" Type="http://schemas.openxmlformats.org/officeDocument/2006/relationships/image" Target="../media/image11.png"/><Relationship Id="rId7" Type="http://schemas.openxmlformats.org/officeDocument/2006/relationships/chart" Target="../charts/chart8.xml"/><Relationship Id="rId2" Type="http://schemas.openxmlformats.org/officeDocument/2006/relationships/image" Target="../media/image10.png"/><Relationship Id="rId1" Type="http://schemas.openxmlformats.org/officeDocument/2006/relationships/chart" Target="../charts/chart7.xml"/><Relationship Id="rId6" Type="http://schemas.openxmlformats.org/officeDocument/2006/relationships/image" Target="../media/image14.png"/><Relationship Id="rId11" Type="http://schemas.openxmlformats.org/officeDocument/2006/relationships/image" Target="../media/image1.png"/><Relationship Id="rId5" Type="http://schemas.openxmlformats.org/officeDocument/2006/relationships/image" Target="../media/image13.png"/><Relationship Id="rId10" Type="http://schemas.openxmlformats.org/officeDocument/2006/relationships/image" Target="../media/image2.jpeg"/><Relationship Id="rId4" Type="http://schemas.openxmlformats.org/officeDocument/2006/relationships/image" Target="../media/image12.png"/><Relationship Id="rId9"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editAs="oneCell">
    <xdr:from>
      <xdr:col>12</xdr:col>
      <xdr:colOff>171450</xdr:colOff>
      <xdr:row>25</xdr:row>
      <xdr:rowOff>123825</xdr:rowOff>
    </xdr:from>
    <xdr:to>
      <xdr:col>17</xdr:col>
      <xdr:colOff>180971</xdr:colOff>
      <xdr:row>38</xdr:row>
      <xdr:rowOff>114300</xdr:rowOff>
    </xdr:to>
    <mc:AlternateContent xmlns:mc="http://schemas.openxmlformats.org/markup-compatibility/2006" xmlns:a14="http://schemas.microsoft.com/office/drawing/2010/main">
      <mc:Choice Requires="a14">
        <xdr:graphicFrame macro="">
          <xdr:nvGraphicFramePr>
            <xdr:cNvPr id="4" name="Département">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microsoft.com/office/drawing/2010/slicer">
              <sle:slicer xmlns:sle="http://schemas.microsoft.com/office/drawing/2010/slicer" name="Département"/>
            </a:graphicData>
          </a:graphic>
        </xdr:graphicFrame>
      </mc:Choice>
      <mc:Fallback xmlns="">
        <xdr:sp macro="" textlink="">
          <xdr:nvSpPr>
            <xdr:cNvPr id="0" name=""/>
            <xdr:cNvSpPr>
              <a:spLocks noTextEdit="1"/>
            </xdr:cNvSpPr>
          </xdr:nvSpPr>
          <xdr:spPr>
            <a:xfrm>
              <a:off x="9610725" y="5410200"/>
              <a:ext cx="1828800" cy="2524125"/>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editAs="oneCell">
    <xdr:from>
      <xdr:col>6</xdr:col>
      <xdr:colOff>685800</xdr:colOff>
      <xdr:row>25</xdr:row>
      <xdr:rowOff>133350</xdr:rowOff>
    </xdr:from>
    <xdr:to>
      <xdr:col>9</xdr:col>
      <xdr:colOff>104773</xdr:colOff>
      <xdr:row>38</xdr:row>
      <xdr:rowOff>130175</xdr:rowOff>
    </xdr:to>
    <mc:AlternateContent xmlns:mc="http://schemas.openxmlformats.org/markup-compatibility/2006" xmlns:a14="http://schemas.microsoft.com/office/drawing/2010/main">
      <mc:Choice Requires="a14">
        <xdr:graphicFrame macro="">
          <xdr:nvGraphicFramePr>
            <xdr:cNvPr id="5" name="Region">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6858000" y="5419725"/>
              <a:ext cx="1828800" cy="2524125"/>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16566</xdr:rowOff>
    </xdr:from>
    <xdr:to>
      <xdr:col>5</xdr:col>
      <xdr:colOff>190500</xdr:colOff>
      <xdr:row>1</xdr:row>
      <xdr:rowOff>82508</xdr:rowOff>
    </xdr:to>
    <xdr:sp macro="" textlink="">
      <xdr:nvSpPr>
        <xdr:cNvPr id="26" name="ZoneTexte 25">
          <a:extLst>
            <a:ext uri="{FF2B5EF4-FFF2-40B4-BE49-F238E27FC236}">
              <a16:creationId xmlns:a16="http://schemas.microsoft.com/office/drawing/2014/main" id="{00000000-0008-0000-0D00-00001A000000}"/>
            </a:ext>
          </a:extLst>
        </xdr:cNvPr>
        <xdr:cNvSpPr txBox="1"/>
      </xdr:nvSpPr>
      <xdr:spPr>
        <a:xfrm>
          <a:off x="0" y="16566"/>
          <a:ext cx="4588565" cy="25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b="1"/>
            <a:t>Données à déclarer sur OPERAT</a:t>
          </a:r>
        </a:p>
      </xdr:txBody>
    </xdr:sp>
    <xdr:clientData/>
  </xdr:twoCellAnchor>
  <xdr:twoCellAnchor editAs="oneCell">
    <xdr:from>
      <xdr:col>5</xdr:col>
      <xdr:colOff>33126</xdr:colOff>
      <xdr:row>0</xdr:row>
      <xdr:rowOff>1</xdr:rowOff>
    </xdr:from>
    <xdr:to>
      <xdr:col>8</xdr:col>
      <xdr:colOff>314739</xdr:colOff>
      <xdr:row>3</xdr:row>
      <xdr:rowOff>81295</xdr:rowOff>
    </xdr:to>
    <xdr:pic>
      <xdr:nvPicPr>
        <xdr:cNvPr id="27" name="Image 26">
          <a:extLst>
            <a:ext uri="{FF2B5EF4-FFF2-40B4-BE49-F238E27FC236}">
              <a16:creationId xmlns:a16="http://schemas.microsoft.com/office/drawing/2014/main" id="{00000000-0008-0000-0D00-00001B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3925952" y="1"/>
          <a:ext cx="1880157" cy="271794"/>
        </a:xfrm>
        <a:prstGeom prst="rect">
          <a:avLst/>
        </a:prstGeom>
      </xdr:spPr>
    </xdr:pic>
    <xdr:clientData/>
  </xdr:twoCellAnchor>
  <xdr:twoCellAnchor editAs="oneCell">
    <xdr:from>
      <xdr:col>8</xdr:col>
      <xdr:colOff>508256</xdr:colOff>
      <xdr:row>0</xdr:row>
      <xdr:rowOff>0</xdr:rowOff>
    </xdr:from>
    <xdr:to>
      <xdr:col>9</xdr:col>
      <xdr:colOff>760067</xdr:colOff>
      <xdr:row>4</xdr:row>
      <xdr:rowOff>107674</xdr:rowOff>
    </xdr:to>
    <xdr:pic>
      <xdr:nvPicPr>
        <xdr:cNvPr id="28" name="Image 27">
          <a:extLst>
            <a:ext uri="{FF2B5EF4-FFF2-40B4-BE49-F238E27FC236}">
              <a16:creationId xmlns:a16="http://schemas.microsoft.com/office/drawing/2014/main" id="{00000000-0008-0000-0D00-00001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99626" y="0"/>
          <a:ext cx="1013811" cy="488674"/>
        </a:xfrm>
        <a:prstGeom prst="rect">
          <a:avLst/>
        </a:prstGeom>
      </xdr:spPr>
    </xdr:pic>
    <xdr:clientData/>
  </xdr:twoCellAnchor>
  <xdr:twoCellAnchor editAs="oneCell">
    <xdr:from>
      <xdr:col>7</xdr:col>
      <xdr:colOff>273050</xdr:colOff>
      <xdr:row>7</xdr:row>
      <xdr:rowOff>66676</xdr:rowOff>
    </xdr:from>
    <xdr:to>
      <xdr:col>9</xdr:col>
      <xdr:colOff>589376</xdr:colOff>
      <xdr:row>24</xdr:row>
      <xdr:rowOff>66262</xdr:rowOff>
    </xdr:to>
    <mc:AlternateContent xmlns:mc="http://schemas.openxmlformats.org/markup-compatibility/2006" xmlns:a14="http://schemas.microsoft.com/office/drawing/2010/main">
      <mc:Choice Requires="a14">
        <xdr:graphicFrame macro="">
          <xdr:nvGraphicFramePr>
            <xdr:cNvPr id="2" name="Dates (année)">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microsoft.com/office/drawing/2010/slicer">
              <sle:slicer xmlns:sle="http://schemas.microsoft.com/office/drawing/2010/slicer" name="Dates (année)"/>
            </a:graphicData>
          </a:graphic>
        </xdr:graphicFrame>
      </mc:Choice>
      <mc:Fallback xmlns="">
        <xdr:sp macro="" textlink="">
          <xdr:nvSpPr>
            <xdr:cNvPr id="0" name=""/>
            <xdr:cNvSpPr>
              <a:spLocks noTextEdit="1"/>
            </xdr:cNvSpPr>
          </xdr:nvSpPr>
          <xdr:spPr>
            <a:xfrm>
              <a:off x="6156877" y="974588"/>
              <a:ext cx="1795738" cy="3438801"/>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fLocksWithSheet="0"/>
  </xdr:twoCellAnchor>
  <xdr:twoCellAnchor>
    <xdr:from>
      <xdr:col>7</xdr:col>
      <xdr:colOff>621196</xdr:colOff>
      <xdr:row>25</xdr:row>
      <xdr:rowOff>182217</xdr:rowOff>
    </xdr:from>
    <xdr:to>
      <xdr:col>9</xdr:col>
      <xdr:colOff>212035</xdr:colOff>
      <xdr:row>27</xdr:row>
      <xdr:rowOff>159085</xdr:rowOff>
    </xdr:to>
    <xdr:sp macro="" textlink="">
      <xdr:nvSpPr>
        <xdr:cNvPr id="6" name="Rectangle : coins arrondis 5">
          <a:hlinkClick xmlns:r="http://schemas.openxmlformats.org/officeDocument/2006/relationships" r:id="rId3"/>
          <a:extLst>
            <a:ext uri="{FF2B5EF4-FFF2-40B4-BE49-F238E27FC236}">
              <a16:creationId xmlns:a16="http://schemas.microsoft.com/office/drawing/2014/main" id="{00000000-0008-0000-0D00-000006000000}"/>
            </a:ext>
          </a:extLst>
        </xdr:cNvPr>
        <xdr:cNvSpPr/>
      </xdr:nvSpPr>
      <xdr:spPr>
        <a:xfrm>
          <a:off x="5474805" y="4870174"/>
          <a:ext cx="990600" cy="357868"/>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1">
              <a:solidFill>
                <a:schemeClr val="tx1"/>
              </a:solidFill>
            </a:rPr>
            <a:t>Retour</a:t>
          </a:r>
          <a:r>
            <a:rPr lang="fr-FR" sz="1000" b="1" baseline="0">
              <a:solidFill>
                <a:schemeClr val="tx1"/>
              </a:solidFill>
            </a:rPr>
            <a:t> Acceuil</a:t>
          </a:r>
          <a:endParaRPr lang="fr-FR" sz="1000" b="1">
            <a:solidFill>
              <a:schemeClr val="tx1"/>
            </a:solidFill>
          </a:endParaRPr>
        </a:p>
      </xdr:txBody>
    </xdr:sp>
    <xdr:clientData/>
  </xdr:twoCellAnchor>
  <xdr:twoCellAnchor editAs="oneCell">
    <xdr:from>
      <xdr:col>6</xdr:col>
      <xdr:colOff>198782</xdr:colOff>
      <xdr:row>3</xdr:row>
      <xdr:rowOff>115957</xdr:rowOff>
    </xdr:from>
    <xdr:to>
      <xdr:col>8</xdr:col>
      <xdr:colOff>347868</xdr:colOff>
      <xdr:row>6</xdr:row>
      <xdr:rowOff>37031</xdr:rowOff>
    </xdr:to>
    <xdr:pic>
      <xdr:nvPicPr>
        <xdr:cNvPr id="7" name="Image 6">
          <a:extLst>
            <a:ext uri="{FF2B5EF4-FFF2-40B4-BE49-F238E27FC236}">
              <a16:creationId xmlns:a16="http://schemas.microsoft.com/office/drawing/2014/main" id="{00000000-0008-0000-0D00-000007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6470" b="14117"/>
        <a:stretch/>
      </xdr:blipFill>
      <xdr:spPr bwMode="auto">
        <a:xfrm>
          <a:off x="4812195" y="306457"/>
          <a:ext cx="1027043" cy="492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41413</xdr:colOff>
      <xdr:row>1</xdr:row>
      <xdr:rowOff>65942</xdr:rowOff>
    </xdr:to>
    <xdr:sp macro="" textlink="">
      <xdr:nvSpPr>
        <xdr:cNvPr id="2" name="ZoneTexte 1">
          <a:extLst>
            <a:ext uri="{FF2B5EF4-FFF2-40B4-BE49-F238E27FC236}">
              <a16:creationId xmlns:a16="http://schemas.microsoft.com/office/drawing/2014/main" id="{00000000-0008-0000-0E00-000002000000}"/>
            </a:ext>
          </a:extLst>
        </xdr:cNvPr>
        <xdr:cNvSpPr txBox="1"/>
      </xdr:nvSpPr>
      <xdr:spPr>
        <a:xfrm>
          <a:off x="0" y="0"/>
          <a:ext cx="4613413" cy="25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b="1"/>
            <a:t>Suivi mensuel énergétique</a:t>
          </a:r>
        </a:p>
      </xdr:txBody>
    </xdr:sp>
    <xdr:clientData/>
  </xdr:twoCellAnchor>
  <mc:AlternateContent xmlns:mc="http://schemas.openxmlformats.org/markup-compatibility/2006">
    <mc:Choice xmlns:a14="http://schemas.microsoft.com/office/drawing/2010/main" Requires="a14">
      <xdr:twoCellAnchor editAs="oneCell">
        <xdr:from>
          <xdr:col>1</xdr:col>
          <xdr:colOff>209550</xdr:colOff>
          <xdr:row>2</xdr:row>
          <xdr:rowOff>114300</xdr:rowOff>
        </xdr:from>
        <xdr:to>
          <xdr:col>2</xdr:col>
          <xdr:colOff>704850</xdr:colOff>
          <xdr:row>3</xdr:row>
          <xdr:rowOff>171450</xdr:rowOff>
        </xdr:to>
        <xdr:sp macro="" textlink="">
          <xdr:nvSpPr>
            <xdr:cNvPr id="76801" name="Drop Down 1" hidden="1">
              <a:extLst>
                <a:ext uri="{63B3BB69-23CF-44E3-9099-C40C66FF867C}">
                  <a14:compatExt spid="_x0000_s76801"/>
                </a:ext>
                <a:ext uri="{FF2B5EF4-FFF2-40B4-BE49-F238E27FC236}">
                  <a16:creationId xmlns:a16="http://schemas.microsoft.com/office/drawing/2014/main" id="{00000000-0008-0000-0E00-000001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2</xdr:row>
          <xdr:rowOff>114300</xdr:rowOff>
        </xdr:from>
        <xdr:to>
          <xdr:col>6</xdr:col>
          <xdr:colOff>304800</xdr:colOff>
          <xdr:row>3</xdr:row>
          <xdr:rowOff>171450</xdr:rowOff>
        </xdr:to>
        <xdr:sp macro="" textlink="">
          <xdr:nvSpPr>
            <xdr:cNvPr id="76802" name="Drop Down 2" hidden="1">
              <a:extLst>
                <a:ext uri="{63B3BB69-23CF-44E3-9099-C40C66FF867C}">
                  <a14:compatExt spid="_x0000_s76802"/>
                </a:ext>
                <a:ext uri="{FF2B5EF4-FFF2-40B4-BE49-F238E27FC236}">
                  <a16:creationId xmlns:a16="http://schemas.microsoft.com/office/drawing/2014/main" id="{00000000-0008-0000-0E00-000002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5</xdr:col>
      <xdr:colOff>85726</xdr:colOff>
      <xdr:row>0</xdr:row>
      <xdr:rowOff>76201</xdr:rowOff>
    </xdr:from>
    <xdr:to>
      <xdr:col>7</xdr:col>
      <xdr:colOff>466726</xdr:colOff>
      <xdr:row>1</xdr:row>
      <xdr:rowOff>171563</xdr:rowOff>
    </xdr:to>
    <xdr:pic>
      <xdr:nvPicPr>
        <xdr:cNvPr id="11" name="Image 10">
          <a:extLst>
            <a:ext uri="{FF2B5EF4-FFF2-40B4-BE49-F238E27FC236}">
              <a16:creationId xmlns:a16="http://schemas.microsoft.com/office/drawing/2014/main" id="{00000000-0008-0000-0E00-00000B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3895726" y="76201"/>
          <a:ext cx="1905000" cy="285862"/>
        </a:xfrm>
        <a:prstGeom prst="rect">
          <a:avLst/>
        </a:prstGeom>
      </xdr:spPr>
    </xdr:pic>
    <xdr:clientData/>
  </xdr:twoCellAnchor>
  <xdr:twoCellAnchor editAs="oneCell">
    <xdr:from>
      <xdr:col>9</xdr:col>
      <xdr:colOff>200025</xdr:colOff>
      <xdr:row>0</xdr:row>
      <xdr:rowOff>0</xdr:rowOff>
    </xdr:from>
    <xdr:to>
      <xdr:col>11</xdr:col>
      <xdr:colOff>0</xdr:colOff>
      <xdr:row>3</xdr:row>
      <xdr:rowOff>68724</xdr:rowOff>
    </xdr:to>
    <xdr:pic>
      <xdr:nvPicPr>
        <xdr:cNvPr id="12" name="Image 11">
          <a:extLst>
            <a:ext uri="{FF2B5EF4-FFF2-40B4-BE49-F238E27FC236}">
              <a16:creationId xmlns:a16="http://schemas.microsoft.com/office/drawing/2014/main" id="{00000000-0008-0000-0E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8025" y="0"/>
          <a:ext cx="1323975" cy="64022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95250</xdr:colOff>
          <xdr:row>18</xdr:row>
          <xdr:rowOff>133350</xdr:rowOff>
        </xdr:from>
        <xdr:to>
          <xdr:col>9</xdr:col>
          <xdr:colOff>590550</xdr:colOff>
          <xdr:row>19</xdr:row>
          <xdr:rowOff>190500</xdr:rowOff>
        </xdr:to>
        <xdr:sp macro="" textlink="">
          <xdr:nvSpPr>
            <xdr:cNvPr id="76803" name="Drop Down 3" hidden="1">
              <a:extLst>
                <a:ext uri="{63B3BB69-23CF-44E3-9099-C40C66FF867C}">
                  <a14:compatExt spid="_x0000_s76803"/>
                </a:ext>
                <a:ext uri="{FF2B5EF4-FFF2-40B4-BE49-F238E27FC236}">
                  <a16:creationId xmlns:a16="http://schemas.microsoft.com/office/drawing/2014/main" id="{00000000-0008-0000-0E00-000003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642146</xdr:colOff>
      <xdr:row>4</xdr:row>
      <xdr:rowOff>179298</xdr:rowOff>
    </xdr:from>
    <xdr:to>
      <xdr:col>10</xdr:col>
      <xdr:colOff>739588</xdr:colOff>
      <xdr:row>6</xdr:row>
      <xdr:rowOff>981</xdr:rowOff>
    </xdr:to>
    <xdr:sp macro="" textlink="">
      <xdr:nvSpPr>
        <xdr:cNvPr id="6" name="ZoneTexte 5">
          <a:extLst>
            <a:ext uri="{FF2B5EF4-FFF2-40B4-BE49-F238E27FC236}">
              <a16:creationId xmlns:a16="http://schemas.microsoft.com/office/drawing/2014/main" id="{00000000-0008-0000-0E00-000006000000}"/>
            </a:ext>
          </a:extLst>
        </xdr:cNvPr>
        <xdr:cNvSpPr txBox="1"/>
      </xdr:nvSpPr>
      <xdr:spPr>
        <a:xfrm>
          <a:off x="5976146" y="941298"/>
          <a:ext cx="2383442" cy="202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a:solidFill>
                <a:srgbClr val="FF0000"/>
              </a:solidFill>
            </a:rPr>
            <a:t>Sélectionnez vos compteurs d'électricité : </a:t>
          </a:r>
        </a:p>
      </xdr:txBody>
    </xdr:sp>
    <xdr:clientData/>
  </xdr:twoCellAnchor>
  <xdr:twoCellAnchor>
    <xdr:from>
      <xdr:col>0</xdr:col>
      <xdr:colOff>200025</xdr:colOff>
      <xdr:row>6</xdr:row>
      <xdr:rowOff>180419</xdr:rowOff>
    </xdr:from>
    <xdr:to>
      <xdr:col>7</xdr:col>
      <xdr:colOff>600075</xdr:colOff>
      <xdr:row>19</xdr:row>
      <xdr:rowOff>180418</xdr:rowOff>
    </xdr:to>
    <xdr:graphicFrame macro="">
      <xdr:nvGraphicFramePr>
        <xdr:cNvPr id="10" name="Graphique 9">
          <a:extLst>
            <a:ext uri="{FF2B5EF4-FFF2-40B4-BE49-F238E27FC236}">
              <a16:creationId xmlns:a16="http://schemas.microsoft.com/office/drawing/2014/main" id="{00000000-0008-0000-0E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95250</xdr:colOff>
      <xdr:row>17</xdr:row>
      <xdr:rowOff>94693</xdr:rowOff>
    </xdr:from>
    <xdr:to>
      <xdr:col>10</xdr:col>
      <xdr:colOff>114300</xdr:colOff>
      <xdr:row>18</xdr:row>
      <xdr:rowOff>94693</xdr:rowOff>
    </xdr:to>
    <xdr:sp macro="" textlink="">
      <xdr:nvSpPr>
        <xdr:cNvPr id="3" name="ZoneTexte 2">
          <a:extLst>
            <a:ext uri="{FF2B5EF4-FFF2-40B4-BE49-F238E27FC236}">
              <a16:creationId xmlns:a16="http://schemas.microsoft.com/office/drawing/2014/main" id="{00000000-0008-0000-0E00-000003000000}"/>
            </a:ext>
          </a:extLst>
        </xdr:cNvPr>
        <xdr:cNvSpPr txBox="1"/>
      </xdr:nvSpPr>
      <xdr:spPr>
        <a:xfrm>
          <a:off x="6191250" y="3333193"/>
          <a:ext cx="154305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Correction du DJU ?</a:t>
          </a:r>
        </a:p>
      </xdr:txBody>
    </xdr:sp>
    <xdr:clientData/>
  </xdr:twoCellAnchor>
  <xdr:twoCellAnchor>
    <xdr:from>
      <xdr:col>0</xdr:col>
      <xdr:colOff>219075</xdr:colOff>
      <xdr:row>2</xdr:row>
      <xdr:rowOff>113265</xdr:rowOff>
    </xdr:from>
    <xdr:to>
      <xdr:col>1</xdr:col>
      <xdr:colOff>200025</xdr:colOff>
      <xdr:row>3</xdr:row>
      <xdr:rowOff>162960</xdr:rowOff>
    </xdr:to>
    <xdr:sp macro="" textlink="">
      <xdr:nvSpPr>
        <xdr:cNvPr id="18" name="ZoneTexte 17">
          <a:extLst>
            <a:ext uri="{FF2B5EF4-FFF2-40B4-BE49-F238E27FC236}">
              <a16:creationId xmlns:a16="http://schemas.microsoft.com/office/drawing/2014/main" id="{00000000-0008-0000-0E00-000012000000}"/>
            </a:ext>
          </a:extLst>
        </xdr:cNvPr>
        <xdr:cNvSpPr txBox="1"/>
      </xdr:nvSpPr>
      <xdr:spPr>
        <a:xfrm>
          <a:off x="219075" y="494265"/>
          <a:ext cx="742950" cy="2401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a:solidFill>
                <a:srgbClr val="FF0000"/>
              </a:solidFill>
            </a:rPr>
            <a:t>Année</a:t>
          </a:r>
          <a:r>
            <a:rPr lang="fr-FR" sz="1000" baseline="0">
              <a:solidFill>
                <a:srgbClr val="FF0000"/>
              </a:solidFill>
            </a:rPr>
            <a:t> 1 :</a:t>
          </a:r>
          <a:endParaRPr lang="fr-FR" sz="1000">
            <a:solidFill>
              <a:srgbClr val="FF0000"/>
            </a:solidFill>
          </a:endParaRPr>
        </a:p>
      </xdr:txBody>
    </xdr:sp>
    <xdr:clientData/>
  </xdr:twoCellAnchor>
  <xdr:twoCellAnchor>
    <xdr:from>
      <xdr:col>3</xdr:col>
      <xdr:colOff>561975</xdr:colOff>
      <xdr:row>2</xdr:row>
      <xdr:rowOff>113265</xdr:rowOff>
    </xdr:from>
    <xdr:to>
      <xdr:col>4</xdr:col>
      <xdr:colOff>581025</xdr:colOff>
      <xdr:row>3</xdr:row>
      <xdr:rowOff>162960</xdr:rowOff>
    </xdr:to>
    <xdr:sp macro="" textlink="">
      <xdr:nvSpPr>
        <xdr:cNvPr id="19" name="ZoneTexte 18">
          <a:extLst>
            <a:ext uri="{FF2B5EF4-FFF2-40B4-BE49-F238E27FC236}">
              <a16:creationId xmlns:a16="http://schemas.microsoft.com/office/drawing/2014/main" id="{00000000-0008-0000-0E00-000013000000}"/>
            </a:ext>
          </a:extLst>
        </xdr:cNvPr>
        <xdr:cNvSpPr txBox="1"/>
      </xdr:nvSpPr>
      <xdr:spPr>
        <a:xfrm>
          <a:off x="2847975" y="494265"/>
          <a:ext cx="781050" cy="2401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a:solidFill>
                <a:srgbClr val="FF0000"/>
              </a:solidFill>
            </a:rPr>
            <a:t>Année 2 :</a:t>
          </a:r>
        </a:p>
      </xdr:txBody>
    </xdr:sp>
    <xdr:clientData/>
  </xdr:twoCellAnchor>
  <xdr:twoCellAnchor>
    <xdr:from>
      <xdr:col>0</xdr:col>
      <xdr:colOff>190500</xdr:colOff>
      <xdr:row>41</xdr:row>
      <xdr:rowOff>78441</xdr:rowOff>
    </xdr:from>
    <xdr:to>
      <xdr:col>7</xdr:col>
      <xdr:colOff>571500</xdr:colOff>
      <xdr:row>54</xdr:row>
      <xdr:rowOff>97491</xdr:rowOff>
    </xdr:to>
    <xdr:graphicFrame macro="">
      <xdr:nvGraphicFramePr>
        <xdr:cNvPr id="20" name="Graphique 19">
          <a:extLst>
            <a:ext uri="{FF2B5EF4-FFF2-40B4-BE49-F238E27FC236}">
              <a16:creationId xmlns:a16="http://schemas.microsoft.com/office/drawing/2014/main" id="{00000000-0008-0000-0E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8</xdr:col>
          <xdr:colOff>95250</xdr:colOff>
          <xdr:row>35</xdr:row>
          <xdr:rowOff>114300</xdr:rowOff>
        </xdr:from>
        <xdr:to>
          <xdr:col>9</xdr:col>
          <xdr:colOff>590550</xdr:colOff>
          <xdr:row>36</xdr:row>
          <xdr:rowOff>171450</xdr:rowOff>
        </xdr:to>
        <xdr:sp macro="" textlink="">
          <xdr:nvSpPr>
            <xdr:cNvPr id="76804" name="Drop Down 4" hidden="1">
              <a:extLst>
                <a:ext uri="{63B3BB69-23CF-44E3-9099-C40C66FF867C}">
                  <a14:compatExt spid="_x0000_s76804"/>
                </a:ext>
                <a:ext uri="{FF2B5EF4-FFF2-40B4-BE49-F238E27FC236}">
                  <a16:creationId xmlns:a16="http://schemas.microsoft.com/office/drawing/2014/main" id="{00000000-0008-0000-0E00-000004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171450</xdr:colOff>
      <xdr:row>23</xdr:row>
      <xdr:rowOff>163043</xdr:rowOff>
    </xdr:from>
    <xdr:to>
      <xdr:col>7</xdr:col>
      <xdr:colOff>552450</xdr:colOff>
      <xdr:row>36</xdr:row>
      <xdr:rowOff>115418</xdr:rowOff>
    </xdr:to>
    <xdr:graphicFrame macro="">
      <xdr:nvGraphicFramePr>
        <xdr:cNvPr id="14" name="Graphique 1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95249</xdr:colOff>
      <xdr:row>34</xdr:row>
      <xdr:rowOff>88899</xdr:rowOff>
    </xdr:from>
    <xdr:to>
      <xdr:col>10</xdr:col>
      <xdr:colOff>466724</xdr:colOff>
      <xdr:row>35</xdr:row>
      <xdr:rowOff>104775</xdr:rowOff>
    </xdr:to>
    <xdr:sp macro="" textlink="">
      <xdr:nvSpPr>
        <xdr:cNvPr id="17" name="ZoneTexte 16">
          <a:extLst>
            <a:ext uri="{FF2B5EF4-FFF2-40B4-BE49-F238E27FC236}">
              <a16:creationId xmlns:a16="http://schemas.microsoft.com/office/drawing/2014/main" id="{00000000-0008-0000-0E00-000011000000}"/>
            </a:ext>
          </a:extLst>
        </xdr:cNvPr>
        <xdr:cNvSpPr txBox="1"/>
      </xdr:nvSpPr>
      <xdr:spPr>
        <a:xfrm>
          <a:off x="6496049" y="6556374"/>
          <a:ext cx="1971675" cy="206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Correction du DJU ? (hors</a:t>
          </a:r>
          <a:r>
            <a:rPr lang="fr-FR" sz="1100" baseline="0"/>
            <a:t> été) </a:t>
          </a:r>
          <a:endParaRPr lang="fr-FR" sz="1100"/>
        </a:p>
      </xdr:txBody>
    </xdr:sp>
    <xdr:clientData/>
  </xdr:twoCellAnchor>
  <xdr:twoCellAnchor>
    <xdr:from>
      <xdr:col>7</xdr:col>
      <xdr:colOff>664558</xdr:colOff>
      <xdr:row>21</xdr:row>
      <xdr:rowOff>179294</xdr:rowOff>
    </xdr:from>
    <xdr:to>
      <xdr:col>11</xdr:col>
      <xdr:colOff>0</xdr:colOff>
      <xdr:row>23</xdr:row>
      <xdr:rowOff>977</xdr:rowOff>
    </xdr:to>
    <xdr:sp macro="" textlink="">
      <xdr:nvSpPr>
        <xdr:cNvPr id="26" name="ZoneTexte 25">
          <a:extLst>
            <a:ext uri="{FF2B5EF4-FFF2-40B4-BE49-F238E27FC236}">
              <a16:creationId xmlns:a16="http://schemas.microsoft.com/office/drawing/2014/main" id="{00000000-0008-0000-0E00-00001A000000}"/>
            </a:ext>
          </a:extLst>
        </xdr:cNvPr>
        <xdr:cNvSpPr txBox="1"/>
      </xdr:nvSpPr>
      <xdr:spPr>
        <a:xfrm>
          <a:off x="5998558" y="4179794"/>
          <a:ext cx="2383442" cy="202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a:solidFill>
                <a:srgbClr val="FF0000"/>
              </a:solidFill>
            </a:rPr>
            <a:t>Sélectionnez vos compteurs chauffage : </a:t>
          </a:r>
        </a:p>
      </xdr:txBody>
    </xdr:sp>
    <xdr:clientData/>
  </xdr:twoCellAnchor>
  <xdr:twoCellAnchor>
    <xdr:from>
      <xdr:col>7</xdr:col>
      <xdr:colOff>664558</xdr:colOff>
      <xdr:row>38</xdr:row>
      <xdr:rowOff>156882</xdr:rowOff>
    </xdr:from>
    <xdr:to>
      <xdr:col>11</xdr:col>
      <xdr:colOff>0</xdr:colOff>
      <xdr:row>39</xdr:row>
      <xdr:rowOff>169065</xdr:rowOff>
    </xdr:to>
    <xdr:sp macro="" textlink="">
      <xdr:nvSpPr>
        <xdr:cNvPr id="28" name="ZoneTexte 27">
          <a:extLst>
            <a:ext uri="{FF2B5EF4-FFF2-40B4-BE49-F238E27FC236}">
              <a16:creationId xmlns:a16="http://schemas.microsoft.com/office/drawing/2014/main" id="{00000000-0008-0000-0E00-00001C000000}"/>
            </a:ext>
          </a:extLst>
        </xdr:cNvPr>
        <xdr:cNvSpPr txBox="1"/>
      </xdr:nvSpPr>
      <xdr:spPr>
        <a:xfrm>
          <a:off x="5998558" y="7463117"/>
          <a:ext cx="2383442" cy="202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a:solidFill>
                <a:srgbClr val="FF0000"/>
              </a:solidFill>
            </a:rPr>
            <a:t>Sélectionnez vos compteurs d'eau : </a:t>
          </a:r>
        </a:p>
      </xdr:txBody>
    </xdr:sp>
    <xdr:clientData/>
  </xdr:twoCellAnchor>
  <xdr:twoCellAnchor editAs="oneCell">
    <xdr:from>
      <xdr:col>8</xdr:col>
      <xdr:colOff>139700</xdr:colOff>
      <xdr:row>7</xdr:row>
      <xdr:rowOff>25401</xdr:rowOff>
    </xdr:from>
    <xdr:to>
      <xdr:col>10</xdr:col>
      <xdr:colOff>139700</xdr:colOff>
      <xdr:row>17</xdr:row>
      <xdr:rowOff>82550</xdr:rowOff>
    </xdr:to>
    <mc:AlternateContent xmlns:mc="http://schemas.openxmlformats.org/markup-compatibility/2006" xmlns:a14="http://schemas.microsoft.com/office/drawing/2010/main">
      <mc:Choice Requires="a14">
        <xdr:graphicFrame macro="">
          <xdr:nvGraphicFramePr>
            <xdr:cNvPr id="24" name="Nom 6">
              <a:extLst>
                <a:ext uri="{FF2B5EF4-FFF2-40B4-BE49-F238E27FC236}">
                  <a16:creationId xmlns:a16="http://schemas.microsoft.com/office/drawing/2014/main" id="{00000000-0008-0000-0E00-000018000000}"/>
                </a:ext>
              </a:extLst>
            </xdr:cNvPr>
            <xdr:cNvGraphicFramePr/>
          </xdr:nvGraphicFramePr>
          <xdr:xfrm>
            <a:off x="0" y="0"/>
            <a:ext cx="0" cy="0"/>
          </xdr:xfrm>
          <a:graphic>
            <a:graphicData uri="http://schemas.microsoft.com/office/drawing/2010/slicer">
              <sle:slicer xmlns:sle="http://schemas.microsoft.com/office/drawing/2010/slicer" name="Nom 6"/>
            </a:graphicData>
          </a:graphic>
        </xdr:graphicFrame>
      </mc:Choice>
      <mc:Fallback xmlns="">
        <xdr:sp macro="" textlink="">
          <xdr:nvSpPr>
            <xdr:cNvPr id="0" name=""/>
            <xdr:cNvSpPr>
              <a:spLocks noTextEdit="1"/>
            </xdr:cNvSpPr>
          </xdr:nvSpPr>
          <xdr:spPr>
            <a:xfrm>
              <a:off x="6696075" y="1352551"/>
              <a:ext cx="1639887" cy="1582737"/>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fLocksWithSheet="0"/>
  </xdr:twoCellAnchor>
  <xdr:twoCellAnchor editAs="oneCell">
    <xdr:from>
      <xdr:col>8</xdr:col>
      <xdr:colOff>25400</xdr:colOff>
      <xdr:row>23</xdr:row>
      <xdr:rowOff>171451</xdr:rowOff>
    </xdr:from>
    <xdr:to>
      <xdr:col>10</xdr:col>
      <xdr:colOff>496887</xdr:colOff>
      <xdr:row>34</xdr:row>
      <xdr:rowOff>82550</xdr:rowOff>
    </xdr:to>
    <mc:AlternateContent xmlns:mc="http://schemas.openxmlformats.org/markup-compatibility/2006" xmlns:a14="http://schemas.microsoft.com/office/drawing/2010/main">
      <mc:Choice Requires="a14">
        <xdr:graphicFrame macro="">
          <xdr:nvGraphicFramePr>
            <xdr:cNvPr id="25" name="Nom 7">
              <a:extLst>
                <a:ext uri="{FF2B5EF4-FFF2-40B4-BE49-F238E27FC236}">
                  <a16:creationId xmlns:a16="http://schemas.microsoft.com/office/drawing/2014/main" id="{00000000-0008-0000-0E00-000019000000}"/>
                </a:ext>
              </a:extLst>
            </xdr:cNvPr>
            <xdr:cNvGraphicFramePr/>
          </xdr:nvGraphicFramePr>
          <xdr:xfrm>
            <a:off x="0" y="0"/>
            <a:ext cx="0" cy="0"/>
          </xdr:xfrm>
          <a:graphic>
            <a:graphicData uri="http://schemas.microsoft.com/office/drawing/2010/slicer">
              <sle:slicer xmlns:sle="http://schemas.microsoft.com/office/drawing/2010/slicer" name="Nom 7"/>
            </a:graphicData>
          </a:graphic>
        </xdr:graphicFrame>
      </mc:Choice>
      <mc:Fallback xmlns="">
        <xdr:sp macro="" textlink="">
          <xdr:nvSpPr>
            <xdr:cNvPr id="0" name=""/>
            <xdr:cNvSpPr>
              <a:spLocks noTextEdit="1"/>
            </xdr:cNvSpPr>
          </xdr:nvSpPr>
          <xdr:spPr>
            <a:xfrm>
              <a:off x="6581775" y="4543426"/>
              <a:ext cx="2106612" cy="1752600"/>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fLocksWithSheet="0"/>
  </xdr:twoCellAnchor>
  <xdr:twoCellAnchor editAs="oneCell">
    <xdr:from>
      <xdr:col>8</xdr:col>
      <xdr:colOff>19050</xdr:colOff>
      <xdr:row>42</xdr:row>
      <xdr:rowOff>28575</xdr:rowOff>
    </xdr:from>
    <xdr:to>
      <xdr:col>10</xdr:col>
      <xdr:colOff>381000</xdr:colOff>
      <xdr:row>52</xdr:row>
      <xdr:rowOff>28575</xdr:rowOff>
    </xdr:to>
    <mc:AlternateContent xmlns:mc="http://schemas.openxmlformats.org/markup-compatibility/2006" xmlns:a14="http://schemas.microsoft.com/office/drawing/2010/main">
      <mc:Choice Requires="a14">
        <xdr:graphicFrame macro="">
          <xdr:nvGraphicFramePr>
            <xdr:cNvPr id="27" name="Nom 8">
              <a:extLst>
                <a:ext uri="{FF2B5EF4-FFF2-40B4-BE49-F238E27FC236}">
                  <a16:creationId xmlns:a16="http://schemas.microsoft.com/office/drawing/2014/main" id="{00000000-0008-0000-0E00-00001B000000}"/>
                </a:ext>
              </a:extLst>
            </xdr:cNvPr>
            <xdr:cNvGraphicFramePr/>
          </xdr:nvGraphicFramePr>
          <xdr:xfrm>
            <a:off x="0" y="0"/>
            <a:ext cx="0" cy="0"/>
          </xdr:xfrm>
          <a:graphic>
            <a:graphicData uri="http://schemas.microsoft.com/office/drawing/2010/slicer">
              <sle:slicer xmlns:sle="http://schemas.microsoft.com/office/drawing/2010/slicer" name="Nom 8"/>
            </a:graphicData>
          </a:graphic>
        </xdr:graphicFrame>
      </mc:Choice>
      <mc:Fallback xmlns="">
        <xdr:sp macro="" textlink="">
          <xdr:nvSpPr>
            <xdr:cNvPr id="0" name=""/>
            <xdr:cNvSpPr>
              <a:spLocks noTextEdit="1"/>
            </xdr:cNvSpPr>
          </xdr:nvSpPr>
          <xdr:spPr>
            <a:xfrm>
              <a:off x="6572250" y="8020050"/>
              <a:ext cx="2000250" cy="1906587"/>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fLocksWithSheet="0"/>
  </xdr:twoCellAnchor>
  <xdr:twoCellAnchor>
    <xdr:from>
      <xdr:col>7</xdr:col>
      <xdr:colOff>514350</xdr:colOff>
      <xdr:row>3</xdr:row>
      <xdr:rowOff>47625</xdr:rowOff>
    </xdr:from>
    <xdr:to>
      <xdr:col>8</xdr:col>
      <xdr:colOff>742950</xdr:colOff>
      <xdr:row>5</xdr:row>
      <xdr:rowOff>24493</xdr:rowOff>
    </xdr:to>
    <xdr:sp macro="" textlink="">
      <xdr:nvSpPr>
        <xdr:cNvPr id="22" name="Rectangle : coins arrondis 21">
          <a:hlinkClick xmlns:r="http://schemas.openxmlformats.org/officeDocument/2006/relationships" r:id="rId6"/>
          <a:extLst>
            <a:ext uri="{FF2B5EF4-FFF2-40B4-BE49-F238E27FC236}">
              <a16:creationId xmlns:a16="http://schemas.microsoft.com/office/drawing/2014/main" id="{00000000-0008-0000-0E00-000016000000}"/>
            </a:ext>
          </a:extLst>
        </xdr:cNvPr>
        <xdr:cNvSpPr/>
      </xdr:nvSpPr>
      <xdr:spPr>
        <a:xfrm>
          <a:off x="5848350" y="619125"/>
          <a:ext cx="990600" cy="357868"/>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1">
              <a:solidFill>
                <a:schemeClr val="tx1"/>
              </a:solidFill>
            </a:rPr>
            <a:t>Retour</a:t>
          </a:r>
          <a:r>
            <a:rPr lang="fr-FR" sz="1000" b="1" baseline="0">
              <a:solidFill>
                <a:schemeClr val="tx1"/>
              </a:solidFill>
            </a:rPr>
            <a:t> Acceuil</a:t>
          </a:r>
          <a:endParaRPr lang="fr-FR" sz="1000" b="1">
            <a:solidFill>
              <a:schemeClr val="tx1"/>
            </a:solidFill>
          </a:endParaRPr>
        </a:p>
      </xdr:txBody>
    </xdr:sp>
    <xdr:clientData/>
  </xdr:twoCellAnchor>
  <xdr:twoCellAnchor>
    <xdr:from>
      <xdr:col>9</xdr:col>
      <xdr:colOff>85725</xdr:colOff>
      <xdr:row>53</xdr:row>
      <xdr:rowOff>66675</xdr:rowOff>
    </xdr:from>
    <xdr:to>
      <xdr:col>10</xdr:col>
      <xdr:colOff>314325</xdr:colOff>
      <xdr:row>55</xdr:row>
      <xdr:rowOff>43543</xdr:rowOff>
    </xdr:to>
    <xdr:sp macro="" textlink="">
      <xdr:nvSpPr>
        <xdr:cNvPr id="23" name="Rectangle : coins arrondis 22">
          <a:hlinkClick xmlns:r="http://schemas.openxmlformats.org/officeDocument/2006/relationships" r:id="rId6"/>
          <a:extLst>
            <a:ext uri="{FF2B5EF4-FFF2-40B4-BE49-F238E27FC236}">
              <a16:creationId xmlns:a16="http://schemas.microsoft.com/office/drawing/2014/main" id="{00000000-0008-0000-0E00-000017000000}"/>
            </a:ext>
          </a:extLst>
        </xdr:cNvPr>
        <xdr:cNvSpPr/>
      </xdr:nvSpPr>
      <xdr:spPr>
        <a:xfrm>
          <a:off x="6943725" y="10229850"/>
          <a:ext cx="990600" cy="357868"/>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1">
              <a:solidFill>
                <a:schemeClr val="tx1"/>
              </a:solidFill>
            </a:rPr>
            <a:t>Retour</a:t>
          </a:r>
          <a:r>
            <a:rPr lang="fr-FR" sz="1000" b="1" baseline="0">
              <a:solidFill>
                <a:schemeClr val="tx1"/>
              </a:solidFill>
            </a:rPr>
            <a:t> Acceuil</a:t>
          </a:r>
          <a:endParaRPr lang="fr-FR" sz="1000" b="1">
            <a:solidFill>
              <a:schemeClr val="tx1"/>
            </a:solidFill>
          </a:endParaRPr>
        </a:p>
      </xdr:txBody>
    </xdr:sp>
    <xdr:clientData/>
  </xdr:twoCellAnchor>
  <xdr:twoCellAnchor editAs="oneCell">
    <xdr:from>
      <xdr:col>7</xdr:col>
      <xdr:colOff>466725</xdr:colOff>
      <xdr:row>0</xdr:row>
      <xdr:rowOff>0</xdr:rowOff>
    </xdr:from>
    <xdr:to>
      <xdr:col>9</xdr:col>
      <xdr:colOff>65018</xdr:colOff>
      <xdr:row>2</xdr:row>
      <xdr:rowOff>157256</xdr:rowOff>
    </xdr:to>
    <xdr:pic>
      <xdr:nvPicPr>
        <xdr:cNvPr id="29" name="Image 28">
          <a:extLst>
            <a:ext uri="{FF2B5EF4-FFF2-40B4-BE49-F238E27FC236}">
              <a16:creationId xmlns:a16="http://schemas.microsoft.com/office/drawing/2014/main" id="{00000000-0008-0000-0E00-00001D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16470" b="14117"/>
        <a:stretch/>
      </xdr:blipFill>
      <xdr:spPr bwMode="auto">
        <a:xfrm>
          <a:off x="5800725" y="0"/>
          <a:ext cx="1122293" cy="538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10</xdr:col>
      <xdr:colOff>447675</xdr:colOff>
      <xdr:row>56</xdr:row>
      <xdr:rowOff>152400</xdr:rowOff>
    </xdr:from>
    <xdr:ext cx="1491393" cy="717176"/>
    <xdr:pic>
      <xdr:nvPicPr>
        <xdr:cNvPr id="7" name="Image 6">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0" y="4343400"/>
          <a:ext cx="1491393" cy="717176"/>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41413</xdr:colOff>
      <xdr:row>1</xdr:row>
      <xdr:rowOff>65942</xdr:rowOff>
    </xdr:to>
    <xdr:sp macro="" textlink="">
      <xdr:nvSpPr>
        <xdr:cNvPr id="3" name="ZoneTexte 2">
          <a:extLst>
            <a:ext uri="{FF2B5EF4-FFF2-40B4-BE49-F238E27FC236}">
              <a16:creationId xmlns:a16="http://schemas.microsoft.com/office/drawing/2014/main" id="{00000000-0008-0000-1000-000003000000}"/>
            </a:ext>
          </a:extLst>
        </xdr:cNvPr>
        <xdr:cNvSpPr txBox="1"/>
      </xdr:nvSpPr>
      <xdr:spPr>
        <a:xfrm>
          <a:off x="0" y="0"/>
          <a:ext cx="4613413" cy="25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b="1"/>
            <a:t>Analyse de</a:t>
          </a:r>
          <a:r>
            <a:rPr lang="fr-FR" sz="1600" b="1" baseline="0"/>
            <a:t> la rigueur climatique</a:t>
          </a:r>
          <a:endParaRPr lang="fr-FR" sz="1600" b="1"/>
        </a:p>
      </xdr:txBody>
    </xdr:sp>
    <xdr:clientData/>
  </xdr:twoCellAnchor>
  <xdr:twoCellAnchor>
    <xdr:from>
      <xdr:col>7</xdr:col>
      <xdr:colOff>339587</xdr:colOff>
      <xdr:row>3</xdr:row>
      <xdr:rowOff>74547</xdr:rowOff>
    </xdr:from>
    <xdr:to>
      <xdr:col>10</xdr:col>
      <xdr:colOff>679173</xdr:colOff>
      <xdr:row>4</xdr:row>
      <xdr:rowOff>124242</xdr:rowOff>
    </xdr:to>
    <xdr:sp macro="" textlink="">
      <xdr:nvSpPr>
        <xdr:cNvPr id="4" name="ZoneTexte 3">
          <a:extLst>
            <a:ext uri="{FF2B5EF4-FFF2-40B4-BE49-F238E27FC236}">
              <a16:creationId xmlns:a16="http://schemas.microsoft.com/office/drawing/2014/main" id="{00000000-0008-0000-1000-000004000000}"/>
            </a:ext>
          </a:extLst>
        </xdr:cNvPr>
        <xdr:cNvSpPr txBox="1"/>
      </xdr:nvSpPr>
      <xdr:spPr>
        <a:xfrm>
          <a:off x="5673587" y="646047"/>
          <a:ext cx="2625586" cy="2401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a:solidFill>
                <a:srgbClr val="FF0000"/>
              </a:solidFill>
            </a:rPr>
            <a:t>Sélectionnez le compteur à analyser : </a:t>
          </a:r>
        </a:p>
      </xdr:txBody>
    </xdr:sp>
    <xdr:clientData/>
  </xdr:twoCellAnchor>
  <xdr:twoCellAnchor>
    <xdr:from>
      <xdr:col>7</xdr:col>
      <xdr:colOff>422414</xdr:colOff>
      <xdr:row>16</xdr:row>
      <xdr:rowOff>122999</xdr:rowOff>
    </xdr:from>
    <xdr:to>
      <xdr:col>11</xdr:col>
      <xdr:colOff>0</xdr:colOff>
      <xdr:row>17</xdr:row>
      <xdr:rowOff>172694</xdr:rowOff>
    </xdr:to>
    <xdr:sp macro="" textlink="">
      <xdr:nvSpPr>
        <xdr:cNvPr id="9" name="ZoneTexte 8">
          <a:extLst>
            <a:ext uri="{FF2B5EF4-FFF2-40B4-BE49-F238E27FC236}">
              <a16:creationId xmlns:a16="http://schemas.microsoft.com/office/drawing/2014/main" id="{00000000-0008-0000-1000-000009000000}"/>
            </a:ext>
          </a:extLst>
        </xdr:cNvPr>
        <xdr:cNvSpPr txBox="1"/>
      </xdr:nvSpPr>
      <xdr:spPr>
        <a:xfrm>
          <a:off x="5756414" y="3170999"/>
          <a:ext cx="2625586" cy="2401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a:solidFill>
                <a:srgbClr val="FF0000"/>
              </a:solidFill>
            </a:rPr>
            <a:t>Sélectionnez trois années : </a:t>
          </a:r>
        </a:p>
      </xdr:txBody>
    </xdr:sp>
    <xdr:clientData/>
  </xdr:twoCellAnchor>
  <xdr:twoCellAnchor editAs="oneCell">
    <xdr:from>
      <xdr:col>6</xdr:col>
      <xdr:colOff>0</xdr:colOff>
      <xdr:row>0</xdr:row>
      <xdr:rowOff>11205</xdr:rowOff>
    </xdr:from>
    <xdr:to>
      <xdr:col>8</xdr:col>
      <xdr:colOff>753717</xdr:colOff>
      <xdr:row>1</xdr:row>
      <xdr:rowOff>156146</xdr:rowOff>
    </xdr:to>
    <xdr:pic>
      <xdr:nvPicPr>
        <xdr:cNvPr id="13" name="Image 12">
          <a:extLst>
            <a:ext uri="{FF2B5EF4-FFF2-40B4-BE49-F238E27FC236}">
              <a16:creationId xmlns:a16="http://schemas.microsoft.com/office/drawing/2014/main" id="{00000000-0008-0000-1000-00000D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4572000" y="11205"/>
          <a:ext cx="2277717" cy="335441"/>
        </a:xfrm>
        <a:prstGeom prst="rect">
          <a:avLst/>
        </a:prstGeom>
      </xdr:spPr>
    </xdr:pic>
    <xdr:clientData/>
  </xdr:twoCellAnchor>
  <xdr:twoCellAnchor editAs="oneCell">
    <xdr:from>
      <xdr:col>9</xdr:col>
      <xdr:colOff>40889</xdr:colOff>
      <xdr:row>0</xdr:row>
      <xdr:rowOff>0</xdr:rowOff>
    </xdr:from>
    <xdr:to>
      <xdr:col>11</xdr:col>
      <xdr:colOff>0</xdr:colOff>
      <xdr:row>3</xdr:row>
      <xdr:rowOff>145676</xdr:rowOff>
    </xdr:to>
    <xdr:pic>
      <xdr:nvPicPr>
        <xdr:cNvPr id="15" name="Image 14">
          <a:extLst>
            <a:ext uri="{FF2B5EF4-FFF2-40B4-BE49-F238E27FC236}">
              <a16:creationId xmlns:a16="http://schemas.microsoft.com/office/drawing/2014/main" id="{00000000-0008-0000-10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98889" y="0"/>
          <a:ext cx="1491393" cy="71717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29308</xdr:colOff>
      <xdr:row>1</xdr:row>
      <xdr:rowOff>65942</xdr:rowOff>
    </xdr:to>
    <xdr:sp macro="" textlink="">
      <xdr:nvSpPr>
        <xdr:cNvPr id="2" name="ZoneTexte 1">
          <a:extLst>
            <a:ext uri="{FF2B5EF4-FFF2-40B4-BE49-F238E27FC236}">
              <a16:creationId xmlns:a16="http://schemas.microsoft.com/office/drawing/2014/main" id="{00000000-0008-0000-1100-000002000000}"/>
            </a:ext>
          </a:extLst>
        </xdr:cNvPr>
        <xdr:cNvSpPr txBox="1"/>
      </xdr:nvSpPr>
      <xdr:spPr>
        <a:xfrm>
          <a:off x="0" y="0"/>
          <a:ext cx="4601308" cy="25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b="1"/>
            <a:t>Analyse</a:t>
          </a:r>
          <a:r>
            <a:rPr lang="fr-FR" sz="1600" b="1" baseline="0"/>
            <a:t> détaillée des compteurs</a:t>
          </a:r>
          <a:endParaRPr lang="fr-FR" sz="1600" b="1"/>
        </a:p>
      </xdr:txBody>
    </xdr:sp>
    <xdr:clientData/>
  </xdr:twoCellAnchor>
  <xdr:twoCellAnchor editAs="oneCell">
    <xdr:from>
      <xdr:col>5</xdr:col>
      <xdr:colOff>190501</xdr:colOff>
      <xdr:row>0</xdr:row>
      <xdr:rowOff>47625</xdr:rowOff>
    </xdr:from>
    <xdr:to>
      <xdr:col>7</xdr:col>
      <xdr:colOff>609601</xdr:colOff>
      <xdr:row>1</xdr:row>
      <xdr:rowOff>146542</xdr:rowOff>
    </xdr:to>
    <xdr:pic>
      <xdr:nvPicPr>
        <xdr:cNvPr id="11" name="Image 10">
          <a:extLst>
            <a:ext uri="{FF2B5EF4-FFF2-40B4-BE49-F238E27FC236}">
              <a16:creationId xmlns:a16="http://schemas.microsoft.com/office/drawing/2014/main" id="{00000000-0008-0000-1100-00000B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4000501" y="47625"/>
          <a:ext cx="1943100" cy="289417"/>
        </a:xfrm>
        <a:prstGeom prst="rect">
          <a:avLst/>
        </a:prstGeom>
      </xdr:spPr>
    </xdr:pic>
    <xdr:clientData/>
  </xdr:twoCellAnchor>
  <xdr:twoCellAnchor editAs="oneCell">
    <xdr:from>
      <xdr:col>9</xdr:col>
      <xdr:colOff>295275</xdr:colOff>
      <xdr:row>0</xdr:row>
      <xdr:rowOff>0</xdr:rowOff>
    </xdr:from>
    <xdr:to>
      <xdr:col>11</xdr:col>
      <xdr:colOff>0</xdr:colOff>
      <xdr:row>2</xdr:row>
      <xdr:rowOff>174193</xdr:rowOff>
    </xdr:to>
    <xdr:pic>
      <xdr:nvPicPr>
        <xdr:cNvPr id="12" name="Image 11">
          <a:extLst>
            <a:ext uri="{FF2B5EF4-FFF2-40B4-BE49-F238E27FC236}">
              <a16:creationId xmlns:a16="http://schemas.microsoft.com/office/drawing/2014/main" id="{00000000-0008-0000-11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86625" y="0"/>
          <a:ext cx="1143000" cy="555193"/>
        </a:xfrm>
        <a:prstGeom prst="rect">
          <a:avLst/>
        </a:prstGeom>
      </xdr:spPr>
    </xdr:pic>
    <xdr:clientData/>
  </xdr:twoCellAnchor>
  <xdr:twoCellAnchor>
    <xdr:from>
      <xdr:col>0</xdr:col>
      <xdr:colOff>102014</xdr:colOff>
      <xdr:row>20</xdr:row>
      <xdr:rowOff>160130</xdr:rowOff>
    </xdr:from>
    <xdr:to>
      <xdr:col>7</xdr:col>
      <xdr:colOff>682625</xdr:colOff>
      <xdr:row>22</xdr:row>
      <xdr:rowOff>38747</xdr:rowOff>
    </xdr:to>
    <xdr:sp macro="" textlink="">
      <xdr:nvSpPr>
        <xdr:cNvPr id="10" name="ZoneTexte 8">
          <a:extLst>
            <a:ext uri="{FF2B5EF4-FFF2-40B4-BE49-F238E27FC236}">
              <a16:creationId xmlns:a16="http://schemas.microsoft.com/office/drawing/2014/main" id="{00000000-0008-0000-1100-00000A000000}"/>
            </a:ext>
          </a:extLst>
        </xdr:cNvPr>
        <xdr:cNvSpPr txBox="1"/>
      </xdr:nvSpPr>
      <xdr:spPr>
        <a:xfrm>
          <a:off x="102014" y="3989180"/>
          <a:ext cx="6181311" cy="2405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fr-FR" sz="1100" b="1"/>
            <a:t>Evolution</a:t>
          </a:r>
          <a:r>
            <a:rPr lang="fr-FR" sz="1100" b="1" baseline="0"/>
            <a:t> des consommations par rapport au DJU chauffagiste</a:t>
          </a:r>
          <a:endParaRPr lang="fr-FR" sz="1100" b="1"/>
        </a:p>
      </xdr:txBody>
    </xdr:sp>
    <xdr:clientData/>
  </xdr:twoCellAnchor>
  <xdr:twoCellAnchor>
    <xdr:from>
      <xdr:col>0</xdr:col>
      <xdr:colOff>176213</xdr:colOff>
      <xdr:row>9</xdr:row>
      <xdr:rowOff>128587</xdr:rowOff>
    </xdr:from>
    <xdr:to>
      <xdr:col>7</xdr:col>
      <xdr:colOff>756824</xdr:colOff>
      <xdr:row>10</xdr:row>
      <xdr:rowOff>178654</xdr:rowOff>
    </xdr:to>
    <xdr:sp macro="" textlink="">
      <xdr:nvSpPr>
        <xdr:cNvPr id="13" name="ZoneTexte 8">
          <a:extLst>
            <a:ext uri="{FF2B5EF4-FFF2-40B4-BE49-F238E27FC236}">
              <a16:creationId xmlns:a16="http://schemas.microsoft.com/office/drawing/2014/main" id="{00000000-0008-0000-1100-00000D000000}"/>
            </a:ext>
          </a:extLst>
        </xdr:cNvPr>
        <xdr:cNvSpPr txBox="1"/>
      </xdr:nvSpPr>
      <xdr:spPr>
        <a:xfrm>
          <a:off x="176213" y="1757362"/>
          <a:ext cx="6314661" cy="2310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fr-FR" sz="1100" b="1">
              <a:solidFill>
                <a:schemeClr val="dk1"/>
              </a:solidFill>
              <a:effectLst/>
              <a:latin typeface="+mn-lt"/>
              <a:ea typeface="+mn-ea"/>
              <a:cs typeface="+mn-cs"/>
            </a:rPr>
            <a:t>Evolution</a:t>
          </a:r>
          <a:r>
            <a:rPr lang="fr-FR" sz="1100" b="1" baseline="0">
              <a:solidFill>
                <a:schemeClr val="dk1"/>
              </a:solidFill>
              <a:effectLst/>
              <a:latin typeface="+mn-lt"/>
              <a:ea typeface="+mn-ea"/>
              <a:cs typeface="+mn-cs"/>
            </a:rPr>
            <a:t> des consommations unitaires du compteur</a:t>
          </a:r>
          <a:endParaRPr lang="fr-FR">
            <a:effectLst/>
          </a:endParaRPr>
        </a:p>
      </xdr:txBody>
    </xdr:sp>
    <xdr:clientData/>
  </xdr:twoCellAnchor>
  <xdr:twoCellAnchor>
    <xdr:from>
      <xdr:col>0</xdr:col>
      <xdr:colOff>33339</xdr:colOff>
      <xdr:row>11</xdr:row>
      <xdr:rowOff>23812</xdr:rowOff>
    </xdr:from>
    <xdr:to>
      <xdr:col>7</xdr:col>
      <xdr:colOff>600075</xdr:colOff>
      <xdr:row>20</xdr:row>
      <xdr:rowOff>180975</xdr:rowOff>
    </xdr:to>
    <xdr:graphicFrame macro="">
      <xdr:nvGraphicFramePr>
        <xdr:cNvPr id="16" name="Graphique 15">
          <a:extLst>
            <a:ext uri="{FF2B5EF4-FFF2-40B4-BE49-F238E27FC236}">
              <a16:creationId xmlns:a16="http://schemas.microsoft.com/office/drawing/2014/main" id="{00000000-0008-0000-1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100013</xdr:colOff>
      <xdr:row>3</xdr:row>
      <xdr:rowOff>180975</xdr:rowOff>
    </xdr:from>
    <xdr:to>
      <xdr:col>10</xdr:col>
      <xdr:colOff>404813</xdr:colOff>
      <xdr:row>18</xdr:row>
      <xdr:rowOff>95250</xdr:rowOff>
    </xdr:to>
    <mc:AlternateContent xmlns:mc="http://schemas.openxmlformats.org/markup-compatibility/2006" xmlns:a14="http://schemas.microsoft.com/office/drawing/2010/main">
      <mc:Choice Requires="a14">
        <xdr:graphicFrame macro="">
          <xdr:nvGraphicFramePr>
            <xdr:cNvPr id="17" name="Nom">
              <a:extLst>
                <a:ext uri="{FF2B5EF4-FFF2-40B4-BE49-F238E27FC236}">
                  <a16:creationId xmlns:a16="http://schemas.microsoft.com/office/drawing/2014/main" id="{00000000-0008-0000-1100-000011000000}"/>
                </a:ext>
              </a:extLst>
            </xdr:cNvPr>
            <xdr:cNvGraphicFramePr/>
          </xdr:nvGraphicFramePr>
          <xdr:xfrm>
            <a:off x="0" y="0"/>
            <a:ext cx="0" cy="0"/>
          </xdr:xfrm>
          <a:graphic>
            <a:graphicData uri="http://schemas.microsoft.com/office/drawing/2010/slicer">
              <sle:slicer xmlns:sle="http://schemas.microsoft.com/office/drawing/2010/slicer" name="Nom"/>
            </a:graphicData>
          </a:graphic>
        </xdr:graphicFrame>
      </mc:Choice>
      <mc:Fallback xmlns="">
        <xdr:sp macro="" textlink="">
          <xdr:nvSpPr>
            <xdr:cNvPr id="0" name=""/>
            <xdr:cNvSpPr>
              <a:spLocks noTextEdit="1"/>
            </xdr:cNvSpPr>
          </xdr:nvSpPr>
          <xdr:spPr>
            <a:xfrm>
              <a:off x="6329363" y="752475"/>
              <a:ext cx="1828800" cy="2919413"/>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xdr:from>
      <xdr:col>0</xdr:col>
      <xdr:colOff>171450</xdr:colOff>
      <xdr:row>22</xdr:row>
      <xdr:rowOff>47625</xdr:rowOff>
    </xdr:from>
    <xdr:to>
      <xdr:col>7</xdr:col>
      <xdr:colOff>647700</xdr:colOff>
      <xdr:row>47</xdr:row>
      <xdr:rowOff>47625</xdr:rowOff>
    </xdr:to>
    <xdr:graphicFrame macro="">
      <xdr:nvGraphicFramePr>
        <xdr:cNvPr id="18" name="Graphique 17">
          <a:extLst>
            <a:ext uri="{FF2B5EF4-FFF2-40B4-BE49-F238E27FC236}">
              <a16:creationId xmlns:a16="http://schemas.microsoft.com/office/drawing/2014/main" id="{00000000-0008-0000-11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23812</xdr:colOff>
      <xdr:row>2</xdr:row>
      <xdr:rowOff>76200</xdr:rowOff>
    </xdr:from>
    <xdr:to>
      <xdr:col>7</xdr:col>
      <xdr:colOff>819149</xdr:colOff>
      <xdr:row>9</xdr:row>
      <xdr:rowOff>114300</xdr:rowOff>
    </xdr:to>
    <mc:AlternateContent xmlns:mc="http://schemas.openxmlformats.org/markup-compatibility/2006" xmlns:tsle="http://schemas.microsoft.com/office/drawing/2012/timeslicer">
      <mc:Choice Requires="tsle">
        <xdr:graphicFrame macro="">
          <xdr:nvGraphicFramePr>
            <xdr:cNvPr id="19" name="Dates">
              <a:extLst>
                <a:ext uri="{FF2B5EF4-FFF2-40B4-BE49-F238E27FC236}">
                  <a16:creationId xmlns:a16="http://schemas.microsoft.com/office/drawing/2014/main" id="{00000000-0008-0000-1100-000013000000}"/>
                </a:ext>
              </a:extLst>
            </xdr:cNvPr>
            <xdr:cNvGraphicFramePr/>
          </xdr:nvGraphicFramePr>
          <xdr:xfrm>
            <a:off x="0" y="0"/>
            <a:ext cx="0" cy="0"/>
          </xdr:xfrm>
          <a:graphic>
            <a:graphicData uri="http://schemas.microsoft.com/office/drawing/2012/timeslicer">
              <tsle:timeslicer name="Dates"/>
            </a:graphicData>
          </a:graphic>
        </xdr:graphicFrame>
      </mc:Choice>
      <mc:Fallback xmlns="">
        <xdr:sp macro="" textlink="">
          <xdr:nvSpPr>
            <xdr:cNvPr id="0" name=""/>
            <xdr:cNvSpPr>
              <a:spLocks noTextEdit="1"/>
            </xdr:cNvSpPr>
          </xdr:nvSpPr>
          <xdr:spPr>
            <a:xfrm>
              <a:off x="23812" y="457200"/>
              <a:ext cx="6129337" cy="1371600"/>
            </a:xfrm>
            <a:prstGeom prst="rect">
              <a:avLst/>
            </a:prstGeom>
            <a:solidFill>
              <a:prstClr val="white"/>
            </a:solidFill>
            <a:ln w="1">
              <a:solidFill>
                <a:prstClr val="green"/>
              </a:solidFill>
            </a:ln>
          </xdr:spPr>
          <xdr:txBody>
            <a:bodyPr vertOverflow="clip" horzOverflow="clip"/>
            <a:lstStyle/>
            <a:p>
              <a:r>
                <a:rPr lang="fr-FR" sz="1100"/>
                <a:t>Chronologie : fonctionne dans Excel 2013 ou version ultérieure. Ne pas déplacer ou redimensionner.</a:t>
              </a:r>
            </a:p>
          </xdr:txBody>
        </xdr:sp>
      </mc:Fallback>
    </mc:AlternateContent>
    <xdr:clientData/>
  </xdr:twoCellAnchor>
  <xdr:twoCellAnchor>
    <xdr:from>
      <xdr:col>8</xdr:col>
      <xdr:colOff>552450</xdr:colOff>
      <xdr:row>30</xdr:row>
      <xdr:rowOff>142875</xdr:rowOff>
    </xdr:from>
    <xdr:to>
      <xdr:col>10</xdr:col>
      <xdr:colOff>19050</xdr:colOff>
      <xdr:row>46</xdr:row>
      <xdr:rowOff>119743</xdr:rowOff>
    </xdr:to>
    <xdr:sp macro="" textlink="">
      <xdr:nvSpPr>
        <xdr:cNvPr id="14" name="Rectangle : coins arrondis 13">
          <a:hlinkClick xmlns:r="http://schemas.openxmlformats.org/officeDocument/2006/relationships" r:id="rId5"/>
          <a:extLst>
            <a:ext uri="{FF2B5EF4-FFF2-40B4-BE49-F238E27FC236}">
              <a16:creationId xmlns:a16="http://schemas.microsoft.com/office/drawing/2014/main" id="{00000000-0008-0000-1100-00000E000000}"/>
            </a:ext>
          </a:extLst>
        </xdr:cNvPr>
        <xdr:cNvSpPr/>
      </xdr:nvSpPr>
      <xdr:spPr>
        <a:xfrm>
          <a:off x="6781800" y="6057900"/>
          <a:ext cx="990600" cy="357868"/>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1">
              <a:solidFill>
                <a:schemeClr val="tx1"/>
              </a:solidFill>
            </a:rPr>
            <a:t>Retour</a:t>
          </a:r>
          <a:r>
            <a:rPr lang="fr-FR" sz="1000" b="1" baseline="0">
              <a:solidFill>
                <a:schemeClr val="tx1"/>
              </a:solidFill>
            </a:rPr>
            <a:t> Acceuil</a:t>
          </a:r>
          <a:endParaRPr lang="fr-FR" sz="1000" b="1">
            <a:solidFill>
              <a:schemeClr val="tx1"/>
            </a:solidFill>
          </a:endParaRPr>
        </a:p>
      </xdr:txBody>
    </xdr:sp>
    <xdr:clientData/>
  </xdr:twoCellAnchor>
  <xdr:twoCellAnchor editAs="oneCell">
    <xdr:from>
      <xdr:col>7</xdr:col>
      <xdr:colOff>723900</xdr:colOff>
      <xdr:row>0</xdr:row>
      <xdr:rowOff>0</xdr:rowOff>
    </xdr:from>
    <xdr:to>
      <xdr:col>9</xdr:col>
      <xdr:colOff>188843</xdr:colOff>
      <xdr:row>2</xdr:row>
      <xdr:rowOff>157256</xdr:rowOff>
    </xdr:to>
    <xdr:pic>
      <xdr:nvPicPr>
        <xdr:cNvPr id="15" name="Image 14">
          <a:extLst>
            <a:ext uri="{FF2B5EF4-FFF2-40B4-BE49-F238E27FC236}">
              <a16:creationId xmlns:a16="http://schemas.microsoft.com/office/drawing/2014/main" id="{00000000-0008-0000-1100-00000F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6470" b="14117"/>
        <a:stretch/>
      </xdr:blipFill>
      <xdr:spPr bwMode="auto">
        <a:xfrm>
          <a:off x="6057900" y="0"/>
          <a:ext cx="1122293" cy="538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7</xdr:col>
      <xdr:colOff>563217</xdr:colOff>
      <xdr:row>14</xdr:row>
      <xdr:rowOff>36444</xdr:rowOff>
    </xdr:from>
    <xdr:to>
      <xdr:col>10</xdr:col>
      <xdr:colOff>646043</xdr:colOff>
      <xdr:row>32</xdr:row>
      <xdr:rowOff>24848</xdr:rowOff>
    </xdr:to>
    <xdr:graphicFrame macro="">
      <xdr:nvGraphicFramePr>
        <xdr:cNvPr id="18" name="Graphique 17">
          <a:extLst>
            <a:ext uri="{FF2B5EF4-FFF2-40B4-BE49-F238E27FC236}">
              <a16:creationId xmlns:a16="http://schemas.microsoft.com/office/drawing/2014/main" id="{00000000-0008-0000-12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389284</xdr:colOff>
      <xdr:row>14</xdr:row>
      <xdr:rowOff>41413</xdr:rowOff>
    </xdr:from>
    <xdr:to>
      <xdr:col>7</xdr:col>
      <xdr:colOff>115957</xdr:colOff>
      <xdr:row>31</xdr:row>
      <xdr:rowOff>173935</xdr:rowOff>
    </xdr:to>
    <xdr:graphicFrame macro="">
      <xdr:nvGraphicFramePr>
        <xdr:cNvPr id="13" name="Graphique 12">
          <a:extLst>
            <a:ext uri="{FF2B5EF4-FFF2-40B4-BE49-F238E27FC236}">
              <a16:creationId xmlns:a16="http://schemas.microsoft.com/office/drawing/2014/main" id="{00000000-0008-0000-12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6</xdr:col>
      <xdr:colOff>29308</xdr:colOff>
      <xdr:row>1</xdr:row>
      <xdr:rowOff>65942</xdr:rowOff>
    </xdr:to>
    <xdr:sp macro="" textlink="">
      <xdr:nvSpPr>
        <xdr:cNvPr id="6" name="ZoneTexte 5" hidden="1">
          <a:extLst>
            <a:ext uri="{FF2B5EF4-FFF2-40B4-BE49-F238E27FC236}">
              <a16:creationId xmlns:a16="http://schemas.microsoft.com/office/drawing/2014/main" id="{00000000-0008-0000-1200-000006000000}"/>
            </a:ext>
          </a:extLst>
        </xdr:cNvPr>
        <xdr:cNvSpPr txBox="1"/>
      </xdr:nvSpPr>
      <xdr:spPr>
        <a:xfrm>
          <a:off x="0" y="0"/>
          <a:ext cx="4601308" cy="25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b="1"/>
            <a:t>Suivi</a:t>
          </a:r>
          <a:r>
            <a:rPr lang="fr-FR" sz="1600" b="1" baseline="0"/>
            <a:t> des coûts de l'énergie</a:t>
          </a:r>
          <a:endParaRPr lang="fr-FR" sz="1600" b="1"/>
        </a:p>
      </xdr:txBody>
    </xdr:sp>
    <xdr:clientData/>
  </xdr:twoCellAnchor>
  <xdr:twoCellAnchor editAs="oneCell">
    <xdr:from>
      <xdr:col>5</xdr:col>
      <xdr:colOff>531330</xdr:colOff>
      <xdr:row>0</xdr:row>
      <xdr:rowOff>60901</xdr:rowOff>
    </xdr:from>
    <xdr:to>
      <xdr:col>8</xdr:col>
      <xdr:colOff>82826</xdr:colOff>
      <xdr:row>1</xdr:row>
      <xdr:rowOff>138823</xdr:rowOff>
    </xdr:to>
    <xdr:pic>
      <xdr:nvPicPr>
        <xdr:cNvPr id="8" name="Image 7">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val="0"/>
            </a:ext>
          </a:extLst>
        </a:blip>
        <a:stretch>
          <a:fillRect/>
        </a:stretch>
      </xdr:blipFill>
      <xdr:spPr>
        <a:xfrm>
          <a:off x="4341330" y="60901"/>
          <a:ext cx="1837496" cy="268422"/>
        </a:xfrm>
        <a:prstGeom prst="rect">
          <a:avLst/>
        </a:prstGeom>
      </xdr:spPr>
    </xdr:pic>
    <xdr:clientData/>
  </xdr:twoCellAnchor>
  <xdr:twoCellAnchor editAs="oneCell">
    <xdr:from>
      <xdr:col>9</xdr:col>
      <xdr:colOff>447261</xdr:colOff>
      <xdr:row>0</xdr:row>
      <xdr:rowOff>8283</xdr:rowOff>
    </xdr:from>
    <xdr:to>
      <xdr:col>11</xdr:col>
      <xdr:colOff>0</xdr:colOff>
      <xdr:row>2</xdr:row>
      <xdr:rowOff>148827</xdr:rowOff>
    </xdr:to>
    <xdr:pic>
      <xdr:nvPicPr>
        <xdr:cNvPr id="9" name="Image 8">
          <a:extLst>
            <a:ext uri="{FF2B5EF4-FFF2-40B4-BE49-F238E27FC236}">
              <a16:creationId xmlns:a16="http://schemas.microsoft.com/office/drawing/2014/main" id="{00000000-0008-0000-12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305261" y="8283"/>
          <a:ext cx="1076739" cy="521544"/>
        </a:xfrm>
        <a:prstGeom prst="rect">
          <a:avLst/>
        </a:prstGeom>
      </xdr:spPr>
    </xdr:pic>
    <xdr:clientData/>
  </xdr:twoCellAnchor>
  <xdr:twoCellAnchor>
    <xdr:from>
      <xdr:col>7</xdr:col>
      <xdr:colOff>679174</xdr:colOff>
      <xdr:row>17</xdr:row>
      <xdr:rowOff>91104</xdr:rowOff>
    </xdr:from>
    <xdr:to>
      <xdr:col>8</xdr:col>
      <xdr:colOff>190501</xdr:colOff>
      <xdr:row>19</xdr:row>
      <xdr:rowOff>140799</xdr:rowOff>
    </xdr:to>
    <xdr:sp macro="" textlink="Controle_des_données!A40">
      <xdr:nvSpPr>
        <xdr:cNvPr id="2" name="ZoneTexte 1">
          <a:extLst>
            <a:ext uri="{FF2B5EF4-FFF2-40B4-BE49-F238E27FC236}">
              <a16:creationId xmlns:a16="http://schemas.microsoft.com/office/drawing/2014/main" id="{00000000-0008-0000-1200-000002000000}"/>
            </a:ext>
          </a:extLst>
        </xdr:cNvPr>
        <xdr:cNvSpPr txBox="1"/>
      </xdr:nvSpPr>
      <xdr:spPr>
        <a:xfrm rot="16200000">
          <a:off x="5934490" y="3408288"/>
          <a:ext cx="430695" cy="27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fld id="{DA43E666-33C1-4E45-BD87-463BCC38F753}" type="TxLink">
            <a:rPr lang="en-US" sz="1000" b="1" baseline="0">
              <a:solidFill>
                <a:schemeClr val="tx1">
                  <a:lumMod val="65000"/>
                  <a:lumOff val="35000"/>
                </a:schemeClr>
              </a:solidFill>
              <a:latin typeface="+mn-lt"/>
              <a:ea typeface="+mn-ea"/>
              <a:cs typeface="+mn-cs"/>
            </a:rPr>
            <a:pPr marL="0" indent="0" algn="ctr"/>
            <a:t>0</a:t>
          </a:fld>
          <a:endParaRPr lang="fr-FR" sz="1000" b="1" baseline="0">
            <a:solidFill>
              <a:schemeClr val="tx1">
                <a:lumMod val="65000"/>
                <a:lumOff val="35000"/>
              </a:schemeClr>
            </a:solidFill>
            <a:latin typeface="+mn-lt"/>
            <a:ea typeface="+mn-ea"/>
            <a:cs typeface="+mn-cs"/>
          </a:endParaRPr>
        </a:p>
      </xdr:txBody>
    </xdr:sp>
    <xdr:clientData/>
  </xdr:twoCellAnchor>
  <xdr:twoCellAnchor>
    <xdr:from>
      <xdr:col>0</xdr:col>
      <xdr:colOff>381001</xdr:colOff>
      <xdr:row>17</xdr:row>
      <xdr:rowOff>48181</xdr:rowOff>
    </xdr:from>
    <xdr:to>
      <xdr:col>0</xdr:col>
      <xdr:colOff>594406</xdr:colOff>
      <xdr:row>19</xdr:row>
      <xdr:rowOff>91107</xdr:rowOff>
    </xdr:to>
    <xdr:sp macro="" textlink="Controle_des_données!A40">
      <xdr:nvSpPr>
        <xdr:cNvPr id="5" name="ZoneTexte 4">
          <a:extLst>
            <a:ext uri="{FF2B5EF4-FFF2-40B4-BE49-F238E27FC236}">
              <a16:creationId xmlns:a16="http://schemas.microsoft.com/office/drawing/2014/main" id="{00000000-0008-0000-1200-000005000000}"/>
            </a:ext>
          </a:extLst>
        </xdr:cNvPr>
        <xdr:cNvSpPr txBox="1"/>
      </xdr:nvSpPr>
      <xdr:spPr>
        <a:xfrm rot="16200000">
          <a:off x="275741" y="3391941"/>
          <a:ext cx="423926" cy="2134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fld id="{DA43E666-33C1-4E45-BD87-463BCC38F753}" type="TxLink">
            <a:rPr lang="en-US" sz="1000" b="1" i="0" u="none" strike="noStrike" baseline="0">
              <a:solidFill>
                <a:schemeClr val="tx1">
                  <a:lumMod val="65000"/>
                  <a:lumOff val="35000"/>
                </a:schemeClr>
              </a:solidFill>
              <a:latin typeface="+mn-lt"/>
              <a:ea typeface="+mn-ea"/>
              <a:cs typeface="+mn-cs"/>
            </a:rPr>
            <a:pPr marL="0" indent="0" algn="ctr"/>
            <a:t>0</a:t>
          </a:fld>
          <a:endParaRPr lang="fr-FR" sz="1000" b="1" baseline="0">
            <a:solidFill>
              <a:schemeClr val="tx1">
                <a:lumMod val="65000"/>
                <a:lumOff val="35000"/>
              </a:schemeClr>
            </a:solidFill>
            <a:latin typeface="+mn-lt"/>
            <a:ea typeface="+mn-ea"/>
            <a:cs typeface="+mn-cs"/>
          </a:endParaRPr>
        </a:p>
      </xdr:txBody>
    </xdr:sp>
    <xdr:clientData/>
  </xdr:twoCellAnchor>
  <xdr:twoCellAnchor>
    <xdr:from>
      <xdr:col>0</xdr:col>
      <xdr:colOff>123411</xdr:colOff>
      <xdr:row>12</xdr:row>
      <xdr:rowOff>173935</xdr:rowOff>
    </xdr:from>
    <xdr:to>
      <xdr:col>7</xdr:col>
      <xdr:colOff>512693</xdr:colOff>
      <xdr:row>14</xdr:row>
      <xdr:rowOff>49377</xdr:rowOff>
    </xdr:to>
    <xdr:sp macro="" textlink="">
      <xdr:nvSpPr>
        <xdr:cNvPr id="11" name="ZoneTexte 10">
          <a:extLst>
            <a:ext uri="{FF2B5EF4-FFF2-40B4-BE49-F238E27FC236}">
              <a16:creationId xmlns:a16="http://schemas.microsoft.com/office/drawing/2014/main" id="{00000000-0008-0000-1200-00000B000000}"/>
            </a:ext>
          </a:extLst>
        </xdr:cNvPr>
        <xdr:cNvSpPr txBox="1"/>
      </xdr:nvSpPr>
      <xdr:spPr>
        <a:xfrm>
          <a:off x="123411" y="2459935"/>
          <a:ext cx="5723282" cy="25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t>Coûts unitaires de l'énergie</a:t>
          </a:r>
        </a:p>
      </xdr:txBody>
    </xdr:sp>
    <xdr:clientData/>
  </xdr:twoCellAnchor>
  <xdr:twoCellAnchor>
    <xdr:from>
      <xdr:col>7</xdr:col>
      <xdr:colOff>747505</xdr:colOff>
      <xdr:row>12</xdr:row>
      <xdr:rowOff>135835</xdr:rowOff>
    </xdr:from>
    <xdr:to>
      <xdr:col>10</xdr:col>
      <xdr:colOff>614983</xdr:colOff>
      <xdr:row>14</xdr:row>
      <xdr:rowOff>11277</xdr:rowOff>
    </xdr:to>
    <xdr:sp macro="" textlink="">
      <xdr:nvSpPr>
        <xdr:cNvPr id="12" name="ZoneTexte 11">
          <a:extLst>
            <a:ext uri="{FF2B5EF4-FFF2-40B4-BE49-F238E27FC236}">
              <a16:creationId xmlns:a16="http://schemas.microsoft.com/office/drawing/2014/main" id="{00000000-0008-0000-1200-00000C000000}"/>
            </a:ext>
          </a:extLst>
        </xdr:cNvPr>
        <xdr:cNvSpPr txBox="1"/>
      </xdr:nvSpPr>
      <xdr:spPr>
        <a:xfrm>
          <a:off x="6081505" y="2421835"/>
          <a:ext cx="2153478" cy="25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t>Dépense </a:t>
          </a:r>
          <a:r>
            <a:rPr lang="fr-FR" sz="1100" b="1" baseline="0"/>
            <a:t>annuelle de l'énergie</a:t>
          </a:r>
          <a:endParaRPr lang="fr-FR" sz="1100" b="1"/>
        </a:p>
      </xdr:txBody>
    </xdr:sp>
    <xdr:clientData/>
  </xdr:twoCellAnchor>
  <xdr:twoCellAnchor>
    <xdr:from>
      <xdr:col>5</xdr:col>
      <xdr:colOff>496956</xdr:colOff>
      <xdr:row>2</xdr:row>
      <xdr:rowOff>8283</xdr:rowOff>
    </xdr:from>
    <xdr:to>
      <xdr:col>6</xdr:col>
      <xdr:colOff>725556</xdr:colOff>
      <xdr:row>3</xdr:row>
      <xdr:rowOff>175651</xdr:rowOff>
    </xdr:to>
    <xdr:sp macro="" textlink="">
      <xdr:nvSpPr>
        <xdr:cNvPr id="16" name="Rectangle : coins arrondis 15">
          <a:hlinkClick xmlns:r="http://schemas.openxmlformats.org/officeDocument/2006/relationships" r:id="rId5"/>
          <a:extLst>
            <a:ext uri="{FF2B5EF4-FFF2-40B4-BE49-F238E27FC236}">
              <a16:creationId xmlns:a16="http://schemas.microsoft.com/office/drawing/2014/main" id="{00000000-0008-0000-1200-000010000000}"/>
            </a:ext>
          </a:extLst>
        </xdr:cNvPr>
        <xdr:cNvSpPr/>
      </xdr:nvSpPr>
      <xdr:spPr>
        <a:xfrm>
          <a:off x="4306956" y="389283"/>
          <a:ext cx="990600" cy="357868"/>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1">
              <a:solidFill>
                <a:schemeClr val="tx1"/>
              </a:solidFill>
            </a:rPr>
            <a:t>Retour</a:t>
          </a:r>
          <a:r>
            <a:rPr lang="fr-FR" sz="1000" b="1" baseline="0">
              <a:solidFill>
                <a:schemeClr val="tx1"/>
              </a:solidFill>
            </a:rPr>
            <a:t> Acceuil</a:t>
          </a:r>
          <a:endParaRPr lang="fr-FR" sz="1000" b="1">
            <a:solidFill>
              <a:schemeClr val="tx1"/>
            </a:solidFill>
          </a:endParaRPr>
        </a:p>
      </xdr:txBody>
    </xdr:sp>
    <xdr:clientData/>
  </xdr:twoCellAnchor>
  <xdr:twoCellAnchor editAs="oneCell">
    <xdr:from>
      <xdr:col>0</xdr:col>
      <xdr:colOff>287406</xdr:colOff>
      <xdr:row>4</xdr:row>
      <xdr:rowOff>21121</xdr:rowOff>
    </xdr:from>
    <xdr:to>
      <xdr:col>10</xdr:col>
      <xdr:colOff>223630</xdr:colOff>
      <xdr:row>11</xdr:row>
      <xdr:rowOff>59221</xdr:rowOff>
    </xdr:to>
    <mc:AlternateContent xmlns:mc="http://schemas.openxmlformats.org/markup-compatibility/2006" xmlns:tsle="http://schemas.microsoft.com/office/drawing/2012/timeslicer">
      <mc:Choice Requires="tsle">
        <xdr:graphicFrame macro="">
          <xdr:nvGraphicFramePr>
            <xdr:cNvPr id="17" name="Dates 1">
              <a:extLst>
                <a:ext uri="{FF2B5EF4-FFF2-40B4-BE49-F238E27FC236}">
                  <a16:creationId xmlns:a16="http://schemas.microsoft.com/office/drawing/2014/main" id="{00000000-0008-0000-1200-000011000000}"/>
                </a:ext>
              </a:extLst>
            </xdr:cNvPr>
            <xdr:cNvGraphicFramePr/>
          </xdr:nvGraphicFramePr>
          <xdr:xfrm>
            <a:off x="0" y="0"/>
            <a:ext cx="0" cy="0"/>
          </xdr:xfrm>
          <a:graphic>
            <a:graphicData uri="http://schemas.microsoft.com/office/drawing/2012/timeslicer">
              <tsle:timeslicer name="Dates 1"/>
            </a:graphicData>
          </a:graphic>
        </xdr:graphicFrame>
      </mc:Choice>
      <mc:Fallback xmlns="">
        <xdr:sp macro="" textlink="">
          <xdr:nvSpPr>
            <xdr:cNvPr id="0" name=""/>
            <xdr:cNvSpPr>
              <a:spLocks noTextEdit="1"/>
            </xdr:cNvSpPr>
          </xdr:nvSpPr>
          <xdr:spPr>
            <a:xfrm>
              <a:off x="287406" y="783121"/>
              <a:ext cx="7556224" cy="1371600"/>
            </a:xfrm>
            <a:prstGeom prst="rect">
              <a:avLst/>
            </a:prstGeom>
            <a:solidFill>
              <a:prstClr val="white"/>
            </a:solidFill>
            <a:ln w="1">
              <a:solidFill>
                <a:prstClr val="green"/>
              </a:solidFill>
            </a:ln>
          </xdr:spPr>
          <xdr:txBody>
            <a:bodyPr vertOverflow="clip" horzOverflow="clip"/>
            <a:lstStyle/>
            <a:p>
              <a:r>
                <a:rPr lang="fr-FR" sz="1100"/>
                <a:t>Chronologie : fonctionne dans Excel 2013 ou version ultérieure. Ne pas déplacer ou redimensionner.</a:t>
              </a:r>
            </a:p>
          </xdr:txBody>
        </xdr:sp>
      </mc:Fallback>
    </mc:AlternateContent>
    <xdr:clientData/>
  </xdr:twoCellAnchor>
  <xdr:twoCellAnchor editAs="oneCell">
    <xdr:from>
      <xdr:col>8</xdr:col>
      <xdr:colOff>99391</xdr:colOff>
      <xdr:row>0</xdr:row>
      <xdr:rowOff>0</xdr:rowOff>
    </xdr:from>
    <xdr:to>
      <xdr:col>9</xdr:col>
      <xdr:colOff>459684</xdr:colOff>
      <xdr:row>2</xdr:row>
      <xdr:rowOff>157256</xdr:rowOff>
    </xdr:to>
    <xdr:pic>
      <xdr:nvPicPr>
        <xdr:cNvPr id="14" name="Image 13">
          <a:extLst>
            <a:ext uri="{FF2B5EF4-FFF2-40B4-BE49-F238E27FC236}">
              <a16:creationId xmlns:a16="http://schemas.microsoft.com/office/drawing/2014/main" id="{00000000-0008-0000-1200-00000E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6470" b="14117"/>
        <a:stretch/>
      </xdr:blipFill>
      <xdr:spPr bwMode="auto">
        <a:xfrm>
          <a:off x="6195391" y="0"/>
          <a:ext cx="1122293" cy="538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0</xdr:colOff>
      <xdr:row>0</xdr:row>
      <xdr:rowOff>28575</xdr:rowOff>
    </xdr:from>
    <xdr:to>
      <xdr:col>10</xdr:col>
      <xdr:colOff>753717</xdr:colOff>
      <xdr:row>1048576</xdr:row>
      <xdr:rowOff>330679</xdr:rowOff>
    </xdr:to>
    <xdr:pic>
      <xdr:nvPicPr>
        <xdr:cNvPr id="2" name="Imag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0" y="28575"/>
          <a:ext cx="2277717" cy="330679"/>
        </a:xfrm>
        <a:prstGeom prst="rect">
          <a:avLst/>
        </a:prstGeom>
      </xdr:spPr>
    </xdr:pic>
    <xdr:clientData/>
  </xdr:twoCellAnchor>
  <xdr:twoCellAnchor>
    <xdr:from>
      <xdr:col>0</xdr:col>
      <xdr:colOff>0</xdr:colOff>
      <xdr:row>0</xdr:row>
      <xdr:rowOff>0</xdr:rowOff>
    </xdr:from>
    <xdr:to>
      <xdr:col>8</xdr:col>
      <xdr:colOff>19050</xdr:colOff>
      <xdr:row>1</xdr:row>
      <xdr:rowOff>65942</xdr:rowOff>
    </xdr:to>
    <xdr:sp macro="" textlink="">
      <xdr:nvSpPr>
        <xdr:cNvPr id="4" name="ZoneTexte 3">
          <a:extLst>
            <a:ext uri="{FF2B5EF4-FFF2-40B4-BE49-F238E27FC236}">
              <a16:creationId xmlns:a16="http://schemas.microsoft.com/office/drawing/2014/main" id="{00000000-0008-0000-1400-000004000000}"/>
            </a:ext>
          </a:extLst>
        </xdr:cNvPr>
        <xdr:cNvSpPr txBox="1"/>
      </xdr:nvSpPr>
      <xdr:spPr>
        <a:xfrm>
          <a:off x="0" y="0"/>
          <a:ext cx="6115050" cy="25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b="1"/>
            <a:t>Suivi</a:t>
          </a:r>
          <a:r>
            <a:rPr lang="fr-FR" sz="1600" b="1" baseline="0"/>
            <a:t> de la production d'énergie sur site</a:t>
          </a:r>
          <a:endParaRPr lang="fr-FR" sz="1600" b="1"/>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1</xdr:row>
      <xdr:rowOff>65942</xdr:rowOff>
    </xdr:to>
    <xdr:sp macro="" textlink="">
      <xdr:nvSpPr>
        <xdr:cNvPr id="2" name="ZoneTexte 1">
          <a:extLst>
            <a:ext uri="{FF2B5EF4-FFF2-40B4-BE49-F238E27FC236}">
              <a16:creationId xmlns:a16="http://schemas.microsoft.com/office/drawing/2014/main" id="{00000000-0008-0000-1500-000002000000}"/>
            </a:ext>
          </a:extLst>
        </xdr:cNvPr>
        <xdr:cNvSpPr txBox="1"/>
      </xdr:nvSpPr>
      <xdr:spPr>
        <a:xfrm>
          <a:off x="0" y="0"/>
          <a:ext cx="4572000" cy="25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b="1"/>
            <a:t>Analyse</a:t>
          </a:r>
          <a:r>
            <a:rPr lang="fr-FR" sz="1600" b="1" baseline="0"/>
            <a:t> détaillée des sous - compteurs</a:t>
          </a:r>
          <a:endParaRPr lang="fr-FR" sz="1600" b="1"/>
        </a:p>
      </xdr:txBody>
    </xdr:sp>
    <xdr:clientData/>
  </xdr:twoCellAnchor>
  <xdr:twoCellAnchor editAs="oneCell">
    <xdr:from>
      <xdr:col>6</xdr:col>
      <xdr:colOff>0</xdr:colOff>
      <xdr:row>0</xdr:row>
      <xdr:rowOff>11205</xdr:rowOff>
    </xdr:from>
    <xdr:to>
      <xdr:col>8</xdr:col>
      <xdr:colOff>753717</xdr:colOff>
      <xdr:row>1</xdr:row>
      <xdr:rowOff>156146</xdr:rowOff>
    </xdr:to>
    <xdr:pic>
      <xdr:nvPicPr>
        <xdr:cNvPr id="3" name="Image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4572000" y="11205"/>
          <a:ext cx="2277717" cy="335441"/>
        </a:xfrm>
        <a:prstGeom prst="rect">
          <a:avLst/>
        </a:prstGeom>
      </xdr:spPr>
    </xdr:pic>
    <xdr:clientData/>
  </xdr:twoCellAnchor>
  <xdr:twoCellAnchor editAs="oneCell">
    <xdr:from>
      <xdr:col>9</xdr:col>
      <xdr:colOff>40889</xdr:colOff>
      <xdr:row>0</xdr:row>
      <xdr:rowOff>0</xdr:rowOff>
    </xdr:from>
    <xdr:to>
      <xdr:col>11</xdr:col>
      <xdr:colOff>0</xdr:colOff>
      <xdr:row>3</xdr:row>
      <xdr:rowOff>145676</xdr:rowOff>
    </xdr:to>
    <xdr:pic>
      <xdr:nvPicPr>
        <xdr:cNvPr id="4" name="Image 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98889" y="0"/>
          <a:ext cx="1483111" cy="717176"/>
        </a:xfrm>
        <a:prstGeom prst="rect">
          <a:avLst/>
        </a:prstGeom>
      </xdr:spPr>
    </xdr:pic>
    <xdr:clientData/>
  </xdr:twoCellAnchor>
  <xdr:twoCellAnchor>
    <xdr:from>
      <xdr:col>0</xdr:col>
      <xdr:colOff>165652</xdr:colOff>
      <xdr:row>10</xdr:row>
      <xdr:rowOff>14495</xdr:rowOff>
    </xdr:from>
    <xdr:to>
      <xdr:col>7</xdr:col>
      <xdr:colOff>571500</xdr:colOff>
      <xdr:row>31</xdr:row>
      <xdr:rowOff>171864</xdr:rowOff>
    </xdr:to>
    <xdr:graphicFrame macro="">
      <xdr:nvGraphicFramePr>
        <xdr:cNvPr id="11" name="Graphique 10">
          <a:extLst>
            <a:ext uri="{FF2B5EF4-FFF2-40B4-BE49-F238E27FC236}">
              <a16:creationId xmlns:a16="http://schemas.microsoft.com/office/drawing/2014/main" id="{00000000-0008-0000-15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0</xdr:col>
      <xdr:colOff>197540</xdr:colOff>
      <xdr:row>8</xdr:row>
      <xdr:rowOff>138734</xdr:rowOff>
    </xdr:from>
    <xdr:to>
      <xdr:col>7</xdr:col>
      <xdr:colOff>586822</xdr:colOff>
      <xdr:row>10</xdr:row>
      <xdr:rowOff>14176</xdr:rowOff>
    </xdr:to>
    <xdr:sp macro="" textlink="">
      <xdr:nvSpPr>
        <xdr:cNvPr id="12" name="ZoneTexte 11">
          <a:extLst>
            <a:ext uri="{FF2B5EF4-FFF2-40B4-BE49-F238E27FC236}">
              <a16:creationId xmlns:a16="http://schemas.microsoft.com/office/drawing/2014/main" id="{00000000-0008-0000-1500-00000C000000}"/>
            </a:ext>
          </a:extLst>
        </xdr:cNvPr>
        <xdr:cNvSpPr txBox="1"/>
      </xdr:nvSpPr>
      <xdr:spPr>
        <a:xfrm>
          <a:off x="197540" y="1662734"/>
          <a:ext cx="5723282" cy="25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t>Evolution</a:t>
          </a:r>
          <a:r>
            <a:rPr lang="fr-FR" sz="1100" b="1" baseline="0"/>
            <a:t> des consommations unitaires du sous- compteur</a:t>
          </a:r>
          <a:endParaRPr lang="fr-FR" sz="1100" b="1"/>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714375</xdr:colOff>
      <xdr:row>0</xdr:row>
      <xdr:rowOff>58830</xdr:rowOff>
    </xdr:from>
    <xdr:to>
      <xdr:col>8</xdr:col>
      <xdr:colOff>702917</xdr:colOff>
      <xdr:row>2</xdr:row>
      <xdr:rowOff>10096</xdr:rowOff>
    </xdr:to>
    <xdr:pic>
      <xdr:nvPicPr>
        <xdr:cNvPr id="2" name="Imag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5219700" y="58830"/>
          <a:ext cx="2274542" cy="332266"/>
        </a:xfrm>
        <a:prstGeom prst="rect">
          <a:avLst/>
        </a:prstGeom>
      </xdr:spPr>
    </xdr:pic>
    <xdr:clientData/>
  </xdr:twoCellAnchor>
  <xdr:twoCellAnchor>
    <xdr:from>
      <xdr:col>0</xdr:col>
      <xdr:colOff>219075</xdr:colOff>
      <xdr:row>0</xdr:row>
      <xdr:rowOff>28575</xdr:rowOff>
    </xdr:from>
    <xdr:to>
      <xdr:col>5</xdr:col>
      <xdr:colOff>533400</xdr:colOff>
      <xdr:row>2</xdr:row>
      <xdr:rowOff>104775</xdr:rowOff>
    </xdr:to>
    <xdr:sp macro="" textlink="">
      <xdr:nvSpPr>
        <xdr:cNvPr id="4" name="ZoneTexte 3">
          <a:extLst>
            <a:ext uri="{FF2B5EF4-FFF2-40B4-BE49-F238E27FC236}">
              <a16:creationId xmlns:a16="http://schemas.microsoft.com/office/drawing/2014/main" id="{00000000-0008-0000-1700-000004000000}"/>
            </a:ext>
          </a:extLst>
        </xdr:cNvPr>
        <xdr:cNvSpPr txBox="1"/>
      </xdr:nvSpPr>
      <xdr:spPr>
        <a:xfrm>
          <a:off x="219075" y="28575"/>
          <a:ext cx="48196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600" b="1"/>
            <a:t>Données Complémentaires</a:t>
          </a:r>
          <a:r>
            <a:rPr lang="fr-FR" sz="1600" b="1" baseline="0"/>
            <a:t> pour le reporting CTEES</a:t>
          </a:r>
          <a:endParaRPr lang="fr-FR" sz="1600" b="1"/>
        </a:p>
      </xdr:txBody>
    </xdr:sp>
    <xdr:clientData/>
  </xdr:twoCellAnchor>
  <xdr:twoCellAnchor>
    <xdr:from>
      <xdr:col>7</xdr:col>
      <xdr:colOff>285750</xdr:colOff>
      <xdr:row>2</xdr:row>
      <xdr:rowOff>114300</xdr:rowOff>
    </xdr:from>
    <xdr:to>
      <xdr:col>8</xdr:col>
      <xdr:colOff>514350</xdr:colOff>
      <xdr:row>4</xdr:row>
      <xdr:rowOff>91168</xdr:rowOff>
    </xdr:to>
    <xdr:sp macro="" textlink="">
      <xdr:nvSpPr>
        <xdr:cNvPr id="5" name="Rectangle : coins arrondis 4">
          <a:hlinkClick xmlns:r="http://schemas.openxmlformats.org/officeDocument/2006/relationships" r:id="rId2"/>
          <a:extLst>
            <a:ext uri="{FF2B5EF4-FFF2-40B4-BE49-F238E27FC236}">
              <a16:creationId xmlns:a16="http://schemas.microsoft.com/office/drawing/2014/main" id="{00000000-0008-0000-1700-000005000000}"/>
            </a:ext>
          </a:extLst>
        </xdr:cNvPr>
        <xdr:cNvSpPr/>
      </xdr:nvSpPr>
      <xdr:spPr>
        <a:xfrm>
          <a:off x="6315075" y="495300"/>
          <a:ext cx="990600" cy="357868"/>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1">
              <a:solidFill>
                <a:schemeClr val="tx1"/>
              </a:solidFill>
            </a:rPr>
            <a:t>Retour</a:t>
          </a:r>
          <a:r>
            <a:rPr lang="fr-FR" sz="1000" b="1" baseline="0">
              <a:solidFill>
                <a:schemeClr val="tx1"/>
              </a:solidFill>
            </a:rPr>
            <a:t> Acceuil</a:t>
          </a:r>
          <a:endParaRPr lang="fr-FR" sz="1000" b="1">
            <a:solidFill>
              <a:schemeClr val="tx1"/>
            </a:solidFill>
          </a:endParaRPr>
        </a:p>
      </xdr:txBody>
    </xdr:sp>
    <xdr:clientData/>
  </xdr:twoCellAnchor>
  <xdr:twoCellAnchor>
    <xdr:from>
      <xdr:col>9</xdr:col>
      <xdr:colOff>200025</xdr:colOff>
      <xdr:row>42</xdr:row>
      <xdr:rowOff>104775</xdr:rowOff>
    </xdr:from>
    <xdr:to>
      <xdr:col>10</xdr:col>
      <xdr:colOff>428625</xdr:colOff>
      <xdr:row>44</xdr:row>
      <xdr:rowOff>81643</xdr:rowOff>
    </xdr:to>
    <xdr:sp macro="" textlink="">
      <xdr:nvSpPr>
        <xdr:cNvPr id="6" name="Rectangle : coins arrondis 5">
          <a:hlinkClick xmlns:r="http://schemas.openxmlformats.org/officeDocument/2006/relationships" r:id="rId2"/>
          <a:extLst>
            <a:ext uri="{FF2B5EF4-FFF2-40B4-BE49-F238E27FC236}">
              <a16:creationId xmlns:a16="http://schemas.microsoft.com/office/drawing/2014/main" id="{00000000-0008-0000-1700-000006000000}"/>
            </a:ext>
          </a:extLst>
        </xdr:cNvPr>
        <xdr:cNvSpPr/>
      </xdr:nvSpPr>
      <xdr:spPr>
        <a:xfrm>
          <a:off x="7753350" y="6724650"/>
          <a:ext cx="990600" cy="357868"/>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1">
              <a:solidFill>
                <a:schemeClr val="tx1"/>
              </a:solidFill>
            </a:rPr>
            <a:t>Retour</a:t>
          </a:r>
          <a:r>
            <a:rPr lang="fr-FR" sz="1000" b="1" baseline="0">
              <a:solidFill>
                <a:schemeClr val="tx1"/>
              </a:solidFill>
            </a:rPr>
            <a:t> Acceuil</a:t>
          </a:r>
          <a:endParaRPr lang="fr-FR" sz="1000" b="1">
            <a:solidFill>
              <a:schemeClr val="tx1"/>
            </a:solidFill>
          </a:endParaRPr>
        </a:p>
      </xdr:txBody>
    </xdr:sp>
    <xdr:clientData/>
  </xdr:twoCellAnchor>
  <xdr:twoCellAnchor editAs="oneCell">
    <xdr:from>
      <xdr:col>8</xdr:col>
      <xdr:colOff>756769</xdr:colOff>
      <xdr:row>0</xdr:row>
      <xdr:rowOff>0</xdr:rowOff>
    </xdr:from>
    <xdr:to>
      <xdr:col>11</xdr:col>
      <xdr:colOff>0</xdr:colOff>
      <xdr:row>3</xdr:row>
      <xdr:rowOff>161924</xdr:rowOff>
    </xdr:to>
    <xdr:pic>
      <xdr:nvPicPr>
        <xdr:cNvPr id="7" name="Image 6">
          <a:extLst>
            <a:ext uri="{FF2B5EF4-FFF2-40B4-BE49-F238E27FC236}">
              <a16:creationId xmlns:a16="http://schemas.microsoft.com/office/drawing/2014/main" id="{00000000-0008-0000-1700-000007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6470" b="14117"/>
        <a:stretch/>
      </xdr:blipFill>
      <xdr:spPr bwMode="auto">
        <a:xfrm>
          <a:off x="7548094" y="0"/>
          <a:ext cx="1529231" cy="733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428625</xdr:colOff>
      <xdr:row>0</xdr:row>
      <xdr:rowOff>161925</xdr:rowOff>
    </xdr:from>
    <xdr:to>
      <xdr:col>1</xdr:col>
      <xdr:colOff>1419225</xdr:colOff>
      <xdr:row>2</xdr:row>
      <xdr:rowOff>119743</xdr:rowOff>
    </xdr:to>
    <xdr:sp macro="" textlink="">
      <xdr:nvSpPr>
        <xdr:cNvPr id="2" name="Rectangle : coins arrondis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190625" y="161925"/>
          <a:ext cx="990600" cy="357868"/>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1">
              <a:solidFill>
                <a:schemeClr val="tx1"/>
              </a:solidFill>
            </a:rPr>
            <a:t>Retour</a:t>
          </a:r>
          <a:r>
            <a:rPr lang="fr-FR" sz="1000" b="1" baseline="0">
              <a:solidFill>
                <a:schemeClr val="tx1"/>
              </a:solidFill>
            </a:rPr>
            <a:t> Acceuil</a:t>
          </a:r>
          <a:endParaRPr lang="fr-FR" sz="1000" b="1">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132136</xdr:rowOff>
    </xdr:from>
    <xdr:to>
      <xdr:col>2</xdr:col>
      <xdr:colOff>244842</xdr:colOff>
      <xdr:row>2</xdr:row>
      <xdr:rowOff>16566</xdr:rowOff>
    </xdr:to>
    <xdr:pic>
      <xdr:nvPicPr>
        <xdr:cNvPr id="2" name="Image 1" descr="Une image contenant texte, Police, ligne, typographie&#10;&#10;Description générée automatiquement">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0" y="132136"/>
          <a:ext cx="1768842" cy="265430"/>
        </a:xfrm>
        <a:prstGeom prst="rect">
          <a:avLst/>
        </a:prstGeom>
      </xdr:spPr>
    </xdr:pic>
    <xdr:clientData/>
  </xdr:twoCellAnchor>
  <xdr:twoCellAnchor editAs="oneCell">
    <xdr:from>
      <xdr:col>12</xdr:col>
      <xdr:colOff>390525</xdr:colOff>
      <xdr:row>0</xdr:row>
      <xdr:rowOff>0</xdr:rowOff>
    </xdr:from>
    <xdr:to>
      <xdr:col>14</xdr:col>
      <xdr:colOff>0</xdr:colOff>
      <xdr:row>2</xdr:row>
      <xdr:rowOff>164062</xdr:rowOff>
    </xdr:to>
    <xdr:pic>
      <xdr:nvPicPr>
        <xdr:cNvPr id="3" name="Image 2" descr="Une image contenant texte, Police, conception&#10;&#10;Description générée automatiquement">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34525" y="0"/>
          <a:ext cx="1133475" cy="545062"/>
        </a:xfrm>
        <a:prstGeom prst="rect">
          <a:avLst/>
        </a:prstGeom>
      </xdr:spPr>
    </xdr:pic>
    <xdr:clientData/>
  </xdr:twoCellAnchor>
  <xdr:twoCellAnchor>
    <xdr:from>
      <xdr:col>0</xdr:col>
      <xdr:colOff>28575</xdr:colOff>
      <xdr:row>3</xdr:row>
      <xdr:rowOff>43227</xdr:rowOff>
    </xdr:from>
    <xdr:to>
      <xdr:col>14</xdr:col>
      <xdr:colOff>0</xdr:colOff>
      <xdr:row>3</xdr:row>
      <xdr:rowOff>43227</xdr:rowOff>
    </xdr:to>
    <xdr:cxnSp macro="">
      <xdr:nvCxnSpPr>
        <xdr:cNvPr id="4" name="Connecteur droit 3">
          <a:extLst>
            <a:ext uri="{FF2B5EF4-FFF2-40B4-BE49-F238E27FC236}">
              <a16:creationId xmlns:a16="http://schemas.microsoft.com/office/drawing/2014/main" id="{00000000-0008-0000-0300-000004000000}"/>
            </a:ext>
          </a:extLst>
        </xdr:cNvPr>
        <xdr:cNvCxnSpPr/>
      </xdr:nvCxnSpPr>
      <xdr:spPr>
        <a:xfrm>
          <a:off x="28575" y="614727"/>
          <a:ext cx="10639425" cy="0"/>
        </a:xfrm>
        <a:prstGeom prst="line">
          <a:avLst/>
        </a:prstGeom>
        <a:ln w="28575">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9525</xdr:colOff>
      <xdr:row>0</xdr:row>
      <xdr:rowOff>66675</xdr:rowOff>
    </xdr:from>
    <xdr:ext cx="184731" cy="264560"/>
    <xdr:sp macro="" textlink="">
      <xdr:nvSpPr>
        <xdr:cNvPr id="5" name="ZoneTexte 4">
          <a:extLst>
            <a:ext uri="{FF2B5EF4-FFF2-40B4-BE49-F238E27FC236}">
              <a16:creationId xmlns:a16="http://schemas.microsoft.com/office/drawing/2014/main" id="{00000000-0008-0000-0300-000005000000}"/>
            </a:ext>
          </a:extLst>
        </xdr:cNvPr>
        <xdr:cNvSpPr txBox="1"/>
      </xdr:nvSpPr>
      <xdr:spPr>
        <a:xfrm>
          <a:off x="3057525" y="6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295275</xdr:colOff>
      <xdr:row>0</xdr:row>
      <xdr:rowOff>0</xdr:rowOff>
    </xdr:from>
    <xdr:ext cx="4871526" cy="530658"/>
    <xdr:sp macro="" textlink="">
      <xdr:nvSpPr>
        <xdr:cNvPr id="6" name="ZoneTexte 5">
          <a:extLst>
            <a:ext uri="{FF2B5EF4-FFF2-40B4-BE49-F238E27FC236}">
              <a16:creationId xmlns:a16="http://schemas.microsoft.com/office/drawing/2014/main" id="{00000000-0008-0000-0300-000006000000}"/>
            </a:ext>
          </a:extLst>
        </xdr:cNvPr>
        <xdr:cNvSpPr txBox="1"/>
      </xdr:nvSpPr>
      <xdr:spPr>
        <a:xfrm>
          <a:off x="3343275" y="0"/>
          <a:ext cx="4871526"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2800" b="1"/>
            <a:t>OUTIL DE SUIVI </a:t>
          </a:r>
          <a:r>
            <a:rPr lang="fr-FR" sz="2800" b="1">
              <a:solidFill>
                <a:schemeClr val="accent2"/>
              </a:solidFill>
            </a:rPr>
            <a:t>ENERGIE</a:t>
          </a:r>
          <a:r>
            <a:rPr lang="fr-FR" sz="2800" b="1"/>
            <a:t> &amp; </a:t>
          </a:r>
          <a:r>
            <a:rPr lang="fr-FR" sz="2800" b="1">
              <a:solidFill>
                <a:schemeClr val="accent5">
                  <a:lumMod val="75000"/>
                </a:schemeClr>
              </a:solidFill>
            </a:rPr>
            <a:t>EAU</a:t>
          </a:r>
        </a:p>
      </xdr:txBody>
    </xdr:sp>
    <xdr:clientData/>
  </xdr:oneCellAnchor>
  <xdr:twoCellAnchor>
    <xdr:from>
      <xdr:col>4</xdr:col>
      <xdr:colOff>504825</xdr:colOff>
      <xdr:row>1</xdr:row>
      <xdr:rowOff>161191</xdr:rowOff>
    </xdr:from>
    <xdr:to>
      <xdr:col>10</xdr:col>
      <xdr:colOff>447675</xdr:colOff>
      <xdr:row>3</xdr:row>
      <xdr:rowOff>104041</xdr:rowOff>
    </xdr:to>
    <xdr:sp macro="" textlink="">
      <xdr:nvSpPr>
        <xdr:cNvPr id="7" name="ZoneTexte 6">
          <a:extLst>
            <a:ext uri="{FF2B5EF4-FFF2-40B4-BE49-F238E27FC236}">
              <a16:creationId xmlns:a16="http://schemas.microsoft.com/office/drawing/2014/main" id="{00000000-0008-0000-0300-000007000000}"/>
            </a:ext>
          </a:extLst>
        </xdr:cNvPr>
        <xdr:cNvSpPr txBox="1"/>
      </xdr:nvSpPr>
      <xdr:spPr>
        <a:xfrm>
          <a:off x="3552825" y="351691"/>
          <a:ext cx="45148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200"/>
            <a:t>Suivi des consommation</a:t>
          </a:r>
          <a:r>
            <a:rPr lang="fr-FR" sz="1200" baseline="0"/>
            <a:t>s et décret tertiaire </a:t>
          </a:r>
          <a:endParaRPr lang="fr-FR" sz="1200"/>
        </a:p>
      </xdr:txBody>
    </xdr:sp>
    <xdr:clientData/>
  </xdr:twoCellAnchor>
  <xdr:twoCellAnchor>
    <xdr:from>
      <xdr:col>0</xdr:col>
      <xdr:colOff>36635</xdr:colOff>
      <xdr:row>3</xdr:row>
      <xdr:rowOff>168519</xdr:rowOff>
    </xdr:from>
    <xdr:to>
      <xdr:col>5</xdr:col>
      <xdr:colOff>688731</xdr:colOff>
      <xdr:row>14</xdr:row>
      <xdr:rowOff>1</xdr:rowOff>
    </xdr:to>
    <xdr:sp macro="" textlink="">
      <xdr:nvSpPr>
        <xdr:cNvPr id="8" name="Rectangle : coins arrondis 7">
          <a:extLst>
            <a:ext uri="{FF2B5EF4-FFF2-40B4-BE49-F238E27FC236}">
              <a16:creationId xmlns:a16="http://schemas.microsoft.com/office/drawing/2014/main" id="{00000000-0008-0000-0300-000008000000}"/>
            </a:ext>
          </a:extLst>
        </xdr:cNvPr>
        <xdr:cNvSpPr/>
      </xdr:nvSpPr>
      <xdr:spPr>
        <a:xfrm>
          <a:off x="36635" y="740019"/>
          <a:ext cx="4462096" cy="1926982"/>
        </a:xfrm>
        <a:prstGeom prst="roundRect">
          <a:avLst>
            <a:gd name="adj" fmla="val 10635"/>
          </a:avLst>
        </a:prstGeom>
        <a:noFill/>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oneCellAnchor>
    <xdr:from>
      <xdr:col>1</xdr:col>
      <xdr:colOff>0</xdr:colOff>
      <xdr:row>3</xdr:row>
      <xdr:rowOff>182217</xdr:rowOff>
    </xdr:from>
    <xdr:ext cx="2863604" cy="342786"/>
    <xdr:sp macro="" textlink="">
      <xdr:nvSpPr>
        <xdr:cNvPr id="9" name="ZoneTexte 8">
          <a:extLst>
            <a:ext uri="{FF2B5EF4-FFF2-40B4-BE49-F238E27FC236}">
              <a16:creationId xmlns:a16="http://schemas.microsoft.com/office/drawing/2014/main" id="{00000000-0008-0000-0300-000009000000}"/>
            </a:ext>
          </a:extLst>
        </xdr:cNvPr>
        <xdr:cNvSpPr txBox="1"/>
      </xdr:nvSpPr>
      <xdr:spPr>
        <a:xfrm>
          <a:off x="762000" y="753717"/>
          <a:ext cx="286360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600" b="1">
              <a:solidFill>
                <a:schemeClr val="accent6">
                  <a:lumMod val="75000"/>
                </a:schemeClr>
              </a:solidFill>
            </a:rPr>
            <a:t>Information</a:t>
          </a:r>
          <a:r>
            <a:rPr lang="fr-FR" sz="1600" b="1" baseline="0">
              <a:solidFill>
                <a:schemeClr val="accent6">
                  <a:lumMod val="75000"/>
                </a:schemeClr>
              </a:solidFill>
            </a:rPr>
            <a:t> de l'établissement </a:t>
          </a:r>
          <a:endParaRPr lang="fr-FR" sz="1600" b="1">
            <a:solidFill>
              <a:schemeClr val="accent6">
                <a:lumMod val="75000"/>
              </a:schemeClr>
            </a:solidFill>
          </a:endParaRPr>
        </a:p>
      </xdr:txBody>
    </xdr:sp>
    <xdr:clientData/>
  </xdr:oneCellAnchor>
  <xdr:twoCellAnchor>
    <xdr:from>
      <xdr:col>6</xdr:col>
      <xdr:colOff>168088</xdr:colOff>
      <xdr:row>4</xdr:row>
      <xdr:rowOff>0</xdr:rowOff>
    </xdr:from>
    <xdr:to>
      <xdr:col>13</xdr:col>
      <xdr:colOff>582706</xdr:colOff>
      <xdr:row>13</xdr:row>
      <xdr:rowOff>134470</xdr:rowOff>
    </xdr:to>
    <xdr:sp macro="" textlink="">
      <xdr:nvSpPr>
        <xdr:cNvPr id="10" name="Rectangle : coins arrondis 9">
          <a:extLst>
            <a:ext uri="{FF2B5EF4-FFF2-40B4-BE49-F238E27FC236}">
              <a16:creationId xmlns:a16="http://schemas.microsoft.com/office/drawing/2014/main" id="{00000000-0008-0000-0300-00000A000000}"/>
            </a:ext>
          </a:extLst>
        </xdr:cNvPr>
        <xdr:cNvSpPr/>
      </xdr:nvSpPr>
      <xdr:spPr>
        <a:xfrm>
          <a:off x="4740088" y="762000"/>
          <a:ext cx="5748618" cy="1848970"/>
        </a:xfrm>
        <a:prstGeom prst="roundRect">
          <a:avLst>
            <a:gd name="adj" fmla="val 8788"/>
          </a:avLst>
        </a:prstGeom>
        <a:solidFill>
          <a:sysClr val="window" lastClr="FFFFFF"/>
        </a:solidFill>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6</xdr:col>
      <xdr:colOff>369794</xdr:colOff>
      <xdr:row>6</xdr:row>
      <xdr:rowOff>48424</xdr:rowOff>
    </xdr:from>
    <xdr:to>
      <xdr:col>7</xdr:col>
      <xdr:colOff>717175</xdr:colOff>
      <xdr:row>7</xdr:row>
      <xdr:rowOff>182895</xdr:rowOff>
    </xdr:to>
    <xdr:sp macro="" textlink="">
      <xdr:nvSpPr>
        <xdr:cNvPr id="11" name="Rectangle : coins arrondis 10">
          <a:hlinkClick xmlns:r="http://schemas.openxmlformats.org/officeDocument/2006/relationships" r:id="rId3"/>
          <a:extLst>
            <a:ext uri="{FF2B5EF4-FFF2-40B4-BE49-F238E27FC236}">
              <a16:creationId xmlns:a16="http://schemas.microsoft.com/office/drawing/2014/main" id="{00000000-0008-0000-0300-00000B000000}"/>
            </a:ext>
          </a:extLst>
        </xdr:cNvPr>
        <xdr:cNvSpPr/>
      </xdr:nvSpPr>
      <xdr:spPr>
        <a:xfrm>
          <a:off x="4941794" y="1191424"/>
          <a:ext cx="1109381" cy="324971"/>
        </a:xfrm>
        <a:prstGeom prst="roundRect">
          <a:avLst/>
        </a:prstGeom>
        <a:solidFill>
          <a:schemeClr val="accent1">
            <a:lumMod val="75000"/>
          </a:schemeClr>
        </a:solidFill>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Surface DEET</a:t>
          </a:r>
        </a:p>
      </xdr:txBody>
    </xdr:sp>
    <xdr:clientData/>
  </xdr:twoCellAnchor>
  <xdr:twoCellAnchor>
    <xdr:from>
      <xdr:col>6</xdr:col>
      <xdr:colOff>168088</xdr:colOff>
      <xdr:row>4</xdr:row>
      <xdr:rowOff>4638</xdr:rowOff>
    </xdr:from>
    <xdr:to>
      <xdr:col>13</xdr:col>
      <xdr:colOff>593912</xdr:colOff>
      <xdr:row>5</xdr:row>
      <xdr:rowOff>139108</xdr:rowOff>
    </xdr:to>
    <xdr:sp macro="" textlink="">
      <xdr:nvSpPr>
        <xdr:cNvPr id="12" name="Rectangle : avec coins arrondis en haut 11">
          <a:extLst>
            <a:ext uri="{FF2B5EF4-FFF2-40B4-BE49-F238E27FC236}">
              <a16:creationId xmlns:a16="http://schemas.microsoft.com/office/drawing/2014/main" id="{00000000-0008-0000-0300-00000C000000}"/>
            </a:ext>
          </a:extLst>
        </xdr:cNvPr>
        <xdr:cNvSpPr/>
      </xdr:nvSpPr>
      <xdr:spPr>
        <a:xfrm>
          <a:off x="4740088" y="766638"/>
          <a:ext cx="5759824" cy="324970"/>
        </a:xfrm>
        <a:prstGeom prst="round2SameRect">
          <a:avLst>
            <a:gd name="adj1" fmla="val 50000"/>
            <a:gd name="adj2" fmla="val 0"/>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400" b="1"/>
            <a:t>PARAMETRAGE</a:t>
          </a:r>
        </a:p>
      </xdr:txBody>
    </xdr:sp>
    <xdr:clientData/>
  </xdr:twoCellAnchor>
  <xdr:twoCellAnchor>
    <xdr:from>
      <xdr:col>6</xdr:col>
      <xdr:colOff>365310</xdr:colOff>
      <xdr:row>11</xdr:row>
      <xdr:rowOff>53146</xdr:rowOff>
    </xdr:from>
    <xdr:to>
      <xdr:col>7</xdr:col>
      <xdr:colOff>712691</xdr:colOff>
      <xdr:row>12</xdr:row>
      <xdr:rowOff>187617</xdr:rowOff>
    </xdr:to>
    <xdr:sp macro="" textlink="">
      <xdr:nvSpPr>
        <xdr:cNvPr id="13" name="Rectangle : coins arrondis 12">
          <a:hlinkClick xmlns:r="http://schemas.openxmlformats.org/officeDocument/2006/relationships" r:id="rId4"/>
          <a:extLst>
            <a:ext uri="{FF2B5EF4-FFF2-40B4-BE49-F238E27FC236}">
              <a16:creationId xmlns:a16="http://schemas.microsoft.com/office/drawing/2014/main" id="{00000000-0008-0000-0300-00000D000000}"/>
            </a:ext>
          </a:extLst>
        </xdr:cNvPr>
        <xdr:cNvSpPr/>
      </xdr:nvSpPr>
      <xdr:spPr>
        <a:xfrm>
          <a:off x="4937310" y="2148646"/>
          <a:ext cx="1109381" cy="324971"/>
        </a:xfrm>
        <a:prstGeom prst="roundRect">
          <a:avLst/>
        </a:prstGeom>
        <a:solidFill>
          <a:schemeClr val="accent6"/>
        </a:solidFill>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DJU</a:t>
          </a:r>
        </a:p>
      </xdr:txBody>
    </xdr:sp>
    <xdr:clientData/>
  </xdr:twoCellAnchor>
  <xdr:twoCellAnchor>
    <xdr:from>
      <xdr:col>6</xdr:col>
      <xdr:colOff>383240</xdr:colOff>
      <xdr:row>8</xdr:row>
      <xdr:rowOff>119180</xdr:rowOff>
    </xdr:from>
    <xdr:to>
      <xdr:col>7</xdr:col>
      <xdr:colOff>730621</xdr:colOff>
      <xdr:row>10</xdr:row>
      <xdr:rowOff>63151</xdr:rowOff>
    </xdr:to>
    <xdr:sp macro="" textlink="">
      <xdr:nvSpPr>
        <xdr:cNvPr id="14" name="Rectangle : coins arrondis 13">
          <a:hlinkClick xmlns:r="http://schemas.openxmlformats.org/officeDocument/2006/relationships" r:id="rId5"/>
          <a:extLst>
            <a:ext uri="{FF2B5EF4-FFF2-40B4-BE49-F238E27FC236}">
              <a16:creationId xmlns:a16="http://schemas.microsoft.com/office/drawing/2014/main" id="{00000000-0008-0000-0300-00000E000000}"/>
            </a:ext>
          </a:extLst>
        </xdr:cNvPr>
        <xdr:cNvSpPr/>
      </xdr:nvSpPr>
      <xdr:spPr>
        <a:xfrm>
          <a:off x="4955240" y="1643180"/>
          <a:ext cx="1109381" cy="324971"/>
        </a:xfrm>
        <a:prstGeom prst="roundRect">
          <a:avLst/>
        </a:prstGeom>
        <a:solidFill>
          <a:schemeClr val="accent4">
            <a:lumMod val="60000"/>
            <a:lumOff val="40000"/>
          </a:schemeClr>
        </a:solidFill>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Site</a:t>
          </a:r>
        </a:p>
      </xdr:txBody>
    </xdr:sp>
    <xdr:clientData/>
  </xdr:twoCellAnchor>
  <xdr:twoCellAnchor>
    <xdr:from>
      <xdr:col>9</xdr:col>
      <xdr:colOff>324971</xdr:colOff>
      <xdr:row>14</xdr:row>
      <xdr:rowOff>76199</xdr:rowOff>
    </xdr:from>
    <xdr:to>
      <xdr:col>13</xdr:col>
      <xdr:colOff>517711</xdr:colOff>
      <xdr:row>23</xdr:row>
      <xdr:rowOff>95250</xdr:rowOff>
    </xdr:to>
    <xdr:sp macro="" textlink="">
      <xdr:nvSpPr>
        <xdr:cNvPr id="15" name="Rectangle : coins arrondis 14">
          <a:extLst>
            <a:ext uri="{FF2B5EF4-FFF2-40B4-BE49-F238E27FC236}">
              <a16:creationId xmlns:a16="http://schemas.microsoft.com/office/drawing/2014/main" id="{00000000-0008-0000-0300-00000F000000}"/>
            </a:ext>
          </a:extLst>
        </xdr:cNvPr>
        <xdr:cNvSpPr/>
      </xdr:nvSpPr>
      <xdr:spPr>
        <a:xfrm>
          <a:off x="7182971" y="2743199"/>
          <a:ext cx="3240740" cy="1733551"/>
        </a:xfrm>
        <a:prstGeom prst="roundRect">
          <a:avLst>
            <a:gd name="adj" fmla="val 9925"/>
          </a:avLst>
        </a:prstGeom>
        <a:solidFill>
          <a:sysClr val="window" lastClr="FFFFFF"/>
        </a:solidFill>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ccvc</a:t>
          </a:r>
        </a:p>
      </xdr:txBody>
    </xdr:sp>
    <xdr:clientData/>
  </xdr:twoCellAnchor>
  <xdr:twoCellAnchor>
    <xdr:from>
      <xdr:col>9</xdr:col>
      <xdr:colOff>324507</xdr:colOff>
      <xdr:row>14</xdr:row>
      <xdr:rowOff>87406</xdr:rowOff>
    </xdr:from>
    <xdr:to>
      <xdr:col>13</xdr:col>
      <xdr:colOff>523564</xdr:colOff>
      <xdr:row>16</xdr:row>
      <xdr:rowOff>31376</xdr:rowOff>
    </xdr:to>
    <xdr:sp macro="" textlink="">
      <xdr:nvSpPr>
        <xdr:cNvPr id="16" name="Rectangle : avec coins arrondis en haut 15">
          <a:extLst>
            <a:ext uri="{FF2B5EF4-FFF2-40B4-BE49-F238E27FC236}">
              <a16:creationId xmlns:a16="http://schemas.microsoft.com/office/drawing/2014/main" id="{00000000-0008-0000-0300-000010000000}"/>
            </a:ext>
          </a:extLst>
        </xdr:cNvPr>
        <xdr:cNvSpPr/>
      </xdr:nvSpPr>
      <xdr:spPr>
        <a:xfrm>
          <a:off x="7182507" y="2754406"/>
          <a:ext cx="3247057" cy="324970"/>
        </a:xfrm>
        <a:prstGeom prst="round2SameRect">
          <a:avLst>
            <a:gd name="adj1" fmla="val 50000"/>
            <a:gd name="adj2" fmla="val 0"/>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a:t>CTEES</a:t>
          </a:r>
        </a:p>
      </xdr:txBody>
    </xdr:sp>
    <xdr:clientData/>
  </xdr:twoCellAnchor>
  <xdr:twoCellAnchor>
    <xdr:from>
      <xdr:col>4</xdr:col>
      <xdr:colOff>578224</xdr:colOff>
      <xdr:row>14</xdr:row>
      <xdr:rowOff>49305</xdr:rowOff>
    </xdr:from>
    <xdr:to>
      <xdr:col>9</xdr:col>
      <xdr:colOff>8964</xdr:colOff>
      <xdr:row>32</xdr:row>
      <xdr:rowOff>31377</xdr:rowOff>
    </xdr:to>
    <xdr:sp macro="" textlink="">
      <xdr:nvSpPr>
        <xdr:cNvPr id="17" name="Rectangle : coins arrondis 16">
          <a:extLst>
            <a:ext uri="{FF2B5EF4-FFF2-40B4-BE49-F238E27FC236}">
              <a16:creationId xmlns:a16="http://schemas.microsoft.com/office/drawing/2014/main" id="{00000000-0008-0000-0300-000011000000}"/>
            </a:ext>
          </a:extLst>
        </xdr:cNvPr>
        <xdr:cNvSpPr/>
      </xdr:nvSpPr>
      <xdr:spPr>
        <a:xfrm>
          <a:off x="3626224" y="2716305"/>
          <a:ext cx="3240740" cy="3411072"/>
        </a:xfrm>
        <a:prstGeom prst="roundRect">
          <a:avLst>
            <a:gd name="adj" fmla="val 5342"/>
          </a:avLst>
        </a:prstGeom>
        <a:solidFill>
          <a:sysClr val="window" lastClr="FFFFFF"/>
        </a:solidFill>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ccvc</a:t>
          </a:r>
        </a:p>
      </xdr:txBody>
    </xdr:sp>
    <xdr:clientData/>
  </xdr:twoCellAnchor>
  <xdr:twoCellAnchor>
    <xdr:from>
      <xdr:col>4</xdr:col>
      <xdr:colOff>577760</xdr:colOff>
      <xdr:row>14</xdr:row>
      <xdr:rowOff>60512</xdr:rowOff>
    </xdr:from>
    <xdr:to>
      <xdr:col>9</xdr:col>
      <xdr:colOff>14817</xdr:colOff>
      <xdr:row>16</xdr:row>
      <xdr:rowOff>4482</xdr:rowOff>
    </xdr:to>
    <xdr:sp macro="" textlink="">
      <xdr:nvSpPr>
        <xdr:cNvPr id="18" name="Rectangle : avec coins arrondis en haut 17">
          <a:extLst>
            <a:ext uri="{FF2B5EF4-FFF2-40B4-BE49-F238E27FC236}">
              <a16:creationId xmlns:a16="http://schemas.microsoft.com/office/drawing/2014/main" id="{00000000-0008-0000-0300-000012000000}"/>
            </a:ext>
          </a:extLst>
        </xdr:cNvPr>
        <xdr:cNvSpPr/>
      </xdr:nvSpPr>
      <xdr:spPr>
        <a:xfrm>
          <a:off x="3625760" y="2727512"/>
          <a:ext cx="3247057" cy="324970"/>
        </a:xfrm>
        <a:prstGeom prst="round2SameRect">
          <a:avLst>
            <a:gd name="adj1" fmla="val 50000"/>
            <a:gd name="adj2" fmla="val 0"/>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a:t>APPROFONDISSEMENT</a:t>
          </a:r>
        </a:p>
      </xdr:txBody>
    </xdr:sp>
    <xdr:clientData/>
  </xdr:twoCellAnchor>
  <xdr:twoCellAnchor>
    <xdr:from>
      <xdr:col>0</xdr:col>
      <xdr:colOff>69477</xdr:colOff>
      <xdr:row>14</xdr:row>
      <xdr:rowOff>78439</xdr:rowOff>
    </xdr:from>
    <xdr:to>
      <xdr:col>4</xdr:col>
      <xdr:colOff>262217</xdr:colOff>
      <xdr:row>32</xdr:row>
      <xdr:rowOff>60511</xdr:rowOff>
    </xdr:to>
    <xdr:sp macro="" textlink="">
      <xdr:nvSpPr>
        <xdr:cNvPr id="19" name="Rectangle : coins arrondis 18">
          <a:extLst>
            <a:ext uri="{FF2B5EF4-FFF2-40B4-BE49-F238E27FC236}">
              <a16:creationId xmlns:a16="http://schemas.microsoft.com/office/drawing/2014/main" id="{00000000-0008-0000-0300-000013000000}"/>
            </a:ext>
          </a:extLst>
        </xdr:cNvPr>
        <xdr:cNvSpPr/>
      </xdr:nvSpPr>
      <xdr:spPr>
        <a:xfrm>
          <a:off x="69477" y="2745439"/>
          <a:ext cx="3240740" cy="3411072"/>
        </a:xfrm>
        <a:prstGeom prst="roundRect">
          <a:avLst>
            <a:gd name="adj" fmla="val 5342"/>
          </a:avLst>
        </a:prstGeom>
        <a:solidFill>
          <a:sysClr val="window" lastClr="FFFFFF"/>
        </a:solidFill>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ccvc</a:t>
          </a:r>
        </a:p>
      </xdr:txBody>
    </xdr:sp>
    <xdr:clientData/>
  </xdr:twoCellAnchor>
  <xdr:twoCellAnchor>
    <xdr:from>
      <xdr:col>0</xdr:col>
      <xdr:colOff>69013</xdr:colOff>
      <xdr:row>14</xdr:row>
      <xdr:rowOff>83077</xdr:rowOff>
    </xdr:from>
    <xdr:to>
      <xdr:col>4</xdr:col>
      <xdr:colOff>268070</xdr:colOff>
      <xdr:row>16</xdr:row>
      <xdr:rowOff>27047</xdr:rowOff>
    </xdr:to>
    <xdr:sp macro="" textlink="">
      <xdr:nvSpPr>
        <xdr:cNvPr id="20" name="Rectangle : avec coins arrondis en haut 19">
          <a:extLst>
            <a:ext uri="{FF2B5EF4-FFF2-40B4-BE49-F238E27FC236}">
              <a16:creationId xmlns:a16="http://schemas.microsoft.com/office/drawing/2014/main" id="{00000000-0008-0000-0300-000014000000}"/>
            </a:ext>
          </a:extLst>
        </xdr:cNvPr>
        <xdr:cNvSpPr/>
      </xdr:nvSpPr>
      <xdr:spPr>
        <a:xfrm>
          <a:off x="69013" y="2750077"/>
          <a:ext cx="3247057" cy="324970"/>
        </a:xfrm>
        <a:prstGeom prst="round2SameRect">
          <a:avLst>
            <a:gd name="adj1" fmla="val 50000"/>
            <a:gd name="adj2" fmla="val 0"/>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400" b="1"/>
            <a:t>RESULTATS</a:t>
          </a:r>
        </a:p>
      </xdr:txBody>
    </xdr:sp>
    <xdr:clientData/>
  </xdr:twoCellAnchor>
  <xdr:twoCellAnchor>
    <xdr:from>
      <xdr:col>0</xdr:col>
      <xdr:colOff>154802</xdr:colOff>
      <xdr:row>18</xdr:row>
      <xdr:rowOff>31536</xdr:rowOff>
    </xdr:from>
    <xdr:to>
      <xdr:col>1</xdr:col>
      <xdr:colOff>502183</xdr:colOff>
      <xdr:row>19</xdr:row>
      <xdr:rowOff>166007</xdr:rowOff>
    </xdr:to>
    <xdr:sp macro="" textlink="">
      <xdr:nvSpPr>
        <xdr:cNvPr id="21" name="Rectangle : coins arrondis 20">
          <a:hlinkClick xmlns:r="http://schemas.openxmlformats.org/officeDocument/2006/relationships" r:id="rId6"/>
          <a:extLst>
            <a:ext uri="{FF2B5EF4-FFF2-40B4-BE49-F238E27FC236}">
              <a16:creationId xmlns:a16="http://schemas.microsoft.com/office/drawing/2014/main" id="{00000000-0008-0000-0300-000015000000}"/>
            </a:ext>
          </a:extLst>
        </xdr:cNvPr>
        <xdr:cNvSpPr/>
      </xdr:nvSpPr>
      <xdr:spPr>
        <a:xfrm>
          <a:off x="154802" y="3460536"/>
          <a:ext cx="1109381" cy="324971"/>
        </a:xfrm>
        <a:prstGeom prst="roundRect">
          <a:avLst/>
        </a:prstGeom>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bg1"/>
              </a:solidFill>
            </a:rPr>
            <a:t>Synthèse</a:t>
          </a:r>
        </a:p>
      </xdr:txBody>
    </xdr:sp>
    <xdr:clientData/>
  </xdr:twoCellAnchor>
  <xdr:twoCellAnchor>
    <xdr:from>
      <xdr:col>0</xdr:col>
      <xdr:colOff>157525</xdr:colOff>
      <xdr:row>21</xdr:row>
      <xdr:rowOff>156719</xdr:rowOff>
    </xdr:from>
    <xdr:to>
      <xdr:col>1</xdr:col>
      <xdr:colOff>504906</xdr:colOff>
      <xdr:row>23</xdr:row>
      <xdr:rowOff>100690</xdr:rowOff>
    </xdr:to>
    <xdr:sp macro="" textlink="">
      <xdr:nvSpPr>
        <xdr:cNvPr id="22" name="Rectangle : coins arrondis 21">
          <a:hlinkClick xmlns:r="http://schemas.openxmlformats.org/officeDocument/2006/relationships" r:id="rId7"/>
          <a:extLst>
            <a:ext uri="{FF2B5EF4-FFF2-40B4-BE49-F238E27FC236}">
              <a16:creationId xmlns:a16="http://schemas.microsoft.com/office/drawing/2014/main" id="{00000000-0008-0000-0300-000016000000}"/>
            </a:ext>
          </a:extLst>
        </xdr:cNvPr>
        <xdr:cNvSpPr/>
      </xdr:nvSpPr>
      <xdr:spPr>
        <a:xfrm>
          <a:off x="157525" y="4157219"/>
          <a:ext cx="1109381" cy="324971"/>
        </a:xfrm>
        <a:prstGeom prst="roundRect">
          <a:avLst/>
        </a:prstGeom>
        <a:solidFill>
          <a:schemeClr val="bg2">
            <a:lumMod val="75000"/>
          </a:schemeClr>
        </a:solidFill>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Choix DEET</a:t>
          </a:r>
        </a:p>
      </xdr:txBody>
    </xdr:sp>
    <xdr:clientData/>
  </xdr:twoCellAnchor>
  <xdr:twoCellAnchor>
    <xdr:from>
      <xdr:col>0</xdr:col>
      <xdr:colOff>160247</xdr:colOff>
      <xdr:row>25</xdr:row>
      <xdr:rowOff>173048</xdr:rowOff>
    </xdr:from>
    <xdr:to>
      <xdr:col>1</xdr:col>
      <xdr:colOff>507628</xdr:colOff>
      <xdr:row>27</xdr:row>
      <xdr:rowOff>117019</xdr:rowOff>
    </xdr:to>
    <xdr:sp macro="" textlink="">
      <xdr:nvSpPr>
        <xdr:cNvPr id="23" name="Rectangle : coins arrondis 22">
          <a:hlinkClick xmlns:r="http://schemas.openxmlformats.org/officeDocument/2006/relationships" r:id="rId8"/>
          <a:extLst>
            <a:ext uri="{FF2B5EF4-FFF2-40B4-BE49-F238E27FC236}">
              <a16:creationId xmlns:a16="http://schemas.microsoft.com/office/drawing/2014/main" id="{00000000-0008-0000-0300-000017000000}"/>
            </a:ext>
          </a:extLst>
        </xdr:cNvPr>
        <xdr:cNvSpPr/>
      </xdr:nvSpPr>
      <xdr:spPr>
        <a:xfrm>
          <a:off x="160247" y="4935548"/>
          <a:ext cx="1109381" cy="324971"/>
        </a:xfrm>
        <a:prstGeom prst="roundRect">
          <a:avLst/>
        </a:prstGeom>
        <a:solidFill>
          <a:schemeClr val="accent2"/>
        </a:solidFill>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Suivi DEET</a:t>
          </a:r>
        </a:p>
      </xdr:txBody>
    </xdr:sp>
    <xdr:clientData/>
  </xdr:twoCellAnchor>
  <xdr:twoCellAnchor>
    <xdr:from>
      <xdr:col>4</xdr:col>
      <xdr:colOff>707254</xdr:colOff>
      <xdr:row>17</xdr:row>
      <xdr:rowOff>94127</xdr:rowOff>
    </xdr:from>
    <xdr:to>
      <xdr:col>6</xdr:col>
      <xdr:colOff>292635</xdr:colOff>
      <xdr:row>19</xdr:row>
      <xdr:rowOff>38098</xdr:rowOff>
    </xdr:to>
    <xdr:sp macro="" textlink="">
      <xdr:nvSpPr>
        <xdr:cNvPr id="24" name="Rectangle : coins arrondis 23">
          <a:hlinkClick xmlns:r="http://schemas.openxmlformats.org/officeDocument/2006/relationships" r:id="rId9"/>
          <a:extLst>
            <a:ext uri="{FF2B5EF4-FFF2-40B4-BE49-F238E27FC236}">
              <a16:creationId xmlns:a16="http://schemas.microsoft.com/office/drawing/2014/main" id="{00000000-0008-0000-0300-000018000000}"/>
            </a:ext>
          </a:extLst>
        </xdr:cNvPr>
        <xdr:cNvSpPr/>
      </xdr:nvSpPr>
      <xdr:spPr>
        <a:xfrm>
          <a:off x="3755254" y="3332627"/>
          <a:ext cx="1109381" cy="324971"/>
        </a:xfrm>
        <a:prstGeom prst="roundRect">
          <a:avLst/>
        </a:prstGeom>
        <a:solidFill>
          <a:srgbClr val="FFFF00"/>
        </a:solidFill>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Suivi Mensuel</a:t>
          </a:r>
        </a:p>
      </xdr:txBody>
    </xdr:sp>
    <xdr:clientData/>
  </xdr:twoCellAnchor>
  <xdr:twoCellAnchor>
    <xdr:from>
      <xdr:col>4</xdr:col>
      <xdr:colOff>696368</xdr:colOff>
      <xdr:row>21</xdr:row>
      <xdr:rowOff>28812</xdr:rowOff>
    </xdr:from>
    <xdr:to>
      <xdr:col>6</xdr:col>
      <xdr:colOff>281749</xdr:colOff>
      <xdr:row>22</xdr:row>
      <xdr:rowOff>163283</xdr:rowOff>
    </xdr:to>
    <xdr:sp macro="" textlink="">
      <xdr:nvSpPr>
        <xdr:cNvPr id="25" name="Rectangle : coins arrondis 24">
          <a:hlinkClick xmlns:r="http://schemas.openxmlformats.org/officeDocument/2006/relationships" r:id="rId10"/>
          <a:extLst>
            <a:ext uri="{FF2B5EF4-FFF2-40B4-BE49-F238E27FC236}">
              <a16:creationId xmlns:a16="http://schemas.microsoft.com/office/drawing/2014/main" id="{00000000-0008-0000-0300-000019000000}"/>
            </a:ext>
          </a:extLst>
        </xdr:cNvPr>
        <xdr:cNvSpPr/>
      </xdr:nvSpPr>
      <xdr:spPr>
        <a:xfrm>
          <a:off x="3744368" y="4029312"/>
          <a:ext cx="1109381" cy="324971"/>
        </a:xfrm>
        <a:prstGeom prst="roundRect">
          <a:avLst/>
        </a:prstGeom>
        <a:solidFill>
          <a:srgbClr val="92D050"/>
        </a:solidFill>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Suivi Compteur</a:t>
          </a:r>
        </a:p>
      </xdr:txBody>
    </xdr:sp>
    <xdr:clientData/>
  </xdr:twoCellAnchor>
  <xdr:twoCellAnchor>
    <xdr:from>
      <xdr:col>4</xdr:col>
      <xdr:colOff>671875</xdr:colOff>
      <xdr:row>24</xdr:row>
      <xdr:rowOff>181212</xdr:rowOff>
    </xdr:from>
    <xdr:to>
      <xdr:col>6</xdr:col>
      <xdr:colOff>257256</xdr:colOff>
      <xdr:row>26</xdr:row>
      <xdr:rowOff>125183</xdr:rowOff>
    </xdr:to>
    <xdr:sp macro="" textlink="">
      <xdr:nvSpPr>
        <xdr:cNvPr id="26" name="Rectangle : coins arrondis 25">
          <a:hlinkClick xmlns:r="http://schemas.openxmlformats.org/officeDocument/2006/relationships" r:id="rId11"/>
          <a:extLst>
            <a:ext uri="{FF2B5EF4-FFF2-40B4-BE49-F238E27FC236}">
              <a16:creationId xmlns:a16="http://schemas.microsoft.com/office/drawing/2014/main" id="{00000000-0008-0000-0300-00001A000000}"/>
            </a:ext>
          </a:extLst>
        </xdr:cNvPr>
        <xdr:cNvSpPr/>
      </xdr:nvSpPr>
      <xdr:spPr>
        <a:xfrm>
          <a:off x="3719875" y="4753212"/>
          <a:ext cx="1109381" cy="324971"/>
        </a:xfrm>
        <a:prstGeom prst="roundRect">
          <a:avLst/>
        </a:prstGeom>
        <a:solidFill>
          <a:srgbClr val="7030A0"/>
        </a:solidFill>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Coût</a:t>
          </a:r>
          <a:r>
            <a:rPr lang="fr-FR" sz="1100" b="1" baseline="0"/>
            <a:t> énergies</a:t>
          </a:r>
          <a:endParaRPr lang="fr-FR" sz="1100" b="1"/>
        </a:p>
      </xdr:txBody>
    </xdr:sp>
    <xdr:clientData/>
  </xdr:twoCellAnchor>
  <xdr:twoCellAnchor>
    <xdr:from>
      <xdr:col>4</xdr:col>
      <xdr:colOff>660990</xdr:colOff>
      <xdr:row>28</xdr:row>
      <xdr:rowOff>75075</xdr:rowOff>
    </xdr:from>
    <xdr:to>
      <xdr:col>6</xdr:col>
      <xdr:colOff>394608</xdr:colOff>
      <xdr:row>30</xdr:row>
      <xdr:rowOff>54428</xdr:rowOff>
    </xdr:to>
    <xdr:sp macro="" textlink="">
      <xdr:nvSpPr>
        <xdr:cNvPr id="27" name="Rectangle : coins arrondis 26">
          <a:hlinkClick xmlns:r="http://schemas.openxmlformats.org/officeDocument/2006/relationships" r:id="rId12"/>
          <a:extLst>
            <a:ext uri="{FF2B5EF4-FFF2-40B4-BE49-F238E27FC236}">
              <a16:creationId xmlns:a16="http://schemas.microsoft.com/office/drawing/2014/main" id="{00000000-0008-0000-0300-00001B000000}"/>
            </a:ext>
          </a:extLst>
        </xdr:cNvPr>
        <xdr:cNvSpPr/>
      </xdr:nvSpPr>
      <xdr:spPr>
        <a:xfrm>
          <a:off x="3708990" y="5409075"/>
          <a:ext cx="1257618" cy="360353"/>
        </a:xfrm>
        <a:prstGeom prst="roundRect">
          <a:avLst/>
        </a:prstGeom>
        <a:solidFill>
          <a:schemeClr val="accent6">
            <a:lumMod val="75000"/>
          </a:schemeClr>
        </a:solidFill>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Déclaration</a:t>
          </a:r>
          <a:r>
            <a:rPr lang="fr-FR" sz="1100" b="1" baseline="0"/>
            <a:t> OPERAT</a:t>
          </a:r>
          <a:endParaRPr lang="fr-FR" sz="1100" b="1"/>
        </a:p>
      </xdr:txBody>
    </xdr:sp>
    <xdr:clientData/>
  </xdr:twoCellAnchor>
  <xdr:twoCellAnchor>
    <xdr:from>
      <xdr:col>9</xdr:col>
      <xdr:colOff>492260</xdr:colOff>
      <xdr:row>16</xdr:row>
      <xdr:rowOff>124061</xdr:rowOff>
    </xdr:from>
    <xdr:to>
      <xdr:col>11</xdr:col>
      <xdr:colOff>77641</xdr:colOff>
      <xdr:row>19</xdr:row>
      <xdr:rowOff>68034</xdr:rowOff>
    </xdr:to>
    <xdr:sp macro="" textlink="">
      <xdr:nvSpPr>
        <xdr:cNvPr id="28" name="Rectangle : coins arrondis 27">
          <a:hlinkClick xmlns:r="http://schemas.openxmlformats.org/officeDocument/2006/relationships" r:id="rId13"/>
          <a:extLst>
            <a:ext uri="{FF2B5EF4-FFF2-40B4-BE49-F238E27FC236}">
              <a16:creationId xmlns:a16="http://schemas.microsoft.com/office/drawing/2014/main" id="{00000000-0008-0000-0300-00001C000000}"/>
            </a:ext>
          </a:extLst>
        </xdr:cNvPr>
        <xdr:cNvSpPr/>
      </xdr:nvSpPr>
      <xdr:spPr>
        <a:xfrm>
          <a:off x="7350260" y="3172061"/>
          <a:ext cx="1109381" cy="515473"/>
        </a:xfrm>
        <a:prstGeom prst="roundRect">
          <a:avLst/>
        </a:prstGeom>
        <a:solidFill>
          <a:srgbClr val="D60093"/>
        </a:solidFill>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Démarche</a:t>
          </a:r>
          <a:r>
            <a:rPr lang="fr-FR" sz="1100" b="1" baseline="0"/>
            <a:t> CTEES</a:t>
          </a:r>
          <a:endParaRPr lang="fr-FR" sz="1100" b="1"/>
        </a:p>
      </xdr:txBody>
    </xdr:sp>
    <xdr:clientData/>
  </xdr:twoCellAnchor>
  <xdr:twoCellAnchor>
    <xdr:from>
      <xdr:col>7</xdr:col>
      <xdr:colOff>748394</xdr:colOff>
      <xdr:row>5</xdr:row>
      <xdr:rowOff>176891</xdr:rowOff>
    </xdr:from>
    <xdr:to>
      <xdr:col>13</xdr:col>
      <xdr:colOff>421822</xdr:colOff>
      <xdr:row>8</xdr:row>
      <xdr:rowOff>54428</xdr:rowOff>
    </xdr:to>
    <xdr:sp macro="" textlink="">
      <xdr:nvSpPr>
        <xdr:cNvPr id="29" name="ZoneTexte 28">
          <a:extLst>
            <a:ext uri="{FF2B5EF4-FFF2-40B4-BE49-F238E27FC236}">
              <a16:creationId xmlns:a16="http://schemas.microsoft.com/office/drawing/2014/main" id="{00000000-0008-0000-0300-00001D000000}"/>
            </a:ext>
          </a:extLst>
        </xdr:cNvPr>
        <xdr:cNvSpPr txBox="1"/>
      </xdr:nvSpPr>
      <xdr:spPr>
        <a:xfrm>
          <a:off x="6082394" y="1129391"/>
          <a:ext cx="4245428" cy="4490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Renseignement</a:t>
          </a:r>
          <a:r>
            <a:rPr lang="fr-FR" sz="1100" baseline="0"/>
            <a:t> des surfaces par catégorie d´activité et calcul de la valeur absolue (Cabs) </a:t>
          </a:r>
          <a:endParaRPr lang="fr-FR" sz="1100"/>
        </a:p>
      </xdr:txBody>
    </xdr:sp>
    <xdr:clientData/>
  </xdr:twoCellAnchor>
  <xdr:twoCellAnchor>
    <xdr:from>
      <xdr:col>9</xdr:col>
      <xdr:colOff>481374</xdr:colOff>
      <xdr:row>20</xdr:row>
      <xdr:rowOff>4321</xdr:rowOff>
    </xdr:from>
    <xdr:to>
      <xdr:col>11</xdr:col>
      <xdr:colOff>66755</xdr:colOff>
      <xdr:row>22</xdr:row>
      <xdr:rowOff>138794</xdr:rowOff>
    </xdr:to>
    <xdr:sp macro="" textlink="">
      <xdr:nvSpPr>
        <xdr:cNvPr id="30" name="Rectangle : coins arrondis 29">
          <a:hlinkClick xmlns:r="http://schemas.openxmlformats.org/officeDocument/2006/relationships" r:id="rId14"/>
          <a:extLst>
            <a:ext uri="{FF2B5EF4-FFF2-40B4-BE49-F238E27FC236}">
              <a16:creationId xmlns:a16="http://schemas.microsoft.com/office/drawing/2014/main" id="{00000000-0008-0000-0300-00001E000000}"/>
            </a:ext>
          </a:extLst>
        </xdr:cNvPr>
        <xdr:cNvSpPr/>
      </xdr:nvSpPr>
      <xdr:spPr>
        <a:xfrm>
          <a:off x="7339374" y="3814321"/>
          <a:ext cx="1109381" cy="515473"/>
        </a:xfrm>
        <a:prstGeom prst="roundRect">
          <a:avLst/>
        </a:prstGeom>
        <a:solidFill>
          <a:srgbClr val="FF0000"/>
        </a:solidFill>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bg1"/>
              </a:solidFill>
            </a:rPr>
            <a:t>Reporting</a:t>
          </a:r>
          <a:r>
            <a:rPr lang="fr-FR" sz="1100" b="1" baseline="0">
              <a:solidFill>
                <a:schemeClr val="bg1"/>
              </a:solidFill>
            </a:rPr>
            <a:t> CTEES</a:t>
          </a:r>
          <a:endParaRPr lang="fr-FR" sz="1100" b="1">
            <a:solidFill>
              <a:schemeClr val="bg1"/>
            </a:solidFill>
          </a:endParaRPr>
        </a:p>
      </xdr:txBody>
    </xdr:sp>
    <xdr:clientData/>
  </xdr:twoCellAnchor>
  <xdr:twoCellAnchor>
    <xdr:from>
      <xdr:col>7</xdr:col>
      <xdr:colOff>737509</xdr:colOff>
      <xdr:row>8</xdr:row>
      <xdr:rowOff>57147</xdr:rowOff>
    </xdr:from>
    <xdr:to>
      <xdr:col>13</xdr:col>
      <xdr:colOff>410937</xdr:colOff>
      <xdr:row>10</xdr:row>
      <xdr:rowOff>125184</xdr:rowOff>
    </xdr:to>
    <xdr:sp macro="" textlink="">
      <xdr:nvSpPr>
        <xdr:cNvPr id="31" name="ZoneTexte 30">
          <a:extLst>
            <a:ext uri="{FF2B5EF4-FFF2-40B4-BE49-F238E27FC236}">
              <a16:creationId xmlns:a16="http://schemas.microsoft.com/office/drawing/2014/main" id="{00000000-0008-0000-0300-00001F000000}"/>
            </a:ext>
          </a:extLst>
        </xdr:cNvPr>
        <xdr:cNvSpPr txBox="1"/>
      </xdr:nvSpPr>
      <xdr:spPr>
        <a:xfrm>
          <a:off x="6071509" y="1581147"/>
          <a:ext cx="4245428" cy="4490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Compteur</a:t>
          </a:r>
          <a:r>
            <a:rPr lang="fr-FR" sz="1100" baseline="0"/>
            <a:t>/Points de livraison, Parametrage DEET et usages thermiques</a:t>
          </a:r>
          <a:endParaRPr lang="fr-FR" sz="1100"/>
        </a:p>
      </xdr:txBody>
    </xdr:sp>
    <xdr:clientData/>
  </xdr:twoCellAnchor>
  <xdr:twoCellAnchor>
    <xdr:from>
      <xdr:col>7</xdr:col>
      <xdr:colOff>726623</xdr:colOff>
      <xdr:row>10</xdr:row>
      <xdr:rowOff>168725</xdr:rowOff>
    </xdr:from>
    <xdr:to>
      <xdr:col>13</xdr:col>
      <xdr:colOff>400051</xdr:colOff>
      <xdr:row>13</xdr:row>
      <xdr:rowOff>46262</xdr:rowOff>
    </xdr:to>
    <xdr:sp macro="" textlink="">
      <xdr:nvSpPr>
        <xdr:cNvPr id="32" name="ZoneTexte 31">
          <a:extLst>
            <a:ext uri="{FF2B5EF4-FFF2-40B4-BE49-F238E27FC236}">
              <a16:creationId xmlns:a16="http://schemas.microsoft.com/office/drawing/2014/main" id="{00000000-0008-0000-0300-000020000000}"/>
            </a:ext>
          </a:extLst>
        </xdr:cNvPr>
        <xdr:cNvSpPr txBox="1"/>
      </xdr:nvSpPr>
      <xdr:spPr>
        <a:xfrm>
          <a:off x="6060623" y="2073725"/>
          <a:ext cx="4245428" cy="4490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Télechargement</a:t>
          </a:r>
          <a:r>
            <a:rPr lang="fr-FR" sz="1100" baseline="0"/>
            <a:t> des données climatiques  </a:t>
          </a:r>
          <a:endParaRPr lang="fr-FR" sz="1100"/>
        </a:p>
      </xdr:txBody>
    </xdr:sp>
    <xdr:clientData/>
  </xdr:twoCellAnchor>
  <xdr:twoCellAnchor>
    <xdr:from>
      <xdr:col>1</xdr:col>
      <xdr:colOff>525237</xdr:colOff>
      <xdr:row>17</xdr:row>
      <xdr:rowOff>43537</xdr:rowOff>
    </xdr:from>
    <xdr:to>
      <xdr:col>4</xdr:col>
      <xdr:colOff>190500</xdr:colOff>
      <xdr:row>20</xdr:row>
      <xdr:rowOff>149679</xdr:rowOff>
    </xdr:to>
    <xdr:sp macro="" textlink="">
      <xdr:nvSpPr>
        <xdr:cNvPr id="33" name="ZoneTexte 32">
          <a:extLst>
            <a:ext uri="{FF2B5EF4-FFF2-40B4-BE49-F238E27FC236}">
              <a16:creationId xmlns:a16="http://schemas.microsoft.com/office/drawing/2014/main" id="{00000000-0008-0000-0300-000021000000}"/>
            </a:ext>
          </a:extLst>
        </xdr:cNvPr>
        <xdr:cNvSpPr txBox="1"/>
      </xdr:nvSpPr>
      <xdr:spPr>
        <a:xfrm>
          <a:off x="1287237" y="3282037"/>
          <a:ext cx="1951263" cy="677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Résultats</a:t>
          </a:r>
          <a:r>
            <a:rPr lang="fr-FR" sz="1100" baseline="0"/>
            <a:t> de consommation annuelle, Indicateurs de performance énergétique</a:t>
          </a:r>
          <a:endParaRPr lang="fr-FR" sz="1100"/>
        </a:p>
      </xdr:txBody>
    </xdr:sp>
    <xdr:clientData/>
  </xdr:twoCellAnchor>
  <xdr:twoCellAnchor>
    <xdr:from>
      <xdr:col>1</xdr:col>
      <xdr:colOff>500744</xdr:colOff>
      <xdr:row>20</xdr:row>
      <xdr:rowOff>155116</xdr:rowOff>
    </xdr:from>
    <xdr:to>
      <xdr:col>4</xdr:col>
      <xdr:colOff>166007</xdr:colOff>
      <xdr:row>24</xdr:row>
      <xdr:rowOff>70758</xdr:rowOff>
    </xdr:to>
    <xdr:sp macro="" textlink="">
      <xdr:nvSpPr>
        <xdr:cNvPr id="34" name="ZoneTexte 33">
          <a:extLst>
            <a:ext uri="{FF2B5EF4-FFF2-40B4-BE49-F238E27FC236}">
              <a16:creationId xmlns:a16="http://schemas.microsoft.com/office/drawing/2014/main" id="{00000000-0008-0000-0300-000022000000}"/>
            </a:ext>
          </a:extLst>
        </xdr:cNvPr>
        <xdr:cNvSpPr txBox="1"/>
      </xdr:nvSpPr>
      <xdr:spPr>
        <a:xfrm>
          <a:off x="1262744" y="3965116"/>
          <a:ext cx="1951263" cy="677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Aide</a:t>
          </a:r>
          <a:r>
            <a:rPr lang="fr-FR" sz="1100" baseline="0"/>
            <a:t> au choix de l'année de référence du Décret Tertiaire</a:t>
          </a:r>
          <a:endParaRPr lang="fr-FR" sz="1100"/>
        </a:p>
      </xdr:txBody>
    </xdr:sp>
    <xdr:clientData/>
  </xdr:twoCellAnchor>
  <xdr:twoCellAnchor>
    <xdr:from>
      <xdr:col>1</xdr:col>
      <xdr:colOff>489858</xdr:colOff>
      <xdr:row>25</xdr:row>
      <xdr:rowOff>8159</xdr:rowOff>
    </xdr:from>
    <xdr:to>
      <xdr:col>4</xdr:col>
      <xdr:colOff>155121</xdr:colOff>
      <xdr:row>28</xdr:row>
      <xdr:rowOff>114301</xdr:rowOff>
    </xdr:to>
    <xdr:sp macro="" textlink="">
      <xdr:nvSpPr>
        <xdr:cNvPr id="35" name="ZoneTexte 34">
          <a:extLst>
            <a:ext uri="{FF2B5EF4-FFF2-40B4-BE49-F238E27FC236}">
              <a16:creationId xmlns:a16="http://schemas.microsoft.com/office/drawing/2014/main" id="{00000000-0008-0000-0300-000023000000}"/>
            </a:ext>
          </a:extLst>
        </xdr:cNvPr>
        <xdr:cNvSpPr txBox="1"/>
      </xdr:nvSpPr>
      <xdr:spPr>
        <a:xfrm>
          <a:off x="1251858" y="4770659"/>
          <a:ext cx="1951263" cy="677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Suivi des indicateurs</a:t>
          </a:r>
          <a:r>
            <a:rPr lang="fr-FR" sz="1100" baseline="0"/>
            <a:t> de performance du Décret tertiaire &amp; Objectif 2030</a:t>
          </a:r>
          <a:endParaRPr lang="fr-FR" sz="1100"/>
        </a:p>
      </xdr:txBody>
    </xdr:sp>
    <xdr:clientData/>
  </xdr:twoCellAnchor>
  <xdr:twoCellAnchor>
    <xdr:from>
      <xdr:col>6</xdr:col>
      <xdr:colOff>530679</xdr:colOff>
      <xdr:row>16</xdr:row>
      <xdr:rowOff>119737</xdr:rowOff>
    </xdr:from>
    <xdr:to>
      <xdr:col>9</xdr:col>
      <xdr:colOff>13607</xdr:colOff>
      <xdr:row>20</xdr:row>
      <xdr:rowOff>35379</xdr:rowOff>
    </xdr:to>
    <xdr:sp macro="" textlink="">
      <xdr:nvSpPr>
        <xdr:cNvPr id="36" name="ZoneTexte 35">
          <a:extLst>
            <a:ext uri="{FF2B5EF4-FFF2-40B4-BE49-F238E27FC236}">
              <a16:creationId xmlns:a16="http://schemas.microsoft.com/office/drawing/2014/main" id="{00000000-0008-0000-0300-000024000000}"/>
            </a:ext>
          </a:extLst>
        </xdr:cNvPr>
        <xdr:cNvSpPr txBox="1"/>
      </xdr:nvSpPr>
      <xdr:spPr>
        <a:xfrm>
          <a:off x="5102679" y="3167737"/>
          <a:ext cx="1768928" cy="677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Comparaison</a:t>
          </a:r>
          <a:r>
            <a:rPr lang="fr-FR" sz="1100" baseline="0"/>
            <a:t> des consommations mensuelles entre deux années </a:t>
          </a:r>
          <a:endParaRPr lang="fr-FR" sz="1100"/>
        </a:p>
      </xdr:txBody>
    </xdr:sp>
    <xdr:clientData/>
  </xdr:twoCellAnchor>
  <xdr:twoCellAnchor>
    <xdr:from>
      <xdr:col>6</xdr:col>
      <xdr:colOff>462643</xdr:colOff>
      <xdr:row>24</xdr:row>
      <xdr:rowOff>27207</xdr:rowOff>
    </xdr:from>
    <xdr:to>
      <xdr:col>8</xdr:col>
      <xdr:colOff>704849</xdr:colOff>
      <xdr:row>27</xdr:row>
      <xdr:rowOff>133349</xdr:rowOff>
    </xdr:to>
    <xdr:sp macro="" textlink="">
      <xdr:nvSpPr>
        <xdr:cNvPr id="37" name="ZoneTexte 36">
          <a:extLst>
            <a:ext uri="{FF2B5EF4-FFF2-40B4-BE49-F238E27FC236}">
              <a16:creationId xmlns:a16="http://schemas.microsoft.com/office/drawing/2014/main" id="{00000000-0008-0000-0300-000025000000}"/>
            </a:ext>
          </a:extLst>
        </xdr:cNvPr>
        <xdr:cNvSpPr txBox="1"/>
      </xdr:nvSpPr>
      <xdr:spPr>
        <a:xfrm>
          <a:off x="5034643" y="4599207"/>
          <a:ext cx="1766206" cy="677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Suivi</a:t>
          </a:r>
          <a:r>
            <a:rPr lang="fr-FR" sz="1100" baseline="0"/>
            <a:t> du c</a:t>
          </a:r>
          <a:r>
            <a:rPr lang="fr-FR" sz="1100"/>
            <a:t>oût global et</a:t>
          </a:r>
          <a:r>
            <a:rPr lang="fr-FR" sz="1100" baseline="0"/>
            <a:t> unitaire des énergies</a:t>
          </a:r>
          <a:endParaRPr lang="fr-FR" sz="1100"/>
        </a:p>
      </xdr:txBody>
    </xdr:sp>
    <xdr:clientData/>
  </xdr:twoCellAnchor>
  <xdr:twoCellAnchor>
    <xdr:from>
      <xdr:col>6</xdr:col>
      <xdr:colOff>517071</xdr:colOff>
      <xdr:row>20</xdr:row>
      <xdr:rowOff>2714</xdr:rowOff>
    </xdr:from>
    <xdr:to>
      <xdr:col>9</xdr:col>
      <xdr:colOff>0</xdr:colOff>
      <xdr:row>23</xdr:row>
      <xdr:rowOff>108856</xdr:rowOff>
    </xdr:to>
    <xdr:sp macro="" textlink="">
      <xdr:nvSpPr>
        <xdr:cNvPr id="38" name="ZoneTexte 37">
          <a:extLst>
            <a:ext uri="{FF2B5EF4-FFF2-40B4-BE49-F238E27FC236}">
              <a16:creationId xmlns:a16="http://schemas.microsoft.com/office/drawing/2014/main" id="{00000000-0008-0000-0300-000026000000}"/>
            </a:ext>
          </a:extLst>
        </xdr:cNvPr>
        <xdr:cNvSpPr txBox="1"/>
      </xdr:nvSpPr>
      <xdr:spPr>
        <a:xfrm>
          <a:off x="5089071" y="3812714"/>
          <a:ext cx="1768929" cy="677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Suivi des consommations </a:t>
          </a:r>
          <a:r>
            <a:rPr lang="fr-FR" sz="1100" baseline="0"/>
            <a:t> brutes de chaque compteur</a:t>
          </a:r>
          <a:endParaRPr lang="fr-FR" sz="1100"/>
        </a:p>
      </xdr:txBody>
    </xdr:sp>
    <xdr:clientData/>
  </xdr:twoCellAnchor>
  <xdr:twoCellAnchor>
    <xdr:from>
      <xdr:col>6</xdr:col>
      <xdr:colOff>416379</xdr:colOff>
      <xdr:row>27</xdr:row>
      <xdr:rowOff>111571</xdr:rowOff>
    </xdr:from>
    <xdr:to>
      <xdr:col>9</xdr:col>
      <xdr:colOff>27214</xdr:colOff>
      <xdr:row>31</xdr:row>
      <xdr:rowOff>27213</xdr:rowOff>
    </xdr:to>
    <xdr:sp macro="" textlink="">
      <xdr:nvSpPr>
        <xdr:cNvPr id="39" name="ZoneTexte 38">
          <a:extLst>
            <a:ext uri="{FF2B5EF4-FFF2-40B4-BE49-F238E27FC236}">
              <a16:creationId xmlns:a16="http://schemas.microsoft.com/office/drawing/2014/main" id="{00000000-0008-0000-0300-000027000000}"/>
            </a:ext>
          </a:extLst>
        </xdr:cNvPr>
        <xdr:cNvSpPr txBox="1"/>
      </xdr:nvSpPr>
      <xdr:spPr>
        <a:xfrm>
          <a:off x="4988379" y="5255071"/>
          <a:ext cx="1896835" cy="677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Aide à la déclaration annuelle sur</a:t>
          </a:r>
          <a:r>
            <a:rPr lang="fr-FR" sz="1100" baseline="0"/>
            <a:t> OPERAT</a:t>
          </a:r>
          <a:endParaRPr lang="fr-FR" sz="1100"/>
        </a:p>
      </xdr:txBody>
    </xdr:sp>
    <xdr:clientData/>
  </xdr:twoCellAnchor>
  <xdr:twoCellAnchor>
    <xdr:from>
      <xdr:col>11</xdr:col>
      <xdr:colOff>70757</xdr:colOff>
      <xdr:row>16</xdr:row>
      <xdr:rowOff>40819</xdr:rowOff>
    </xdr:from>
    <xdr:to>
      <xdr:col>13</xdr:col>
      <xdr:colOff>530678</xdr:colOff>
      <xdr:row>19</xdr:row>
      <xdr:rowOff>146961</xdr:rowOff>
    </xdr:to>
    <xdr:sp macro="" textlink="">
      <xdr:nvSpPr>
        <xdr:cNvPr id="40" name="ZoneTexte 39">
          <a:extLst>
            <a:ext uri="{FF2B5EF4-FFF2-40B4-BE49-F238E27FC236}">
              <a16:creationId xmlns:a16="http://schemas.microsoft.com/office/drawing/2014/main" id="{00000000-0008-0000-0300-000028000000}"/>
            </a:ext>
          </a:extLst>
        </xdr:cNvPr>
        <xdr:cNvSpPr txBox="1"/>
      </xdr:nvSpPr>
      <xdr:spPr>
        <a:xfrm>
          <a:off x="8452757" y="3088819"/>
          <a:ext cx="1983921" cy="677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Information</a:t>
          </a:r>
          <a:r>
            <a:rPr lang="fr-FR" sz="1100" baseline="0"/>
            <a:t>s complémentaires pour le reporting CTEES</a:t>
          </a:r>
          <a:endParaRPr lang="fr-FR" sz="1100"/>
        </a:p>
      </xdr:txBody>
    </xdr:sp>
    <xdr:clientData/>
  </xdr:twoCellAnchor>
  <xdr:twoCellAnchor>
    <xdr:from>
      <xdr:col>11</xdr:col>
      <xdr:colOff>59871</xdr:colOff>
      <xdr:row>19</xdr:row>
      <xdr:rowOff>125182</xdr:rowOff>
    </xdr:from>
    <xdr:to>
      <xdr:col>13</xdr:col>
      <xdr:colOff>519792</xdr:colOff>
      <xdr:row>23</xdr:row>
      <xdr:rowOff>40824</xdr:rowOff>
    </xdr:to>
    <xdr:sp macro="" textlink="">
      <xdr:nvSpPr>
        <xdr:cNvPr id="41" name="ZoneTexte 40">
          <a:extLst>
            <a:ext uri="{FF2B5EF4-FFF2-40B4-BE49-F238E27FC236}">
              <a16:creationId xmlns:a16="http://schemas.microsoft.com/office/drawing/2014/main" id="{00000000-0008-0000-0300-000029000000}"/>
            </a:ext>
          </a:extLst>
        </xdr:cNvPr>
        <xdr:cNvSpPr txBox="1"/>
      </xdr:nvSpPr>
      <xdr:spPr>
        <a:xfrm>
          <a:off x="8441871" y="3744682"/>
          <a:ext cx="1983921" cy="677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Tableau</a:t>
          </a:r>
          <a:r>
            <a:rPr lang="fr-FR" sz="1100" baseline="0"/>
            <a:t> de résultats à copier dans le reporting CTEES   </a:t>
          </a:r>
          <a:endParaRPr lang="fr-FR" sz="1100"/>
        </a:p>
      </xdr:txBody>
    </xdr:sp>
    <xdr:clientData/>
  </xdr:twoCellAnchor>
  <xdr:twoCellAnchor>
    <xdr:from>
      <xdr:col>9</xdr:col>
      <xdr:colOff>300478</xdr:colOff>
      <xdr:row>24</xdr:row>
      <xdr:rowOff>76199</xdr:rowOff>
    </xdr:from>
    <xdr:to>
      <xdr:col>13</xdr:col>
      <xdr:colOff>493218</xdr:colOff>
      <xdr:row>32</xdr:row>
      <xdr:rowOff>40821</xdr:rowOff>
    </xdr:to>
    <xdr:sp macro="" textlink="">
      <xdr:nvSpPr>
        <xdr:cNvPr id="43" name="Rectangle : coins arrondis 42">
          <a:extLst>
            <a:ext uri="{FF2B5EF4-FFF2-40B4-BE49-F238E27FC236}">
              <a16:creationId xmlns:a16="http://schemas.microsoft.com/office/drawing/2014/main" id="{00000000-0008-0000-0300-00002B000000}"/>
            </a:ext>
          </a:extLst>
        </xdr:cNvPr>
        <xdr:cNvSpPr/>
      </xdr:nvSpPr>
      <xdr:spPr>
        <a:xfrm>
          <a:off x="7158478" y="4648199"/>
          <a:ext cx="3240740" cy="1488622"/>
        </a:xfrm>
        <a:prstGeom prst="roundRect">
          <a:avLst>
            <a:gd name="adj" fmla="val 10994"/>
          </a:avLst>
        </a:prstGeom>
        <a:solidFill>
          <a:sysClr val="window" lastClr="FFFFFF"/>
        </a:solidFill>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ccvc</a:t>
          </a:r>
        </a:p>
      </xdr:txBody>
    </xdr:sp>
    <xdr:clientData/>
  </xdr:twoCellAnchor>
  <xdr:twoCellAnchor>
    <xdr:from>
      <xdr:col>9</xdr:col>
      <xdr:colOff>300014</xdr:colOff>
      <xdr:row>24</xdr:row>
      <xdr:rowOff>79122</xdr:rowOff>
    </xdr:from>
    <xdr:to>
      <xdr:col>13</xdr:col>
      <xdr:colOff>499071</xdr:colOff>
      <xdr:row>26</xdr:row>
      <xdr:rowOff>23092</xdr:rowOff>
    </xdr:to>
    <xdr:sp macro="" textlink="">
      <xdr:nvSpPr>
        <xdr:cNvPr id="44" name="Rectangle : avec coins arrondis en haut 43">
          <a:extLst>
            <a:ext uri="{FF2B5EF4-FFF2-40B4-BE49-F238E27FC236}">
              <a16:creationId xmlns:a16="http://schemas.microsoft.com/office/drawing/2014/main" id="{00000000-0008-0000-0300-00002C000000}"/>
            </a:ext>
          </a:extLst>
        </xdr:cNvPr>
        <xdr:cNvSpPr/>
      </xdr:nvSpPr>
      <xdr:spPr>
        <a:xfrm>
          <a:off x="7158014" y="4651122"/>
          <a:ext cx="3247057" cy="324970"/>
        </a:xfrm>
        <a:prstGeom prst="round2SameRect">
          <a:avLst>
            <a:gd name="adj1" fmla="val 50000"/>
            <a:gd name="adj2" fmla="val 0"/>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baseline="0"/>
            <a:t>Tutoriel Outil</a:t>
          </a:r>
          <a:endParaRPr lang="fr-FR" sz="1400" b="1"/>
        </a:p>
      </xdr:txBody>
    </xdr:sp>
    <xdr:clientData/>
  </xdr:twoCellAnchor>
  <xdr:twoCellAnchor>
    <xdr:from>
      <xdr:col>9</xdr:col>
      <xdr:colOff>446314</xdr:colOff>
      <xdr:row>27</xdr:row>
      <xdr:rowOff>127908</xdr:rowOff>
    </xdr:from>
    <xdr:to>
      <xdr:col>11</xdr:col>
      <xdr:colOff>9525</xdr:colOff>
      <xdr:row>30</xdr:row>
      <xdr:rowOff>32657</xdr:rowOff>
    </xdr:to>
    <xdr:sp macro="" textlink="">
      <xdr:nvSpPr>
        <xdr:cNvPr id="45" name="Rectangle à coins arrondis 1">
          <a:hlinkClick xmlns:r="http://schemas.openxmlformats.org/officeDocument/2006/relationships" r:id="rId15"/>
          <a:extLst>
            <a:ext uri="{FF2B5EF4-FFF2-40B4-BE49-F238E27FC236}">
              <a16:creationId xmlns:a16="http://schemas.microsoft.com/office/drawing/2014/main" id="{00000000-0008-0000-0300-00002D000000}"/>
            </a:ext>
          </a:extLst>
        </xdr:cNvPr>
        <xdr:cNvSpPr/>
      </xdr:nvSpPr>
      <xdr:spPr>
        <a:xfrm>
          <a:off x="7304314" y="5271408"/>
          <a:ext cx="1087211" cy="476249"/>
        </a:xfrm>
        <a:prstGeom prst="roundRect">
          <a:avLst/>
        </a:prstGeom>
        <a:solidFill>
          <a:schemeClr val="accent4"/>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fr-FR" sz="1100" b="1">
              <a:solidFill>
                <a:schemeClr val="tx1"/>
              </a:solidFill>
              <a:latin typeface="+mn-lt"/>
              <a:ea typeface="+mn-ea"/>
              <a:cs typeface="+mn-cs"/>
            </a:rPr>
            <a:t>Tutoriel Vidéo</a:t>
          </a:r>
        </a:p>
      </xdr:txBody>
    </xdr:sp>
    <xdr:clientData/>
  </xdr:twoCellAnchor>
  <xdr:twoCellAnchor>
    <xdr:from>
      <xdr:col>11</xdr:col>
      <xdr:colOff>31296</xdr:colOff>
      <xdr:row>27</xdr:row>
      <xdr:rowOff>39457</xdr:rowOff>
    </xdr:from>
    <xdr:to>
      <xdr:col>13</xdr:col>
      <xdr:colOff>491217</xdr:colOff>
      <xdr:row>30</xdr:row>
      <xdr:rowOff>145599</xdr:rowOff>
    </xdr:to>
    <xdr:sp macro="" textlink="">
      <xdr:nvSpPr>
        <xdr:cNvPr id="46" name="ZoneTexte 45">
          <a:extLst>
            <a:ext uri="{FF2B5EF4-FFF2-40B4-BE49-F238E27FC236}">
              <a16:creationId xmlns:a16="http://schemas.microsoft.com/office/drawing/2014/main" id="{00000000-0008-0000-0300-00002E000000}"/>
            </a:ext>
          </a:extLst>
        </xdr:cNvPr>
        <xdr:cNvSpPr txBox="1"/>
      </xdr:nvSpPr>
      <xdr:spPr>
        <a:xfrm>
          <a:off x="8413296" y="5182957"/>
          <a:ext cx="1983921" cy="677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100"/>
            <a:t>Vidéo complète du tutoriel</a:t>
          </a:r>
          <a:r>
            <a:rPr lang="fr-FR" sz="1100" baseline="0"/>
            <a:t> d'utilisation de l'outil</a:t>
          </a:r>
          <a:endParaRPr lang="fr-FR" sz="1100"/>
        </a:p>
      </xdr:txBody>
    </xdr:sp>
    <xdr:clientData/>
  </xdr:twoCellAnchor>
  <xdr:twoCellAnchor editAs="oneCell">
    <xdr:from>
      <xdr:col>2</xdr:col>
      <xdr:colOff>480391</xdr:colOff>
      <xdr:row>0</xdr:row>
      <xdr:rowOff>0</xdr:rowOff>
    </xdr:from>
    <xdr:to>
      <xdr:col>4</xdr:col>
      <xdr:colOff>199809</xdr:colOff>
      <xdr:row>3</xdr:row>
      <xdr:rowOff>24848</xdr:rowOff>
    </xdr:to>
    <xdr:pic>
      <xdr:nvPicPr>
        <xdr:cNvPr id="47" name="Image 46">
          <a:extLst>
            <a:ext uri="{FF2B5EF4-FFF2-40B4-BE49-F238E27FC236}">
              <a16:creationId xmlns:a16="http://schemas.microsoft.com/office/drawing/2014/main" id="{00000000-0008-0000-0300-00002F000000}"/>
            </a:ext>
          </a:extLst>
        </xdr:cNvPr>
        <xdr:cNvPicPr>
          <a:picLocks noChangeAspect="1" noChangeArrowheads="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t="16470" b="14117"/>
        <a:stretch/>
      </xdr:blipFill>
      <xdr:spPr bwMode="auto">
        <a:xfrm>
          <a:off x="2004391" y="0"/>
          <a:ext cx="1243418" cy="596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60325</xdr:colOff>
      <xdr:row>0</xdr:row>
      <xdr:rowOff>36511</xdr:rowOff>
    </xdr:from>
    <xdr:to>
      <xdr:col>12</xdr:col>
      <xdr:colOff>334215</xdr:colOff>
      <xdr:row>0</xdr:row>
      <xdr:rowOff>236536</xdr:rowOff>
    </xdr:to>
    <xdr:sp macro="" textlink="">
      <xdr:nvSpPr>
        <xdr:cNvPr id="3" name="Rectangle à coins arrondis 1">
          <a:hlinkClick xmlns:r="http://schemas.openxmlformats.org/officeDocument/2006/relationships" r:id="rId1"/>
          <a:extLst>
            <a:ext uri="{FF2B5EF4-FFF2-40B4-BE49-F238E27FC236}">
              <a16:creationId xmlns:a16="http://schemas.microsoft.com/office/drawing/2014/main" id="{00000000-0008-0000-1D00-000003000000}"/>
            </a:ext>
          </a:extLst>
        </xdr:cNvPr>
        <xdr:cNvSpPr/>
      </xdr:nvSpPr>
      <xdr:spPr>
        <a:xfrm>
          <a:off x="9236075" y="36511"/>
          <a:ext cx="1474040" cy="200025"/>
        </a:xfrm>
        <a:prstGeom prst="round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nchorCtr="0"/>
        <a:lstStyle/>
        <a:p>
          <a:pPr algn="ctr"/>
          <a:r>
            <a:rPr lang="fr-FR" sz="1100">
              <a:solidFill>
                <a:sysClr val="windowText" lastClr="000000"/>
              </a:solidFill>
            </a:rPr>
            <a:t>Retour </a:t>
          </a:r>
          <a:r>
            <a:rPr lang="fr-FR" sz="1100">
              <a:solidFill>
                <a:sysClr val="windowText" lastClr="000000"/>
              </a:solidFill>
              <a:effectLst/>
              <a:latin typeface="+mn-lt"/>
              <a:ea typeface="+mn-ea"/>
              <a:cs typeface="+mn-cs"/>
            </a:rPr>
            <a:t>Onglet Site</a:t>
          </a:r>
          <a:endParaRPr lang="fr-FR" sz="1100">
            <a:solidFill>
              <a:sysClr val="windowText" lastClr="000000"/>
            </a:solidFill>
          </a:endParaRPr>
        </a:p>
      </xdr:txBody>
    </xdr:sp>
    <xdr:clientData/>
  </xdr:twoCellAnchor>
  <xdr:twoCellAnchor>
    <xdr:from>
      <xdr:col>13</xdr:col>
      <xdr:colOff>19050</xdr:colOff>
      <xdr:row>7</xdr:row>
      <xdr:rowOff>112711</xdr:rowOff>
    </xdr:from>
    <xdr:to>
      <xdr:col>13</xdr:col>
      <xdr:colOff>1058115</xdr:colOff>
      <xdr:row>9</xdr:row>
      <xdr:rowOff>111125</xdr:rowOff>
    </xdr:to>
    <xdr:sp macro="" textlink="">
      <xdr:nvSpPr>
        <xdr:cNvPr id="4" name="Rectangle à coins arrondis 1">
          <a:hlinkClick xmlns:r="http://schemas.openxmlformats.org/officeDocument/2006/relationships" r:id="rId2"/>
          <a:extLst>
            <a:ext uri="{FF2B5EF4-FFF2-40B4-BE49-F238E27FC236}">
              <a16:creationId xmlns:a16="http://schemas.microsoft.com/office/drawing/2014/main" id="{00000000-0008-0000-1D00-000004000000}"/>
            </a:ext>
          </a:extLst>
        </xdr:cNvPr>
        <xdr:cNvSpPr/>
      </xdr:nvSpPr>
      <xdr:spPr>
        <a:xfrm>
          <a:off x="10696575" y="1303336"/>
          <a:ext cx="1039065" cy="379414"/>
        </a:xfrm>
        <a:prstGeom prst="roundRect">
          <a:avLst/>
        </a:prstGeom>
        <a:solidFill>
          <a:srgbClr val="00B050"/>
        </a:solidFill>
      </xdr:spPr>
      <xdr:style>
        <a:lnRef idx="0">
          <a:schemeClr val="accent4"/>
        </a:lnRef>
        <a:fillRef idx="3">
          <a:schemeClr val="accent4"/>
        </a:fillRef>
        <a:effectRef idx="3">
          <a:schemeClr val="accent4"/>
        </a:effectRef>
        <a:fontRef idx="minor">
          <a:schemeClr val="lt1"/>
        </a:fontRef>
      </xdr:style>
      <xdr:txBody>
        <a:bodyPr vertOverflow="clip" horzOverflow="clip" rtlCol="0" anchor="ctr" anchorCtr="0"/>
        <a:lstStyle/>
        <a:p>
          <a:pPr algn="ctr"/>
          <a:r>
            <a:rPr lang="fr-FR" sz="1100">
              <a:solidFill>
                <a:sysClr val="windowText" lastClr="000000"/>
              </a:solidFill>
            </a:rPr>
            <a:t>OptiTurpe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82550</xdr:colOff>
      <xdr:row>0</xdr:row>
      <xdr:rowOff>50800</xdr:rowOff>
    </xdr:from>
    <xdr:to>
      <xdr:col>12</xdr:col>
      <xdr:colOff>756490</xdr:colOff>
      <xdr:row>0</xdr:row>
      <xdr:rowOff>250825</xdr:rowOff>
    </xdr:to>
    <xdr:sp macro="" textlink="">
      <xdr:nvSpPr>
        <xdr:cNvPr id="4" name="Rectangle à coins arrondis 1">
          <a:hlinkClick xmlns:r="http://schemas.openxmlformats.org/officeDocument/2006/relationships" r:id="rId1"/>
          <a:extLst>
            <a:ext uri="{FF2B5EF4-FFF2-40B4-BE49-F238E27FC236}">
              <a16:creationId xmlns:a16="http://schemas.microsoft.com/office/drawing/2014/main" id="{00000000-0008-0000-1F00-000004000000}"/>
            </a:ext>
          </a:extLst>
        </xdr:cNvPr>
        <xdr:cNvSpPr/>
      </xdr:nvSpPr>
      <xdr:spPr>
        <a:xfrm>
          <a:off x="9156700" y="50800"/>
          <a:ext cx="1474040" cy="200025"/>
        </a:xfrm>
        <a:prstGeom prst="round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nchorCtr="0"/>
        <a:lstStyle/>
        <a:p>
          <a:pPr algn="ctr"/>
          <a:r>
            <a:rPr lang="fr-FR" sz="1100">
              <a:solidFill>
                <a:sysClr val="windowText" lastClr="000000"/>
              </a:solidFill>
            </a:rPr>
            <a:t>Retour </a:t>
          </a:r>
          <a:r>
            <a:rPr lang="fr-FR" sz="1100">
              <a:solidFill>
                <a:sysClr val="windowText" lastClr="000000"/>
              </a:solidFill>
              <a:effectLst/>
              <a:latin typeface="+mn-lt"/>
              <a:ea typeface="+mn-ea"/>
              <a:cs typeface="+mn-cs"/>
            </a:rPr>
            <a:t>Onglet Site</a:t>
          </a:r>
          <a:endParaRPr lang="fr-FR" sz="1100">
            <a:solidFill>
              <a:sysClr val="windowText" lastClr="000000"/>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76200</xdr:colOff>
      <xdr:row>0</xdr:row>
      <xdr:rowOff>31751</xdr:rowOff>
    </xdr:from>
    <xdr:to>
      <xdr:col>12</xdr:col>
      <xdr:colOff>750140</xdr:colOff>
      <xdr:row>0</xdr:row>
      <xdr:rowOff>203201</xdr:rowOff>
    </xdr:to>
    <xdr:sp macro="" textlink="">
      <xdr:nvSpPr>
        <xdr:cNvPr id="7" name="Rectangle à coins arrondis 1">
          <a:hlinkClick xmlns:r="http://schemas.openxmlformats.org/officeDocument/2006/relationships" r:id="rId1"/>
          <a:extLst>
            <a:ext uri="{FF2B5EF4-FFF2-40B4-BE49-F238E27FC236}">
              <a16:creationId xmlns:a16="http://schemas.microsoft.com/office/drawing/2014/main" id="{00000000-0008-0000-2000-000007000000}"/>
            </a:ext>
          </a:extLst>
        </xdr:cNvPr>
        <xdr:cNvSpPr/>
      </xdr:nvSpPr>
      <xdr:spPr>
        <a:xfrm>
          <a:off x="8509000" y="31751"/>
          <a:ext cx="1474040" cy="171450"/>
        </a:xfrm>
        <a:prstGeom prst="round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nchorCtr="0"/>
        <a:lstStyle/>
        <a:p>
          <a:pPr algn="ctr"/>
          <a:r>
            <a:rPr lang="fr-FR" sz="1100">
              <a:solidFill>
                <a:sysClr val="windowText" lastClr="000000"/>
              </a:solidFill>
            </a:rPr>
            <a:t>Retour </a:t>
          </a:r>
          <a:r>
            <a:rPr lang="fr-FR" sz="1100">
              <a:solidFill>
                <a:sysClr val="windowText" lastClr="000000"/>
              </a:solidFill>
              <a:effectLst/>
              <a:latin typeface="+mn-lt"/>
              <a:ea typeface="+mn-ea"/>
              <a:cs typeface="+mn-cs"/>
            </a:rPr>
            <a:t>Onglet Site</a:t>
          </a:r>
          <a:endParaRPr lang="fr-FR" sz="1100">
            <a:solidFill>
              <a:sysClr val="windowText" lastClr="000000"/>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69850</xdr:colOff>
      <xdr:row>0</xdr:row>
      <xdr:rowOff>44450</xdr:rowOff>
    </xdr:from>
    <xdr:to>
      <xdr:col>12</xdr:col>
      <xdr:colOff>743790</xdr:colOff>
      <xdr:row>0</xdr:row>
      <xdr:rowOff>244475</xdr:rowOff>
    </xdr:to>
    <xdr:sp macro="" textlink="">
      <xdr:nvSpPr>
        <xdr:cNvPr id="4" name="Rectangle à coins arrondis 1">
          <a:hlinkClick xmlns:r="http://schemas.openxmlformats.org/officeDocument/2006/relationships" r:id="rId1"/>
          <a:extLst>
            <a:ext uri="{FF2B5EF4-FFF2-40B4-BE49-F238E27FC236}">
              <a16:creationId xmlns:a16="http://schemas.microsoft.com/office/drawing/2014/main" id="{00000000-0008-0000-2100-000004000000}"/>
            </a:ext>
          </a:extLst>
        </xdr:cNvPr>
        <xdr:cNvSpPr/>
      </xdr:nvSpPr>
      <xdr:spPr>
        <a:xfrm>
          <a:off x="8305800" y="44450"/>
          <a:ext cx="1474040" cy="200025"/>
        </a:xfrm>
        <a:prstGeom prst="round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nchorCtr="0"/>
        <a:lstStyle/>
        <a:p>
          <a:pPr algn="ctr"/>
          <a:r>
            <a:rPr lang="fr-FR" sz="1100">
              <a:solidFill>
                <a:sysClr val="windowText" lastClr="000000"/>
              </a:solidFill>
            </a:rPr>
            <a:t>Retour </a:t>
          </a:r>
          <a:r>
            <a:rPr lang="fr-FR" sz="1100">
              <a:solidFill>
                <a:sysClr val="windowText" lastClr="000000"/>
              </a:solidFill>
              <a:effectLst/>
              <a:latin typeface="+mn-lt"/>
              <a:ea typeface="+mn-ea"/>
              <a:cs typeface="+mn-cs"/>
            </a:rPr>
            <a:t>Onglet Site</a:t>
          </a:r>
          <a:endParaRPr lang="fr-FR" sz="1100">
            <a:solidFill>
              <a:sysClr val="windowText" lastClr="000000"/>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11</xdr:col>
      <xdr:colOff>76201</xdr:colOff>
      <xdr:row>0</xdr:row>
      <xdr:rowOff>38100</xdr:rowOff>
    </xdr:from>
    <xdr:to>
      <xdr:col>12</xdr:col>
      <xdr:colOff>694579</xdr:colOff>
      <xdr:row>0</xdr:row>
      <xdr:rowOff>260350</xdr:rowOff>
    </xdr:to>
    <xdr:sp macro="" textlink="">
      <xdr:nvSpPr>
        <xdr:cNvPr id="3" name="Rectangle à coins arrondis 1">
          <a:hlinkClick xmlns:r="http://schemas.openxmlformats.org/officeDocument/2006/relationships" r:id="rId1"/>
          <a:extLst>
            <a:ext uri="{FF2B5EF4-FFF2-40B4-BE49-F238E27FC236}">
              <a16:creationId xmlns:a16="http://schemas.microsoft.com/office/drawing/2014/main" id="{00000000-0008-0000-2200-000003000000}"/>
            </a:ext>
          </a:extLst>
        </xdr:cNvPr>
        <xdr:cNvSpPr/>
      </xdr:nvSpPr>
      <xdr:spPr>
        <a:xfrm>
          <a:off x="8578851" y="38100"/>
          <a:ext cx="1418478" cy="222250"/>
        </a:xfrm>
        <a:prstGeom prst="round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nchorCtr="0"/>
        <a:lstStyle/>
        <a:p>
          <a:pPr algn="ctr"/>
          <a:r>
            <a:rPr lang="fr-FR" sz="1100">
              <a:solidFill>
                <a:sysClr val="windowText" lastClr="000000"/>
              </a:solidFill>
            </a:rPr>
            <a:t>Retour </a:t>
          </a:r>
          <a:r>
            <a:rPr lang="fr-FR" sz="1100">
              <a:solidFill>
                <a:sysClr val="windowText" lastClr="000000"/>
              </a:solidFill>
              <a:effectLst/>
              <a:latin typeface="+mn-lt"/>
              <a:ea typeface="+mn-ea"/>
              <a:cs typeface="+mn-cs"/>
            </a:rPr>
            <a:t>Onglet Site</a:t>
          </a:r>
          <a:endParaRPr lang="fr-FR" sz="1100">
            <a:solidFill>
              <a:sysClr val="windowText" lastClr="000000"/>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11</xdr:col>
      <xdr:colOff>114301</xdr:colOff>
      <xdr:row>0</xdr:row>
      <xdr:rowOff>22225</xdr:rowOff>
    </xdr:from>
    <xdr:to>
      <xdr:col>12</xdr:col>
      <xdr:colOff>580279</xdr:colOff>
      <xdr:row>0</xdr:row>
      <xdr:rowOff>222250</xdr:rowOff>
    </xdr:to>
    <xdr:sp macro="" textlink="">
      <xdr:nvSpPr>
        <xdr:cNvPr id="3" name="Rectangle à coins arrondis 1">
          <a:hlinkClick xmlns:r="http://schemas.openxmlformats.org/officeDocument/2006/relationships" r:id="rId1"/>
          <a:extLst>
            <a:ext uri="{FF2B5EF4-FFF2-40B4-BE49-F238E27FC236}">
              <a16:creationId xmlns:a16="http://schemas.microsoft.com/office/drawing/2014/main" id="{00000000-0008-0000-2300-000003000000}"/>
            </a:ext>
          </a:extLst>
        </xdr:cNvPr>
        <xdr:cNvSpPr/>
      </xdr:nvSpPr>
      <xdr:spPr>
        <a:xfrm>
          <a:off x="8794751" y="22225"/>
          <a:ext cx="1266078" cy="200025"/>
        </a:xfrm>
        <a:prstGeom prst="round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nchorCtr="0"/>
        <a:lstStyle/>
        <a:p>
          <a:pPr algn="ctr"/>
          <a:r>
            <a:rPr lang="fr-FR" sz="1100">
              <a:solidFill>
                <a:sysClr val="windowText" lastClr="000000"/>
              </a:solidFill>
            </a:rPr>
            <a:t>Retour </a:t>
          </a:r>
          <a:r>
            <a:rPr lang="fr-FR" sz="1100">
              <a:solidFill>
                <a:sysClr val="windowText" lastClr="000000"/>
              </a:solidFill>
              <a:effectLst/>
              <a:latin typeface="+mn-lt"/>
              <a:ea typeface="+mn-ea"/>
              <a:cs typeface="+mn-cs"/>
            </a:rPr>
            <a:t>Onglet Site</a:t>
          </a:r>
          <a:endParaRPr lang="fr-FR" sz="1100">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107950</xdr:colOff>
      <xdr:row>0</xdr:row>
      <xdr:rowOff>28575</xdr:rowOff>
    </xdr:from>
    <xdr:to>
      <xdr:col>12</xdr:col>
      <xdr:colOff>577103</xdr:colOff>
      <xdr:row>0</xdr:row>
      <xdr:rowOff>209550</xdr:rowOff>
    </xdr:to>
    <xdr:sp macro="" textlink="">
      <xdr:nvSpPr>
        <xdr:cNvPr id="4" name="Rectangle à coins arrondis 1">
          <a:hlinkClick xmlns:r="http://schemas.openxmlformats.org/officeDocument/2006/relationships" r:id="rId1"/>
          <a:extLst>
            <a:ext uri="{FF2B5EF4-FFF2-40B4-BE49-F238E27FC236}">
              <a16:creationId xmlns:a16="http://schemas.microsoft.com/office/drawing/2014/main" id="{00000000-0008-0000-2400-000004000000}"/>
            </a:ext>
          </a:extLst>
        </xdr:cNvPr>
        <xdr:cNvSpPr/>
      </xdr:nvSpPr>
      <xdr:spPr>
        <a:xfrm>
          <a:off x="8464550" y="28575"/>
          <a:ext cx="1269253" cy="180975"/>
        </a:xfrm>
        <a:prstGeom prst="round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nchorCtr="0"/>
        <a:lstStyle/>
        <a:p>
          <a:pPr algn="ctr"/>
          <a:r>
            <a:rPr lang="fr-FR" sz="1100">
              <a:solidFill>
                <a:sysClr val="windowText" lastClr="000000"/>
              </a:solidFill>
            </a:rPr>
            <a:t>Retour </a:t>
          </a:r>
          <a:r>
            <a:rPr lang="fr-FR" sz="1100">
              <a:solidFill>
                <a:sysClr val="windowText" lastClr="000000"/>
              </a:solidFill>
              <a:effectLst/>
              <a:latin typeface="+mn-lt"/>
              <a:ea typeface="+mn-ea"/>
              <a:cs typeface="+mn-cs"/>
            </a:rPr>
            <a:t>Onglet Site</a:t>
          </a:r>
          <a:endParaRPr lang="fr-FR" sz="1100">
            <a:solidFill>
              <a:sysClr val="windowText" lastClr="000000"/>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11</xdr:col>
      <xdr:colOff>82551</xdr:colOff>
      <xdr:row>0</xdr:row>
      <xdr:rowOff>31750</xdr:rowOff>
    </xdr:from>
    <xdr:to>
      <xdr:col>12</xdr:col>
      <xdr:colOff>571501</xdr:colOff>
      <xdr:row>0</xdr:row>
      <xdr:rowOff>228600</xdr:rowOff>
    </xdr:to>
    <xdr:sp macro="" textlink="">
      <xdr:nvSpPr>
        <xdr:cNvPr id="2" name="Rectangle à coins arrondis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8540751" y="31750"/>
          <a:ext cx="1289050" cy="196850"/>
        </a:xfrm>
        <a:prstGeom prst="round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nchorCtr="0"/>
        <a:lstStyle/>
        <a:p>
          <a:pPr algn="ctr"/>
          <a:r>
            <a:rPr lang="fr-FR" sz="1100">
              <a:solidFill>
                <a:sysClr val="windowText" lastClr="000000"/>
              </a:solidFill>
            </a:rPr>
            <a:t>Retour </a:t>
          </a:r>
          <a:r>
            <a:rPr lang="fr-FR" sz="1100">
              <a:solidFill>
                <a:sysClr val="windowText" lastClr="000000"/>
              </a:solidFill>
              <a:effectLst/>
              <a:latin typeface="+mn-lt"/>
              <a:ea typeface="+mn-ea"/>
              <a:cs typeface="+mn-cs"/>
            </a:rPr>
            <a:t>Onglet Site</a:t>
          </a:r>
          <a:endParaRPr lang="fr-FR" sz="1100">
            <a:solidFill>
              <a:sysClr val="windowText" lastClr="000000"/>
            </a:solidFill>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93890</xdr:colOff>
      <xdr:row>0</xdr:row>
      <xdr:rowOff>49894</xdr:rowOff>
    </xdr:from>
    <xdr:to>
      <xdr:col>14</xdr:col>
      <xdr:colOff>123825</xdr:colOff>
      <xdr:row>7</xdr:row>
      <xdr:rowOff>30160</xdr:rowOff>
    </xdr:to>
    <xdr:pic>
      <xdr:nvPicPr>
        <xdr:cNvPr id="2" name="Image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16619765" y="49894"/>
          <a:ext cx="1588860" cy="17106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4269440</xdr:colOff>
      <xdr:row>0</xdr:row>
      <xdr:rowOff>62192</xdr:rowOff>
    </xdr:from>
    <xdr:to>
      <xdr:col>6</xdr:col>
      <xdr:colOff>154379</xdr:colOff>
      <xdr:row>2</xdr:row>
      <xdr:rowOff>11871</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32365" y="66954"/>
          <a:ext cx="2722590" cy="306867"/>
        </a:xfrm>
        <a:prstGeom prst="rect">
          <a:avLst/>
        </a:prstGeom>
      </xdr:spPr>
    </xdr:pic>
    <xdr:clientData/>
  </xdr:twoCellAnchor>
  <xdr:twoCellAnchor>
    <xdr:from>
      <xdr:col>0</xdr:col>
      <xdr:colOff>0</xdr:colOff>
      <xdr:row>0</xdr:row>
      <xdr:rowOff>0</xdr:rowOff>
    </xdr:from>
    <xdr:to>
      <xdr:col>5</xdr:col>
      <xdr:colOff>0</xdr:colOff>
      <xdr:row>1</xdr:row>
      <xdr:rowOff>65942</xdr:rowOff>
    </xdr:to>
    <xdr:sp macro="" textlink="">
      <xdr:nvSpPr>
        <xdr:cNvPr id="3" name="ZoneTexte 2">
          <a:extLst>
            <a:ext uri="{FF2B5EF4-FFF2-40B4-BE49-F238E27FC236}">
              <a16:creationId xmlns:a16="http://schemas.microsoft.com/office/drawing/2014/main" id="{00000000-0008-0000-0400-000003000000}"/>
            </a:ext>
          </a:extLst>
        </xdr:cNvPr>
        <xdr:cNvSpPr txBox="1"/>
      </xdr:nvSpPr>
      <xdr:spPr>
        <a:xfrm>
          <a:off x="0" y="0"/>
          <a:ext cx="14030325" cy="246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b="1"/>
            <a:t>Calcul de la valeur absolue</a:t>
          </a:r>
        </a:p>
      </xdr:txBody>
    </xdr:sp>
    <xdr:clientData/>
  </xdr:twoCellAnchor>
  <xdr:twoCellAnchor>
    <xdr:from>
      <xdr:col>14</xdr:col>
      <xdr:colOff>489857</xdr:colOff>
      <xdr:row>1</xdr:row>
      <xdr:rowOff>108856</xdr:rowOff>
    </xdr:from>
    <xdr:to>
      <xdr:col>14</xdr:col>
      <xdr:colOff>2122714</xdr:colOff>
      <xdr:row>3</xdr:row>
      <xdr:rowOff>190499</xdr:rowOff>
    </xdr:to>
    <xdr:sp macro="" textlink="">
      <xdr:nvSpPr>
        <xdr:cNvPr id="4" name="Rectangle : coins arrondis 3">
          <a:hlinkClick xmlns:r="http://schemas.openxmlformats.org/officeDocument/2006/relationships" r:id="rId2"/>
          <a:extLst>
            <a:ext uri="{FF2B5EF4-FFF2-40B4-BE49-F238E27FC236}">
              <a16:creationId xmlns:a16="http://schemas.microsoft.com/office/drawing/2014/main" id="{00000000-0008-0000-0400-000004000000}"/>
            </a:ext>
          </a:extLst>
        </xdr:cNvPr>
        <xdr:cNvSpPr/>
      </xdr:nvSpPr>
      <xdr:spPr>
        <a:xfrm>
          <a:off x="16138071" y="299356"/>
          <a:ext cx="1632857" cy="462643"/>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a:solidFill>
                <a:schemeClr val="tx1"/>
              </a:solidFill>
            </a:rPr>
            <a:t>Retour</a:t>
          </a:r>
          <a:r>
            <a:rPr lang="fr-FR" sz="1600" b="1" baseline="0">
              <a:solidFill>
                <a:schemeClr val="tx1"/>
              </a:solidFill>
            </a:rPr>
            <a:t> Acceuil</a:t>
          </a:r>
          <a:endParaRPr lang="fr-FR" sz="1600" b="1">
            <a:solidFill>
              <a:schemeClr val="tx1"/>
            </a:solidFill>
          </a:endParaRPr>
        </a:p>
      </xdr:txBody>
    </xdr:sp>
    <xdr:clientData/>
  </xdr:twoCellAnchor>
  <xdr:twoCellAnchor>
    <xdr:from>
      <xdr:col>14</xdr:col>
      <xdr:colOff>2680608</xdr:colOff>
      <xdr:row>1</xdr:row>
      <xdr:rowOff>68036</xdr:rowOff>
    </xdr:from>
    <xdr:to>
      <xdr:col>14</xdr:col>
      <xdr:colOff>4259036</xdr:colOff>
      <xdr:row>3</xdr:row>
      <xdr:rowOff>176893</xdr:rowOff>
    </xdr:to>
    <xdr:sp macro="" textlink="">
      <xdr:nvSpPr>
        <xdr:cNvPr id="5" name="Rectangle à coins arrondis 1">
          <a:hlinkClick xmlns:r="http://schemas.openxmlformats.org/officeDocument/2006/relationships" r:id="rId3"/>
          <a:extLst>
            <a:ext uri="{FF2B5EF4-FFF2-40B4-BE49-F238E27FC236}">
              <a16:creationId xmlns:a16="http://schemas.microsoft.com/office/drawing/2014/main" id="{00000000-0008-0000-0400-000005000000}"/>
            </a:ext>
          </a:extLst>
        </xdr:cNvPr>
        <xdr:cNvSpPr/>
      </xdr:nvSpPr>
      <xdr:spPr>
        <a:xfrm>
          <a:off x="18328822" y="258536"/>
          <a:ext cx="1578428" cy="489857"/>
        </a:xfrm>
        <a:prstGeom prst="roundRect">
          <a:avLst/>
        </a:prstGeom>
        <a:solidFill>
          <a:srgbClr val="FFDE75"/>
        </a:solidFill>
        <a:effectLst>
          <a:outerShdw blurRad="50800" dist="38100" dir="8100000" algn="tr" rotWithShape="0">
            <a:prstClr val="black">
              <a:alpha val="40000"/>
            </a:prstClr>
          </a:outerShdw>
        </a:effectLst>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fr-FR" sz="1200" b="0" cap="none" spc="0">
              <a:ln w="0"/>
              <a:solidFill>
                <a:sysClr val="windowText" lastClr="000000"/>
              </a:solidFill>
              <a:effectLst>
                <a:outerShdw blurRad="38100" dist="19050" dir="2700000" algn="tl" rotWithShape="0">
                  <a:schemeClr val="dk1">
                    <a:alpha val="40000"/>
                  </a:schemeClr>
                </a:outerShdw>
              </a:effectLst>
            </a:rPr>
            <a:t>Tuto</a:t>
          </a:r>
          <a:r>
            <a:rPr lang="fr-FR" sz="1200" b="0" cap="none" spc="0" baseline="0">
              <a:ln w="0"/>
              <a:solidFill>
                <a:sysClr val="windowText" lastClr="000000"/>
              </a:solidFill>
              <a:effectLst>
                <a:outerShdw blurRad="38100" dist="19050" dir="2700000" algn="tl" rotWithShape="0">
                  <a:schemeClr val="dk1">
                    <a:alpha val="40000"/>
                  </a:schemeClr>
                </a:outerShdw>
              </a:effectLst>
            </a:rPr>
            <a:t> Onglet Surfaces</a:t>
          </a:r>
          <a:endParaRPr lang="fr-FR" sz="1200" b="0" cap="none" spc="0">
            <a:ln w="0"/>
            <a:solidFill>
              <a:sysClr val="windowText" lastClr="000000"/>
            </a:solidFill>
            <a:effectLst>
              <a:outerShdw blurRad="38100" dist="19050" dir="2700000" algn="tl" rotWithShape="0">
                <a:schemeClr val="dk1">
                  <a:alpha val="40000"/>
                </a:schemeClr>
              </a:outerShdw>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285750</xdr:colOff>
      <xdr:row>5</xdr:row>
      <xdr:rowOff>57150</xdr:rowOff>
    </xdr:from>
    <xdr:to>
      <xdr:col>9</xdr:col>
      <xdr:colOff>1533525</xdr:colOff>
      <xdr:row>9</xdr:row>
      <xdr:rowOff>108857</xdr:rowOff>
    </xdr:to>
    <xdr:cxnSp macro="">
      <xdr:nvCxnSpPr>
        <xdr:cNvPr id="3" name="Connecteur droit avec flèche 2">
          <a:extLst>
            <a:ext uri="{FF2B5EF4-FFF2-40B4-BE49-F238E27FC236}">
              <a16:creationId xmlns:a16="http://schemas.microsoft.com/office/drawing/2014/main" id="{00000000-0008-0000-0500-000003000000}"/>
            </a:ext>
          </a:extLst>
        </xdr:cNvPr>
        <xdr:cNvCxnSpPr/>
      </xdr:nvCxnSpPr>
      <xdr:spPr>
        <a:xfrm flipH="1">
          <a:off x="7987393" y="941614"/>
          <a:ext cx="3588203" cy="75927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1609726</xdr:colOff>
      <xdr:row>5</xdr:row>
      <xdr:rowOff>76200</xdr:rowOff>
    </xdr:from>
    <xdr:to>
      <xdr:col>11</xdr:col>
      <xdr:colOff>843642</xdr:colOff>
      <xdr:row>9</xdr:row>
      <xdr:rowOff>136071</xdr:rowOff>
    </xdr:to>
    <xdr:cxnSp macro="">
      <xdr:nvCxnSpPr>
        <xdr:cNvPr id="4" name="Connecteur droit avec flèche 3">
          <a:extLst>
            <a:ext uri="{FF2B5EF4-FFF2-40B4-BE49-F238E27FC236}">
              <a16:creationId xmlns:a16="http://schemas.microsoft.com/office/drawing/2014/main" id="{00000000-0008-0000-0500-000004000000}"/>
            </a:ext>
          </a:extLst>
        </xdr:cNvPr>
        <xdr:cNvCxnSpPr/>
      </xdr:nvCxnSpPr>
      <xdr:spPr>
        <a:xfrm>
          <a:off x="11651797" y="960664"/>
          <a:ext cx="1628774" cy="76744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20865</xdr:colOff>
      <xdr:row>3</xdr:row>
      <xdr:rowOff>54430</xdr:rowOff>
    </xdr:from>
    <xdr:to>
      <xdr:col>15</xdr:col>
      <xdr:colOff>1854282</xdr:colOff>
      <xdr:row>4</xdr:row>
      <xdr:rowOff>194212</xdr:rowOff>
    </xdr:to>
    <xdr:sp macro="" textlink="">
      <xdr:nvSpPr>
        <xdr:cNvPr id="5" name="Rectangle à coins arrondis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16744044" y="1061359"/>
          <a:ext cx="1833417" cy="398317"/>
        </a:xfrm>
        <a:prstGeom prst="roundRect">
          <a:avLst/>
        </a:prstGeom>
        <a:solidFill>
          <a:srgbClr val="FFDE75"/>
        </a:solidFill>
        <a:effectLst>
          <a:outerShdw blurRad="50800" dist="38100" dir="8100000" algn="tr" rotWithShape="0">
            <a:prstClr val="black">
              <a:alpha val="40000"/>
            </a:prstClr>
          </a:outerShdw>
        </a:effectLst>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fr-FR" sz="1600" b="0" cap="none" spc="0">
              <a:ln w="0"/>
              <a:solidFill>
                <a:sysClr val="windowText" lastClr="000000"/>
              </a:solidFill>
              <a:effectLst>
                <a:outerShdw blurRad="38100" dist="19050" dir="2700000" algn="tl" rotWithShape="0">
                  <a:schemeClr val="dk1">
                    <a:alpha val="40000"/>
                  </a:schemeClr>
                </a:outerShdw>
              </a:effectLst>
            </a:rPr>
            <a:t>Tutoriel DJU</a:t>
          </a:r>
        </a:p>
      </xdr:txBody>
    </xdr:sp>
    <xdr:clientData/>
  </xdr:twoCellAnchor>
  <xdr:twoCellAnchor>
    <xdr:from>
      <xdr:col>13</xdr:col>
      <xdr:colOff>118381</xdr:colOff>
      <xdr:row>4</xdr:row>
      <xdr:rowOff>152852</xdr:rowOff>
    </xdr:from>
    <xdr:to>
      <xdr:col>14</xdr:col>
      <xdr:colOff>1455052</xdr:colOff>
      <xdr:row>6</xdr:row>
      <xdr:rowOff>85353</xdr:rowOff>
    </xdr:to>
    <xdr:sp macro="" textlink="">
      <xdr:nvSpPr>
        <xdr:cNvPr id="6" name="Rectangle à coins arrondis 1">
          <a:hlinkClick xmlns:r="http://schemas.openxmlformats.org/officeDocument/2006/relationships" r:id="rId2"/>
          <a:extLst>
            <a:ext uri="{FF2B5EF4-FFF2-40B4-BE49-F238E27FC236}">
              <a16:creationId xmlns:a16="http://schemas.microsoft.com/office/drawing/2014/main" id="{00000000-0008-0000-0500-000006000000}"/>
            </a:ext>
          </a:extLst>
        </xdr:cNvPr>
        <xdr:cNvSpPr/>
      </xdr:nvSpPr>
      <xdr:spPr>
        <a:xfrm>
          <a:off x="14365060" y="1418316"/>
          <a:ext cx="1989813" cy="449573"/>
        </a:xfrm>
        <a:prstGeom prst="round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nchorCtr="0"/>
        <a:lstStyle/>
        <a:p>
          <a:pPr algn="ctr"/>
          <a:r>
            <a:rPr lang="fr-FR" sz="1600">
              <a:solidFill>
                <a:sysClr val="windowText" lastClr="000000"/>
              </a:solidFill>
            </a:rPr>
            <a:t>Retour </a:t>
          </a:r>
          <a:r>
            <a:rPr lang="fr-FR" sz="1600">
              <a:solidFill>
                <a:sysClr val="windowText" lastClr="000000"/>
              </a:solidFill>
              <a:effectLst/>
              <a:latin typeface="+mn-lt"/>
              <a:ea typeface="+mn-ea"/>
              <a:cs typeface="+mn-cs"/>
            </a:rPr>
            <a:t>Onglet Site</a:t>
          </a:r>
          <a:endParaRPr lang="fr-FR" sz="1600">
            <a:solidFill>
              <a:sysClr val="windowText" lastClr="000000"/>
            </a:solidFill>
          </a:endParaRPr>
        </a:p>
      </xdr:txBody>
    </xdr:sp>
    <xdr:clientData/>
  </xdr:twoCellAnchor>
  <xdr:twoCellAnchor>
    <xdr:from>
      <xdr:col>7</xdr:col>
      <xdr:colOff>76532</xdr:colOff>
      <xdr:row>2</xdr:row>
      <xdr:rowOff>45603</xdr:rowOff>
    </xdr:from>
    <xdr:to>
      <xdr:col>7</xdr:col>
      <xdr:colOff>1973036</xdr:colOff>
      <xdr:row>2</xdr:row>
      <xdr:rowOff>447097</xdr:rowOff>
    </xdr:to>
    <xdr:sp macro="" textlink="">
      <xdr:nvSpPr>
        <xdr:cNvPr id="8" name="Rectangle à coins arrondis 4">
          <a:hlinkClick xmlns:r="http://schemas.openxmlformats.org/officeDocument/2006/relationships" r:id="rId3"/>
          <a:extLst>
            <a:ext uri="{FF2B5EF4-FFF2-40B4-BE49-F238E27FC236}">
              <a16:creationId xmlns:a16="http://schemas.microsoft.com/office/drawing/2014/main" id="{00000000-0008-0000-0500-000008000000}"/>
            </a:ext>
          </a:extLst>
        </xdr:cNvPr>
        <xdr:cNvSpPr/>
      </xdr:nvSpPr>
      <xdr:spPr>
        <a:xfrm>
          <a:off x="5764318" y="481032"/>
          <a:ext cx="1896504" cy="401494"/>
        </a:xfrm>
        <a:prstGeom prst="roundRect">
          <a:avLst/>
        </a:prstGeom>
        <a:solidFill>
          <a:srgbClr val="92D050"/>
        </a:solidFill>
        <a:effectLst>
          <a:outerShdw blurRad="50800" dist="38100" dir="8100000" algn="tr" rotWithShape="0">
            <a:prstClr val="black">
              <a:alpha val="40000"/>
            </a:prstClr>
          </a:outerShdw>
        </a:effectLst>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fr-FR" sz="1600" b="0" cap="none" spc="0">
              <a:ln w="0"/>
              <a:solidFill>
                <a:sysClr val="windowText" lastClr="000000"/>
              </a:solidFill>
              <a:effectLst>
                <a:outerShdw blurRad="38100" dist="19050" dir="2700000" algn="tl" rotWithShape="0">
                  <a:schemeClr val="dk1">
                    <a:alpha val="40000"/>
                  </a:schemeClr>
                </a:outerShdw>
              </a:effectLst>
            </a:rPr>
            <a:t>Site DJU</a:t>
          </a:r>
        </a:p>
      </xdr:txBody>
    </xdr:sp>
    <xdr:clientData/>
  </xdr:twoCellAnchor>
  <xdr:twoCellAnchor>
    <xdr:from>
      <xdr:col>13</xdr:col>
      <xdr:colOff>163286</xdr:colOff>
      <xdr:row>2</xdr:row>
      <xdr:rowOff>312964</xdr:rowOff>
    </xdr:from>
    <xdr:to>
      <xdr:col>14</xdr:col>
      <xdr:colOff>1143001</xdr:colOff>
      <xdr:row>3</xdr:row>
      <xdr:rowOff>217714</xdr:rowOff>
    </xdr:to>
    <xdr:sp macro="" textlink="">
      <xdr:nvSpPr>
        <xdr:cNvPr id="7" name="Rectangle : coins arrondis 6">
          <a:hlinkClick xmlns:r="http://schemas.openxmlformats.org/officeDocument/2006/relationships" r:id="rId4"/>
          <a:extLst>
            <a:ext uri="{FF2B5EF4-FFF2-40B4-BE49-F238E27FC236}">
              <a16:creationId xmlns:a16="http://schemas.microsoft.com/office/drawing/2014/main" id="{00000000-0008-0000-0500-000007000000}"/>
            </a:ext>
          </a:extLst>
        </xdr:cNvPr>
        <xdr:cNvSpPr/>
      </xdr:nvSpPr>
      <xdr:spPr>
        <a:xfrm>
          <a:off x="14409965" y="762000"/>
          <a:ext cx="1632857" cy="462643"/>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a:solidFill>
                <a:schemeClr val="tx1"/>
              </a:solidFill>
            </a:rPr>
            <a:t>Retour</a:t>
          </a:r>
          <a:r>
            <a:rPr lang="fr-FR" sz="1600" b="1" baseline="0">
              <a:solidFill>
                <a:schemeClr val="tx1"/>
              </a:solidFill>
            </a:rPr>
            <a:t> Acceuil</a:t>
          </a:r>
          <a:endParaRPr lang="fr-FR" sz="1600" b="1">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285750</xdr:colOff>
          <xdr:row>60</xdr:row>
          <xdr:rowOff>19050</xdr:rowOff>
        </xdr:from>
        <xdr:to>
          <xdr:col>4</xdr:col>
          <xdr:colOff>76200</xdr:colOff>
          <xdr:row>61</xdr:row>
          <xdr:rowOff>76200</xdr:rowOff>
        </xdr:to>
        <xdr:sp macro="" textlink="">
          <xdr:nvSpPr>
            <xdr:cNvPr id="9223" name="Drop Down 7" hidden="1">
              <a:extLst>
                <a:ext uri="{63B3BB69-23CF-44E3-9099-C40C66FF867C}">
                  <a14:compatExt spid="_x0000_s9223"/>
                </a:ext>
                <a:ext uri="{FF2B5EF4-FFF2-40B4-BE49-F238E27FC236}">
                  <a16:creationId xmlns:a16="http://schemas.microsoft.com/office/drawing/2014/main" id="{00000000-0008-0000-0600-000007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6</xdr:col>
      <xdr:colOff>187572</xdr:colOff>
      <xdr:row>0</xdr:row>
      <xdr:rowOff>56030</xdr:rowOff>
    </xdr:from>
    <xdr:to>
      <xdr:col>8</xdr:col>
      <xdr:colOff>246525</xdr:colOff>
      <xdr:row>1</xdr:row>
      <xdr:rowOff>200971</xdr:rowOff>
    </xdr:to>
    <xdr:pic>
      <xdr:nvPicPr>
        <xdr:cNvPr id="15" name="Image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5039719" y="56030"/>
          <a:ext cx="2277718" cy="33544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76200</xdr:colOff>
          <xdr:row>28</xdr:row>
          <xdr:rowOff>171450</xdr:rowOff>
        </xdr:from>
        <xdr:to>
          <xdr:col>4</xdr:col>
          <xdr:colOff>361950</xdr:colOff>
          <xdr:row>30</xdr:row>
          <xdr:rowOff>76200</xdr:rowOff>
        </xdr:to>
        <xdr:sp macro="" textlink="">
          <xdr:nvSpPr>
            <xdr:cNvPr id="9226" name="Drop Down 10" hidden="1">
              <a:extLst>
                <a:ext uri="{63B3BB69-23CF-44E3-9099-C40C66FF867C}">
                  <a14:compatExt spid="_x0000_s9226"/>
                </a:ext>
                <a:ext uri="{FF2B5EF4-FFF2-40B4-BE49-F238E27FC236}">
                  <a16:creationId xmlns:a16="http://schemas.microsoft.com/office/drawing/2014/main" id="{00000000-0008-0000-0600-00000A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64</xdr:row>
          <xdr:rowOff>19050</xdr:rowOff>
        </xdr:from>
        <xdr:to>
          <xdr:col>4</xdr:col>
          <xdr:colOff>57150</xdr:colOff>
          <xdr:row>65</xdr:row>
          <xdr:rowOff>76200</xdr:rowOff>
        </xdr:to>
        <xdr:sp macro="" textlink="">
          <xdr:nvSpPr>
            <xdr:cNvPr id="9227" name="Drop Down 11" hidden="1">
              <a:extLst>
                <a:ext uri="{63B3BB69-23CF-44E3-9099-C40C66FF867C}">
                  <a14:compatExt spid="_x0000_s9227"/>
                </a:ext>
                <a:ext uri="{FF2B5EF4-FFF2-40B4-BE49-F238E27FC236}">
                  <a16:creationId xmlns:a16="http://schemas.microsoft.com/office/drawing/2014/main" id="{00000000-0008-0000-0600-00000B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8</xdr:col>
      <xdr:colOff>331661</xdr:colOff>
      <xdr:row>0</xdr:row>
      <xdr:rowOff>0</xdr:rowOff>
    </xdr:from>
    <xdr:to>
      <xdr:col>10</xdr:col>
      <xdr:colOff>390756</xdr:colOff>
      <xdr:row>3</xdr:row>
      <xdr:rowOff>134470</xdr:rowOff>
    </xdr:to>
    <xdr:pic>
      <xdr:nvPicPr>
        <xdr:cNvPr id="16" name="Image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77602" y="0"/>
          <a:ext cx="1529493" cy="71717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203200</xdr:colOff>
          <xdr:row>70</xdr:row>
          <xdr:rowOff>190500</xdr:rowOff>
        </xdr:from>
        <xdr:to>
          <xdr:col>4</xdr:col>
          <xdr:colOff>50800</xdr:colOff>
          <xdr:row>72</xdr:row>
          <xdr:rowOff>0</xdr:rowOff>
        </xdr:to>
        <xdr:sp macro="" textlink="">
          <xdr:nvSpPr>
            <xdr:cNvPr id="9230" name="Drop Down 14" hidden="1">
              <a:extLst>
                <a:ext uri="{63B3BB69-23CF-44E3-9099-C40C66FF867C}">
                  <a14:compatExt spid="_x0000_s9230"/>
                </a:ext>
                <a:ext uri="{FF2B5EF4-FFF2-40B4-BE49-F238E27FC236}">
                  <a16:creationId xmlns:a16="http://schemas.microsoft.com/office/drawing/2014/main" id="{00000000-0008-0000-0600-00000E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31</xdr:row>
          <xdr:rowOff>133350</xdr:rowOff>
        </xdr:from>
        <xdr:to>
          <xdr:col>5</xdr:col>
          <xdr:colOff>590550</xdr:colOff>
          <xdr:row>33</xdr:row>
          <xdr:rowOff>76200</xdr:rowOff>
        </xdr:to>
        <xdr:sp macro="" textlink="">
          <xdr:nvSpPr>
            <xdr:cNvPr id="9248" name="Drop Down 32" hidden="1">
              <a:extLst>
                <a:ext uri="{63B3BB69-23CF-44E3-9099-C40C66FF867C}">
                  <a14:compatExt spid="_x0000_s9248"/>
                </a:ext>
                <a:ext uri="{FF2B5EF4-FFF2-40B4-BE49-F238E27FC236}">
                  <a16:creationId xmlns:a16="http://schemas.microsoft.com/office/drawing/2014/main" id="{00000000-0008-0000-0600-000020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58</xdr:row>
          <xdr:rowOff>209550</xdr:rowOff>
        </xdr:from>
        <xdr:to>
          <xdr:col>8</xdr:col>
          <xdr:colOff>457200</xdr:colOff>
          <xdr:row>60</xdr:row>
          <xdr:rowOff>38100</xdr:rowOff>
        </xdr:to>
        <xdr:sp macro="" textlink="">
          <xdr:nvSpPr>
            <xdr:cNvPr id="9249" name="Drop Down 33" hidden="1">
              <a:extLst>
                <a:ext uri="{63B3BB69-23CF-44E3-9099-C40C66FF867C}">
                  <a14:compatExt spid="_x0000_s9249"/>
                </a:ext>
                <a:ext uri="{FF2B5EF4-FFF2-40B4-BE49-F238E27FC236}">
                  <a16:creationId xmlns:a16="http://schemas.microsoft.com/office/drawing/2014/main" id="{00000000-0008-0000-0600-00002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459442</xdr:colOff>
      <xdr:row>58</xdr:row>
      <xdr:rowOff>19330</xdr:rowOff>
    </xdr:from>
    <xdr:to>
      <xdr:col>4</xdr:col>
      <xdr:colOff>459442</xdr:colOff>
      <xdr:row>74</xdr:row>
      <xdr:rowOff>219075</xdr:rowOff>
    </xdr:to>
    <xdr:cxnSp macro="">
      <xdr:nvCxnSpPr>
        <xdr:cNvPr id="3" name="Connecteur droit 2">
          <a:extLst>
            <a:ext uri="{FF2B5EF4-FFF2-40B4-BE49-F238E27FC236}">
              <a16:creationId xmlns:a16="http://schemas.microsoft.com/office/drawing/2014/main" id="{00000000-0008-0000-0600-000003000000}"/>
            </a:ext>
          </a:extLst>
        </xdr:cNvPr>
        <xdr:cNvCxnSpPr/>
      </xdr:nvCxnSpPr>
      <xdr:spPr>
        <a:xfrm>
          <a:off x="3588405" y="18035868"/>
          <a:ext cx="0" cy="281435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1060450</xdr:colOff>
          <xdr:row>70</xdr:row>
          <xdr:rowOff>19050</xdr:rowOff>
        </xdr:from>
        <xdr:to>
          <xdr:col>7</xdr:col>
          <xdr:colOff>965200</xdr:colOff>
          <xdr:row>71</xdr:row>
          <xdr:rowOff>50800</xdr:rowOff>
        </xdr:to>
        <xdr:sp macro="" textlink="">
          <xdr:nvSpPr>
            <xdr:cNvPr id="9250" name="Drop Down 34" hidden="1">
              <a:extLst>
                <a:ext uri="{63B3BB69-23CF-44E3-9099-C40C66FF867C}">
                  <a14:compatExt spid="_x0000_s9250"/>
                </a:ext>
                <a:ext uri="{FF2B5EF4-FFF2-40B4-BE49-F238E27FC236}">
                  <a16:creationId xmlns:a16="http://schemas.microsoft.com/office/drawing/2014/main" id="{00000000-0008-0000-0600-00002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11</xdr:col>
      <xdr:colOff>14570</xdr:colOff>
      <xdr:row>0</xdr:row>
      <xdr:rowOff>83296</xdr:rowOff>
    </xdr:from>
    <xdr:to>
      <xdr:col>11</xdr:col>
      <xdr:colOff>1151032</xdr:colOff>
      <xdr:row>1</xdr:row>
      <xdr:rowOff>190499</xdr:rowOff>
    </xdr:to>
    <xdr:sp macro="" textlink="">
      <xdr:nvSpPr>
        <xdr:cNvPr id="2" name="Rectangle à coins arrondis 1">
          <a:hlinkClick xmlns:r="http://schemas.openxmlformats.org/officeDocument/2006/relationships" r:id="rId3"/>
          <a:extLst>
            <a:ext uri="{FF2B5EF4-FFF2-40B4-BE49-F238E27FC236}">
              <a16:creationId xmlns:a16="http://schemas.microsoft.com/office/drawing/2014/main" id="{00000000-0008-0000-0600-000002000000}"/>
            </a:ext>
          </a:extLst>
        </xdr:cNvPr>
        <xdr:cNvSpPr/>
      </xdr:nvSpPr>
      <xdr:spPr>
        <a:xfrm>
          <a:off x="9629217" y="83296"/>
          <a:ext cx="1136462" cy="286497"/>
        </a:xfrm>
        <a:prstGeom prst="roundRect">
          <a:avLst/>
        </a:prstGeom>
        <a:solidFill>
          <a:srgbClr val="FFDE75"/>
        </a:solidFill>
        <a:effectLst>
          <a:outerShdw blurRad="50800" dist="38100" dir="8100000" algn="tr" rotWithShape="0">
            <a:prstClr val="black">
              <a:alpha val="40000"/>
            </a:prstClr>
          </a:outerShdw>
        </a:effectLst>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fr-FR" sz="1100" b="0" cap="none" spc="0">
              <a:ln w="0"/>
              <a:solidFill>
                <a:sysClr val="windowText" lastClr="000000"/>
              </a:solidFill>
              <a:effectLst>
                <a:outerShdw blurRad="38100" dist="19050" dir="2700000" algn="tl" rotWithShape="0">
                  <a:schemeClr val="dk1">
                    <a:alpha val="40000"/>
                  </a:schemeClr>
                </a:outerShdw>
              </a:effectLst>
            </a:rPr>
            <a:t>Tuto</a:t>
          </a:r>
          <a:r>
            <a:rPr lang="fr-FR" sz="1100" b="0" cap="none" spc="0" baseline="0">
              <a:ln w="0"/>
              <a:solidFill>
                <a:sysClr val="windowText" lastClr="000000"/>
              </a:solidFill>
              <a:effectLst>
                <a:outerShdw blurRad="38100" dist="19050" dir="2700000" algn="tl" rotWithShape="0">
                  <a:schemeClr val="dk1">
                    <a:alpha val="40000"/>
                  </a:schemeClr>
                </a:outerShdw>
              </a:effectLst>
            </a:rPr>
            <a:t> Onglet Site</a:t>
          </a:r>
          <a:endParaRPr lang="fr-FR" sz="1100" b="0" cap="none" spc="0">
            <a:ln w="0"/>
            <a:solidFill>
              <a:sysClr val="windowText" lastClr="000000"/>
            </a:solidFill>
            <a:effectLst>
              <a:outerShdw blurRad="38100" dist="19050" dir="2700000" algn="tl" rotWithShape="0">
                <a:schemeClr val="dk1">
                  <a:alpha val="40000"/>
                </a:schemeClr>
              </a:outerShdw>
            </a:effectLst>
          </a:endParaRPr>
        </a:p>
      </xdr:txBody>
    </xdr:sp>
    <xdr:clientData/>
  </xdr:twoCellAnchor>
  <xdr:twoCellAnchor>
    <xdr:from>
      <xdr:col>11</xdr:col>
      <xdr:colOff>0</xdr:colOff>
      <xdr:row>2</xdr:row>
      <xdr:rowOff>78814</xdr:rowOff>
    </xdr:from>
    <xdr:to>
      <xdr:col>11</xdr:col>
      <xdr:colOff>1159250</xdr:colOff>
      <xdr:row>4</xdr:row>
      <xdr:rowOff>14381</xdr:rowOff>
    </xdr:to>
    <xdr:sp macro="" textlink="">
      <xdr:nvSpPr>
        <xdr:cNvPr id="24" name="Rectangle à coins arrondis 23">
          <a:hlinkClick xmlns:r="http://schemas.openxmlformats.org/officeDocument/2006/relationships" r:id="rId4"/>
          <a:extLst>
            <a:ext uri="{FF2B5EF4-FFF2-40B4-BE49-F238E27FC236}">
              <a16:creationId xmlns:a16="http://schemas.microsoft.com/office/drawing/2014/main" id="{00000000-0008-0000-0600-000018000000}"/>
            </a:ext>
          </a:extLst>
        </xdr:cNvPr>
        <xdr:cNvSpPr/>
      </xdr:nvSpPr>
      <xdr:spPr>
        <a:xfrm>
          <a:off x="9614647" y="459814"/>
          <a:ext cx="1159250" cy="294155"/>
        </a:xfrm>
        <a:prstGeom prst="roundRect">
          <a:avLst/>
        </a:prstGeom>
        <a:solidFill>
          <a:srgbClr val="FFDE75"/>
        </a:solidFill>
        <a:effectLst>
          <a:outerShdw blurRad="50800" dist="38100" dir="8100000" algn="tr" rotWithShape="0">
            <a:prstClr val="black">
              <a:alpha val="40000"/>
            </a:prstClr>
          </a:outerShdw>
        </a:effectLst>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fr-FR" sz="1050" b="0" cap="none" spc="0">
              <a:ln w="0"/>
              <a:solidFill>
                <a:sysClr val="windowText" lastClr="000000"/>
              </a:solidFill>
              <a:effectLst>
                <a:outerShdw blurRad="38100" dist="19050" dir="2700000" algn="tl" rotWithShape="0">
                  <a:schemeClr val="dk1">
                    <a:alpha val="40000"/>
                  </a:schemeClr>
                </a:outerShdw>
              </a:effectLst>
            </a:rPr>
            <a:t>Base Doc MAPES</a:t>
          </a:r>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47</xdr:row>
          <xdr:rowOff>152400</xdr:rowOff>
        </xdr:from>
        <xdr:to>
          <xdr:col>3</xdr:col>
          <xdr:colOff>323850</xdr:colOff>
          <xdr:row>49</xdr:row>
          <xdr:rowOff>19050</xdr:rowOff>
        </xdr:to>
        <xdr:sp macro="" textlink="">
          <xdr:nvSpPr>
            <xdr:cNvPr id="9256" name="Drop Down 40" hidden="1">
              <a:extLst>
                <a:ext uri="{63B3BB69-23CF-44E3-9099-C40C66FF867C}">
                  <a14:compatExt spid="_x0000_s9256"/>
                </a:ext>
                <a:ext uri="{FF2B5EF4-FFF2-40B4-BE49-F238E27FC236}">
                  <a16:creationId xmlns:a16="http://schemas.microsoft.com/office/drawing/2014/main" id="{00000000-0008-0000-0600-000028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899272</xdr:colOff>
      <xdr:row>53</xdr:row>
      <xdr:rowOff>14568</xdr:rowOff>
    </xdr:from>
    <xdr:to>
      <xdr:col>3</xdr:col>
      <xdr:colOff>526676</xdr:colOff>
      <xdr:row>54</xdr:row>
      <xdr:rowOff>133849</xdr:rowOff>
    </xdr:to>
    <xdr:sp macro="" textlink="">
      <xdr:nvSpPr>
        <xdr:cNvPr id="33" name="Rectangle à coins arrondis 3">
          <a:hlinkClick xmlns:r="http://schemas.openxmlformats.org/officeDocument/2006/relationships" r:id="rId5"/>
          <a:extLst>
            <a:ext uri="{FF2B5EF4-FFF2-40B4-BE49-F238E27FC236}">
              <a16:creationId xmlns:a16="http://schemas.microsoft.com/office/drawing/2014/main" id="{00000000-0008-0000-0600-000021000000}"/>
            </a:ext>
          </a:extLst>
        </xdr:cNvPr>
        <xdr:cNvSpPr/>
      </xdr:nvSpPr>
      <xdr:spPr>
        <a:xfrm>
          <a:off x="1061758" y="13540068"/>
          <a:ext cx="1538006" cy="298575"/>
        </a:xfrm>
        <a:prstGeom prst="roundRect">
          <a:avLst/>
        </a:prstGeom>
        <a:solidFill>
          <a:schemeClr val="accent6"/>
        </a:solidFill>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ctr"/>
          <a:r>
            <a:rPr lang="fr-FR" sz="1200" b="1">
              <a:solidFill>
                <a:schemeClr val="bg1"/>
              </a:solidFill>
            </a:rPr>
            <a:t>Compléter</a:t>
          </a:r>
          <a:r>
            <a:rPr lang="fr-FR" sz="1200" b="1" baseline="0">
              <a:solidFill>
                <a:schemeClr val="bg1"/>
              </a:solidFill>
            </a:rPr>
            <a:t> les DJU</a:t>
          </a:r>
          <a:endParaRPr lang="fr-FR" sz="1200" b="1">
            <a:solidFill>
              <a:schemeClr val="bg1"/>
            </a:solidFill>
          </a:endParaRPr>
        </a:p>
      </xdr:txBody>
    </xdr:sp>
    <xdr:clientData/>
  </xdr:twoCellAnchor>
  <xdr:twoCellAnchor editAs="oneCell">
    <xdr:from>
      <xdr:col>6</xdr:col>
      <xdr:colOff>177800</xdr:colOff>
      <xdr:row>46</xdr:row>
      <xdr:rowOff>189568</xdr:rowOff>
    </xdr:from>
    <xdr:to>
      <xdr:col>7</xdr:col>
      <xdr:colOff>692617</xdr:colOff>
      <xdr:row>56</xdr:row>
      <xdr:rowOff>29322</xdr:rowOff>
    </xdr:to>
    <mc:AlternateContent xmlns:mc="http://schemas.openxmlformats.org/markup-compatibility/2006" xmlns:a14="http://schemas.microsoft.com/office/drawing/2010/main">
      <mc:Choice Requires="a14">
        <xdr:graphicFrame macro="">
          <xdr:nvGraphicFramePr>
            <xdr:cNvPr id="36" name="Département 1">
              <a:extLst>
                <a:ext uri="{FF2B5EF4-FFF2-40B4-BE49-F238E27FC236}">
                  <a16:creationId xmlns:a16="http://schemas.microsoft.com/office/drawing/2014/main" id="{00000000-0008-0000-0600-000024000000}"/>
                </a:ext>
              </a:extLst>
            </xdr:cNvPr>
            <xdr:cNvGraphicFramePr/>
          </xdr:nvGraphicFramePr>
          <xdr:xfrm>
            <a:off x="0" y="0"/>
            <a:ext cx="0" cy="0"/>
          </xdr:xfrm>
          <a:graphic>
            <a:graphicData uri="http://schemas.microsoft.com/office/drawing/2010/slicer">
              <sle:slicer xmlns:sle="http://schemas.microsoft.com/office/drawing/2010/slicer" name="Département 1"/>
            </a:graphicData>
          </a:graphic>
        </xdr:graphicFrame>
      </mc:Choice>
      <mc:Fallback xmlns="">
        <xdr:sp macro="" textlink="">
          <xdr:nvSpPr>
            <xdr:cNvPr id="0" name=""/>
            <xdr:cNvSpPr>
              <a:spLocks noTextEdit="1"/>
            </xdr:cNvSpPr>
          </xdr:nvSpPr>
          <xdr:spPr>
            <a:xfrm>
              <a:off x="5268446" y="16258803"/>
              <a:ext cx="1800317" cy="1688725"/>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fLocksWithSheet="0"/>
  </xdr:twoCellAnchor>
  <xdr:twoCellAnchor editAs="oneCell">
    <xdr:from>
      <xdr:col>3</xdr:col>
      <xdr:colOff>904875</xdr:colOff>
      <xdr:row>47</xdr:row>
      <xdr:rowOff>9525</xdr:rowOff>
    </xdr:from>
    <xdr:to>
      <xdr:col>5</xdr:col>
      <xdr:colOff>830262</xdr:colOff>
      <xdr:row>56</xdr:row>
      <xdr:rowOff>7936</xdr:rowOff>
    </xdr:to>
    <mc:AlternateContent xmlns:mc="http://schemas.openxmlformats.org/markup-compatibility/2006" xmlns:a14="http://schemas.microsoft.com/office/drawing/2010/main">
      <mc:Choice Requires="a14">
        <xdr:graphicFrame macro="">
          <xdr:nvGraphicFramePr>
            <xdr:cNvPr id="37" name="Region 1">
              <a:extLst>
                <a:ext uri="{FF2B5EF4-FFF2-40B4-BE49-F238E27FC236}">
                  <a16:creationId xmlns:a16="http://schemas.microsoft.com/office/drawing/2014/main" id="{00000000-0008-0000-0600-000025000000}"/>
                </a:ext>
              </a:extLst>
            </xdr:cNvPr>
            <xdr:cNvGraphicFramePr/>
          </xdr:nvGraphicFramePr>
          <xdr:xfrm>
            <a:off x="0" y="0"/>
            <a:ext cx="0" cy="0"/>
          </xdr:xfrm>
          <a:graphic>
            <a:graphicData uri="http://schemas.microsoft.com/office/drawing/2010/slicer">
              <sle:slicer xmlns:sle="http://schemas.microsoft.com/office/drawing/2010/slicer" name="Region 1"/>
            </a:graphicData>
          </a:graphic>
        </xdr:graphicFrame>
      </mc:Choice>
      <mc:Fallback xmlns="">
        <xdr:sp macro="" textlink="">
          <xdr:nvSpPr>
            <xdr:cNvPr id="0" name=""/>
            <xdr:cNvSpPr>
              <a:spLocks noTextEdit="1"/>
            </xdr:cNvSpPr>
          </xdr:nvSpPr>
          <xdr:spPr>
            <a:xfrm>
              <a:off x="2981325" y="13754100"/>
              <a:ext cx="1830387" cy="1627186"/>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fLocksWithSheet="0"/>
  </xdr:twoCellAnchor>
  <xdr:twoCellAnchor editAs="oneCell">
    <xdr:from>
      <xdr:col>4</xdr:col>
      <xdr:colOff>812706</xdr:colOff>
      <xdr:row>64</xdr:row>
      <xdr:rowOff>49491</xdr:rowOff>
    </xdr:from>
    <xdr:to>
      <xdr:col>8</xdr:col>
      <xdr:colOff>425823</xdr:colOff>
      <xdr:row>69</xdr:row>
      <xdr:rowOff>203199</xdr:rowOff>
    </xdr:to>
    <mc:AlternateContent xmlns:mc="http://schemas.openxmlformats.org/markup-compatibility/2006" xmlns:a14="http://schemas.microsoft.com/office/drawing/2010/main">
      <mc:Choice Requires="a14">
        <xdr:graphicFrame macro="">
          <xdr:nvGraphicFramePr>
            <xdr:cNvPr id="34" name="Dates (mois)">
              <a:extLst>
                <a:ext uri="{FF2B5EF4-FFF2-40B4-BE49-F238E27FC236}">
                  <a16:creationId xmlns:a16="http://schemas.microsoft.com/office/drawing/2014/main" id="{00000000-0008-0000-0600-000022000000}"/>
                </a:ext>
              </a:extLst>
            </xdr:cNvPr>
            <xdr:cNvGraphicFramePr/>
          </xdr:nvGraphicFramePr>
          <xdr:xfrm>
            <a:off x="0" y="0"/>
            <a:ext cx="0" cy="0"/>
          </xdr:xfrm>
          <a:graphic>
            <a:graphicData uri="http://schemas.microsoft.com/office/drawing/2010/slicer">
              <sle:slicer xmlns:sle="http://schemas.microsoft.com/office/drawing/2010/slicer" name="Dates (mois)"/>
            </a:graphicData>
          </a:graphic>
        </xdr:graphicFrame>
      </mc:Choice>
      <mc:Fallback xmlns="">
        <xdr:sp macro="" textlink="">
          <xdr:nvSpPr>
            <xdr:cNvPr id="0" name=""/>
            <xdr:cNvSpPr>
              <a:spLocks noTextEdit="1"/>
            </xdr:cNvSpPr>
          </xdr:nvSpPr>
          <xdr:spPr>
            <a:xfrm>
              <a:off x="3883118" y="19099491"/>
              <a:ext cx="3964175" cy="663201"/>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xdr:from>
      <xdr:col>9</xdr:col>
      <xdr:colOff>1215558</xdr:colOff>
      <xdr:row>37</xdr:row>
      <xdr:rowOff>63874</xdr:rowOff>
    </xdr:from>
    <xdr:to>
      <xdr:col>12</xdr:col>
      <xdr:colOff>144205</xdr:colOff>
      <xdr:row>38</xdr:row>
      <xdr:rowOff>4492</xdr:rowOff>
    </xdr:to>
    <xdr:sp macro="" textlink="$C$38">
      <xdr:nvSpPr>
        <xdr:cNvPr id="61" name="Rectangle à coins arrondis 3">
          <a:hlinkClick xmlns:r="http://schemas.openxmlformats.org/officeDocument/2006/relationships" r:id="rId6"/>
          <a:extLst>
            <a:ext uri="{FF2B5EF4-FFF2-40B4-BE49-F238E27FC236}">
              <a16:creationId xmlns:a16="http://schemas.microsoft.com/office/drawing/2014/main" id="{00000000-0008-0000-0600-00003D000000}"/>
            </a:ext>
          </a:extLst>
        </xdr:cNvPr>
        <xdr:cNvSpPr/>
      </xdr:nvSpPr>
      <xdr:spPr>
        <a:xfrm>
          <a:off x="9037264" y="13499727"/>
          <a:ext cx="2268000" cy="288000"/>
        </a:xfrm>
        <a:prstGeom prst="roundRect">
          <a:avLst/>
        </a:prstGeom>
        <a:effectLst>
          <a:innerShdw blurRad="63500" dist="50800" dir="2700000">
            <a:prstClr val="black">
              <a:alpha val="50000"/>
            </a:prstClr>
          </a:innerShdw>
        </a:effectLst>
      </xdr:spPr>
      <xdr:style>
        <a:lnRef idx="0">
          <a:schemeClr val="accent4"/>
        </a:lnRef>
        <a:fillRef idx="3">
          <a:schemeClr val="accent4"/>
        </a:fillRef>
        <a:effectRef idx="3">
          <a:schemeClr val="accent4"/>
        </a:effectRef>
        <a:fontRef idx="minor">
          <a:schemeClr val="lt1"/>
        </a:fontRef>
      </xdr:style>
      <xdr:txBody>
        <a:bodyPr vertOverflow="clip" horzOverflow="clip" lIns="90000" rtlCol="0" anchor="t"/>
        <a:lstStyle/>
        <a:p>
          <a:pPr algn="ctr"/>
          <a:fld id="{D1FF14B2-9292-4A0D-8184-687B1BC184C1}" type="TxLink">
            <a:rPr lang="en-US" sz="1100" b="0" i="0" u="none" strike="noStrike">
              <a:solidFill>
                <a:srgbClr val="000000"/>
              </a:solidFill>
              <a:latin typeface="Calibri"/>
              <a:ea typeface="Calibri"/>
              <a:cs typeface="Calibri"/>
            </a:rPr>
            <a:pPr algn="ctr"/>
            <a:t> </a:t>
          </a:fld>
          <a:endParaRPr lang="fr-FR" sz="1100">
            <a:solidFill>
              <a:sysClr val="windowText" lastClr="000000"/>
            </a:solidFill>
          </a:endParaRPr>
        </a:p>
      </xdr:txBody>
    </xdr:sp>
    <xdr:clientData/>
  </xdr:twoCellAnchor>
  <xdr:twoCellAnchor>
    <xdr:from>
      <xdr:col>9</xdr:col>
      <xdr:colOff>1215558</xdr:colOff>
      <xdr:row>38</xdr:row>
      <xdr:rowOff>63154</xdr:rowOff>
    </xdr:from>
    <xdr:to>
      <xdr:col>12</xdr:col>
      <xdr:colOff>144205</xdr:colOff>
      <xdr:row>39</xdr:row>
      <xdr:rowOff>3771</xdr:rowOff>
    </xdr:to>
    <xdr:sp macro="" textlink="$C$39">
      <xdr:nvSpPr>
        <xdr:cNvPr id="62" name="Rectangle à coins arrondis 7">
          <a:hlinkClick xmlns:r="http://schemas.openxmlformats.org/officeDocument/2006/relationships" r:id="rId7"/>
          <a:extLst>
            <a:ext uri="{FF2B5EF4-FFF2-40B4-BE49-F238E27FC236}">
              <a16:creationId xmlns:a16="http://schemas.microsoft.com/office/drawing/2014/main" id="{00000000-0008-0000-0600-00003E000000}"/>
            </a:ext>
          </a:extLst>
        </xdr:cNvPr>
        <xdr:cNvSpPr/>
      </xdr:nvSpPr>
      <xdr:spPr>
        <a:xfrm>
          <a:off x="9037264" y="13846389"/>
          <a:ext cx="2268000" cy="288000"/>
        </a:xfrm>
        <a:prstGeom prst="roundRect">
          <a:avLst/>
        </a:prstGeom>
        <a:effectLst>
          <a:innerShdw blurRad="63500" dist="50800" dir="2700000">
            <a:prstClr val="black">
              <a:alpha val="50000"/>
            </a:prstClr>
          </a:innerShdw>
        </a:effectLst>
      </xdr:spPr>
      <xdr:style>
        <a:lnRef idx="0">
          <a:schemeClr val="accent4"/>
        </a:lnRef>
        <a:fillRef idx="3">
          <a:schemeClr val="accent4"/>
        </a:fillRef>
        <a:effectRef idx="3">
          <a:schemeClr val="accent4"/>
        </a:effectRef>
        <a:fontRef idx="minor">
          <a:schemeClr val="lt1"/>
        </a:fontRef>
      </xdr:style>
      <xdr:txBody>
        <a:bodyPr vertOverflow="clip" horzOverflow="clip" lIns="90000" rtlCol="0" anchor="t"/>
        <a:lstStyle/>
        <a:p>
          <a:pPr algn="ctr"/>
          <a:fld id="{2B8AABA8-FAF7-4544-82F9-0D6F6A8573E0}" type="TxLink">
            <a:rPr lang="en-US" sz="1100" b="0" i="0" u="none" strike="noStrike">
              <a:solidFill>
                <a:srgbClr val="000000"/>
              </a:solidFill>
              <a:latin typeface="Calibri"/>
              <a:ea typeface="Calibri"/>
              <a:cs typeface="Calibri"/>
            </a:rPr>
            <a:pPr algn="ctr"/>
            <a:t> </a:t>
          </a:fld>
          <a:endParaRPr lang="fr-FR" sz="1100">
            <a:solidFill>
              <a:sysClr val="windowText" lastClr="000000"/>
            </a:solidFill>
          </a:endParaRPr>
        </a:p>
      </xdr:txBody>
    </xdr:sp>
    <xdr:clientData/>
  </xdr:twoCellAnchor>
  <xdr:twoCellAnchor>
    <xdr:from>
      <xdr:col>9</xdr:col>
      <xdr:colOff>1215558</xdr:colOff>
      <xdr:row>39</xdr:row>
      <xdr:rowOff>62433</xdr:rowOff>
    </xdr:from>
    <xdr:to>
      <xdr:col>12</xdr:col>
      <xdr:colOff>144205</xdr:colOff>
      <xdr:row>40</xdr:row>
      <xdr:rowOff>3051</xdr:rowOff>
    </xdr:to>
    <xdr:sp macro="" textlink="$C$40">
      <xdr:nvSpPr>
        <xdr:cNvPr id="63" name="Rectangle à coins arrondis 8">
          <a:hlinkClick xmlns:r="http://schemas.openxmlformats.org/officeDocument/2006/relationships" r:id="rId8"/>
          <a:extLst>
            <a:ext uri="{FF2B5EF4-FFF2-40B4-BE49-F238E27FC236}">
              <a16:creationId xmlns:a16="http://schemas.microsoft.com/office/drawing/2014/main" id="{00000000-0008-0000-0600-00003F000000}"/>
            </a:ext>
          </a:extLst>
        </xdr:cNvPr>
        <xdr:cNvSpPr/>
      </xdr:nvSpPr>
      <xdr:spPr>
        <a:xfrm>
          <a:off x="9037264" y="14193051"/>
          <a:ext cx="2268000" cy="288000"/>
        </a:xfrm>
        <a:prstGeom prst="roundRect">
          <a:avLst/>
        </a:prstGeom>
        <a:effectLst>
          <a:innerShdw blurRad="63500" dist="50800" dir="2700000">
            <a:prstClr val="black">
              <a:alpha val="50000"/>
            </a:prstClr>
          </a:innerShdw>
        </a:effectLst>
      </xdr:spPr>
      <xdr:style>
        <a:lnRef idx="0">
          <a:schemeClr val="accent4"/>
        </a:lnRef>
        <a:fillRef idx="3">
          <a:schemeClr val="accent4"/>
        </a:fillRef>
        <a:effectRef idx="3">
          <a:schemeClr val="accent4"/>
        </a:effectRef>
        <a:fontRef idx="minor">
          <a:schemeClr val="lt1"/>
        </a:fontRef>
      </xdr:style>
      <xdr:txBody>
        <a:bodyPr vertOverflow="clip" horzOverflow="clip" lIns="90000" rtlCol="0" anchor="t"/>
        <a:lstStyle/>
        <a:p>
          <a:pPr algn="ctr"/>
          <a:fld id="{399862AB-BF31-4D8F-8941-E85A898B4F62}" type="TxLink">
            <a:rPr lang="en-US" sz="1100" b="0" i="0" u="none" strike="noStrike">
              <a:solidFill>
                <a:srgbClr val="000000"/>
              </a:solidFill>
              <a:latin typeface="Calibri"/>
              <a:ea typeface="Calibri"/>
              <a:cs typeface="Calibri"/>
            </a:rPr>
            <a:pPr algn="ctr"/>
            <a:t> </a:t>
          </a:fld>
          <a:endParaRPr lang="fr-FR" sz="1100">
            <a:solidFill>
              <a:sysClr val="windowText" lastClr="000000"/>
            </a:solidFill>
          </a:endParaRPr>
        </a:p>
      </xdr:txBody>
    </xdr:sp>
    <xdr:clientData/>
  </xdr:twoCellAnchor>
  <xdr:twoCellAnchor>
    <xdr:from>
      <xdr:col>9</xdr:col>
      <xdr:colOff>1193427</xdr:colOff>
      <xdr:row>40</xdr:row>
      <xdr:rowOff>61713</xdr:rowOff>
    </xdr:from>
    <xdr:to>
      <xdr:col>12</xdr:col>
      <xdr:colOff>166337</xdr:colOff>
      <xdr:row>41</xdr:row>
      <xdr:rowOff>2331</xdr:rowOff>
    </xdr:to>
    <xdr:sp macro="" textlink="$C$41">
      <xdr:nvSpPr>
        <xdr:cNvPr id="64" name="Rectangle à coins arrondis 9">
          <a:hlinkClick xmlns:r="http://schemas.openxmlformats.org/officeDocument/2006/relationships" r:id="rId9"/>
          <a:extLst>
            <a:ext uri="{FF2B5EF4-FFF2-40B4-BE49-F238E27FC236}">
              <a16:creationId xmlns:a16="http://schemas.microsoft.com/office/drawing/2014/main" id="{00000000-0008-0000-0600-000040000000}"/>
            </a:ext>
          </a:extLst>
        </xdr:cNvPr>
        <xdr:cNvSpPr/>
      </xdr:nvSpPr>
      <xdr:spPr>
        <a:xfrm>
          <a:off x="9015133" y="14539713"/>
          <a:ext cx="2312263" cy="288000"/>
        </a:xfrm>
        <a:prstGeom prst="roundRect">
          <a:avLst/>
        </a:prstGeom>
        <a:effectLst>
          <a:innerShdw blurRad="63500" dist="50800" dir="2700000">
            <a:prstClr val="black">
              <a:alpha val="50000"/>
            </a:prstClr>
          </a:innerShdw>
        </a:effectLst>
      </xdr:spPr>
      <xdr:style>
        <a:lnRef idx="0">
          <a:schemeClr val="accent4"/>
        </a:lnRef>
        <a:fillRef idx="3">
          <a:schemeClr val="accent4"/>
        </a:fillRef>
        <a:effectRef idx="3">
          <a:schemeClr val="accent4"/>
        </a:effectRef>
        <a:fontRef idx="minor">
          <a:schemeClr val="lt1"/>
        </a:fontRef>
      </xdr:style>
      <xdr:txBody>
        <a:bodyPr vertOverflow="clip" horzOverflow="clip" lIns="90000" rtlCol="0" anchor="t"/>
        <a:lstStyle/>
        <a:p>
          <a:pPr algn="ctr"/>
          <a:fld id="{E106BFBF-4313-49FF-A7AC-BC7EC2A57CCD}" type="TxLink">
            <a:rPr lang="en-US" sz="1100" b="0" i="0" u="none" strike="noStrike">
              <a:solidFill>
                <a:srgbClr val="000000"/>
              </a:solidFill>
              <a:latin typeface="Calibri"/>
              <a:ea typeface="Calibri"/>
              <a:cs typeface="Calibri"/>
            </a:rPr>
            <a:pPr algn="ctr"/>
            <a:t> </a:t>
          </a:fld>
          <a:endParaRPr lang="fr-FR" sz="1100">
            <a:solidFill>
              <a:sysClr val="windowText" lastClr="000000"/>
            </a:solidFill>
          </a:endParaRPr>
        </a:p>
      </xdr:txBody>
    </xdr:sp>
    <xdr:clientData/>
  </xdr:twoCellAnchor>
  <xdr:twoCellAnchor>
    <xdr:from>
      <xdr:col>9</xdr:col>
      <xdr:colOff>1193426</xdr:colOff>
      <xdr:row>41</xdr:row>
      <xdr:rowOff>60993</xdr:rowOff>
    </xdr:from>
    <xdr:to>
      <xdr:col>12</xdr:col>
      <xdr:colOff>166337</xdr:colOff>
      <xdr:row>42</xdr:row>
      <xdr:rowOff>1610</xdr:rowOff>
    </xdr:to>
    <xdr:sp macro="" textlink="$C$42">
      <xdr:nvSpPr>
        <xdr:cNvPr id="65" name="Rectangle à coins arrondis 10">
          <a:hlinkClick xmlns:r="http://schemas.openxmlformats.org/officeDocument/2006/relationships" r:id="rId10"/>
          <a:extLst>
            <a:ext uri="{FF2B5EF4-FFF2-40B4-BE49-F238E27FC236}">
              <a16:creationId xmlns:a16="http://schemas.microsoft.com/office/drawing/2014/main" id="{00000000-0008-0000-0600-000041000000}"/>
            </a:ext>
          </a:extLst>
        </xdr:cNvPr>
        <xdr:cNvSpPr/>
      </xdr:nvSpPr>
      <xdr:spPr>
        <a:xfrm>
          <a:off x="9015132" y="14886375"/>
          <a:ext cx="2312264" cy="288000"/>
        </a:xfrm>
        <a:prstGeom prst="roundRect">
          <a:avLst/>
        </a:prstGeom>
        <a:effectLst>
          <a:innerShdw blurRad="63500" dist="50800" dir="2700000">
            <a:prstClr val="black">
              <a:alpha val="50000"/>
            </a:prstClr>
          </a:innerShdw>
        </a:effectLst>
      </xdr:spPr>
      <xdr:style>
        <a:lnRef idx="0">
          <a:schemeClr val="accent4"/>
        </a:lnRef>
        <a:fillRef idx="3">
          <a:schemeClr val="accent4"/>
        </a:fillRef>
        <a:effectRef idx="3">
          <a:schemeClr val="accent4"/>
        </a:effectRef>
        <a:fontRef idx="minor">
          <a:schemeClr val="lt1"/>
        </a:fontRef>
      </xdr:style>
      <xdr:txBody>
        <a:bodyPr vertOverflow="clip" horzOverflow="clip" lIns="90000" rtlCol="0" anchor="t"/>
        <a:lstStyle/>
        <a:p>
          <a:pPr algn="ctr"/>
          <a:fld id="{EB08D167-8686-43D9-A954-D56A603B79A5}" type="TxLink">
            <a:rPr lang="en-US" sz="1100" b="0" i="0" u="none" strike="noStrike">
              <a:solidFill>
                <a:srgbClr val="000000"/>
              </a:solidFill>
              <a:latin typeface="Calibri"/>
              <a:ea typeface="Calibri"/>
              <a:cs typeface="Calibri"/>
            </a:rPr>
            <a:pPr algn="ctr"/>
            <a:t> </a:t>
          </a:fld>
          <a:endParaRPr lang="fr-FR" sz="1100">
            <a:solidFill>
              <a:sysClr val="windowText" lastClr="000000"/>
            </a:solidFill>
          </a:endParaRPr>
        </a:p>
      </xdr:txBody>
    </xdr:sp>
    <xdr:clientData/>
  </xdr:twoCellAnchor>
  <xdr:twoCellAnchor>
    <xdr:from>
      <xdr:col>9</xdr:col>
      <xdr:colOff>1193426</xdr:colOff>
      <xdr:row>42</xdr:row>
      <xdr:rowOff>60272</xdr:rowOff>
    </xdr:from>
    <xdr:to>
      <xdr:col>12</xdr:col>
      <xdr:colOff>166337</xdr:colOff>
      <xdr:row>43</xdr:row>
      <xdr:rowOff>890</xdr:rowOff>
    </xdr:to>
    <xdr:sp macro="" textlink="$C$43">
      <xdr:nvSpPr>
        <xdr:cNvPr id="66" name="Rectangle à coins arrondis 11">
          <a:hlinkClick xmlns:r="http://schemas.openxmlformats.org/officeDocument/2006/relationships" r:id="rId11"/>
          <a:extLst>
            <a:ext uri="{FF2B5EF4-FFF2-40B4-BE49-F238E27FC236}">
              <a16:creationId xmlns:a16="http://schemas.microsoft.com/office/drawing/2014/main" id="{00000000-0008-0000-0600-000042000000}"/>
            </a:ext>
          </a:extLst>
        </xdr:cNvPr>
        <xdr:cNvSpPr/>
      </xdr:nvSpPr>
      <xdr:spPr>
        <a:xfrm>
          <a:off x="9015132" y="15233037"/>
          <a:ext cx="2312264" cy="288000"/>
        </a:xfrm>
        <a:prstGeom prst="roundRect">
          <a:avLst/>
        </a:prstGeom>
        <a:effectLst>
          <a:innerShdw blurRad="63500" dist="50800" dir="2700000">
            <a:prstClr val="black">
              <a:alpha val="50000"/>
            </a:prstClr>
          </a:innerShdw>
        </a:effectLst>
      </xdr:spPr>
      <xdr:style>
        <a:lnRef idx="0">
          <a:schemeClr val="accent4"/>
        </a:lnRef>
        <a:fillRef idx="3">
          <a:schemeClr val="accent4"/>
        </a:fillRef>
        <a:effectRef idx="3">
          <a:schemeClr val="accent4"/>
        </a:effectRef>
        <a:fontRef idx="minor">
          <a:schemeClr val="lt1"/>
        </a:fontRef>
      </xdr:style>
      <xdr:txBody>
        <a:bodyPr vertOverflow="clip" horzOverflow="clip" lIns="90000" rtlCol="0" anchor="t"/>
        <a:lstStyle/>
        <a:p>
          <a:pPr algn="ctr"/>
          <a:fld id="{8DC8058B-D90A-49B8-A389-30828E42C2BB}" type="TxLink">
            <a:rPr lang="en-US" sz="1100" b="0" i="0" u="none" strike="noStrike">
              <a:solidFill>
                <a:srgbClr val="000000"/>
              </a:solidFill>
              <a:latin typeface="Calibri"/>
              <a:ea typeface="Calibri"/>
              <a:cs typeface="Calibri"/>
            </a:rPr>
            <a:pPr algn="ctr"/>
            <a:t> </a:t>
          </a:fld>
          <a:endParaRPr lang="fr-FR" sz="1100">
            <a:solidFill>
              <a:sysClr val="windowText" lastClr="000000"/>
            </a:solidFill>
          </a:endParaRPr>
        </a:p>
      </xdr:txBody>
    </xdr:sp>
    <xdr:clientData/>
  </xdr:twoCellAnchor>
  <xdr:twoCellAnchor>
    <xdr:from>
      <xdr:col>9</xdr:col>
      <xdr:colOff>1204632</xdr:colOff>
      <xdr:row>43</xdr:row>
      <xdr:rowOff>59552</xdr:rowOff>
    </xdr:from>
    <xdr:to>
      <xdr:col>12</xdr:col>
      <xdr:colOff>155131</xdr:colOff>
      <xdr:row>44</xdr:row>
      <xdr:rowOff>170</xdr:rowOff>
    </xdr:to>
    <xdr:sp macro="" textlink="$C$44">
      <xdr:nvSpPr>
        <xdr:cNvPr id="67" name="Rectangle à coins arrondis 12">
          <a:hlinkClick xmlns:r="http://schemas.openxmlformats.org/officeDocument/2006/relationships" r:id="rId12"/>
          <a:extLst>
            <a:ext uri="{FF2B5EF4-FFF2-40B4-BE49-F238E27FC236}">
              <a16:creationId xmlns:a16="http://schemas.microsoft.com/office/drawing/2014/main" id="{00000000-0008-0000-0600-000043000000}"/>
            </a:ext>
          </a:extLst>
        </xdr:cNvPr>
        <xdr:cNvSpPr/>
      </xdr:nvSpPr>
      <xdr:spPr>
        <a:xfrm>
          <a:off x="9026338" y="15579699"/>
          <a:ext cx="2289852" cy="288000"/>
        </a:xfrm>
        <a:prstGeom prst="roundRect">
          <a:avLst/>
        </a:prstGeom>
        <a:effectLst>
          <a:innerShdw blurRad="63500" dist="50800" dir="2700000">
            <a:prstClr val="black">
              <a:alpha val="50000"/>
            </a:prstClr>
          </a:innerShdw>
        </a:effectLst>
      </xdr:spPr>
      <xdr:style>
        <a:lnRef idx="0">
          <a:schemeClr val="accent4"/>
        </a:lnRef>
        <a:fillRef idx="3">
          <a:schemeClr val="accent4"/>
        </a:fillRef>
        <a:effectRef idx="3">
          <a:schemeClr val="accent4"/>
        </a:effectRef>
        <a:fontRef idx="minor">
          <a:schemeClr val="lt1"/>
        </a:fontRef>
      </xdr:style>
      <xdr:txBody>
        <a:bodyPr vertOverflow="clip" horzOverflow="clip" lIns="90000" rtlCol="0" anchor="t"/>
        <a:lstStyle/>
        <a:p>
          <a:pPr algn="ctr"/>
          <a:fld id="{EFFB6486-F711-4E4B-A4C8-B99FD21F35F3}" type="TxLink">
            <a:rPr lang="en-US" sz="1100" b="0" i="0" u="none" strike="noStrike">
              <a:solidFill>
                <a:srgbClr val="000000"/>
              </a:solidFill>
              <a:latin typeface="Calibri"/>
              <a:ea typeface="Calibri"/>
              <a:cs typeface="Calibri"/>
            </a:rPr>
            <a:pPr algn="ctr"/>
            <a:t> </a:t>
          </a:fld>
          <a:endParaRPr lang="fr-FR" sz="1100">
            <a:solidFill>
              <a:sysClr val="windowText" lastClr="000000"/>
            </a:solidFill>
          </a:endParaRPr>
        </a:p>
      </xdr:txBody>
    </xdr:sp>
    <xdr:clientData/>
  </xdr:twoCellAnchor>
  <xdr:twoCellAnchor>
    <xdr:from>
      <xdr:col>9</xdr:col>
      <xdr:colOff>1199029</xdr:colOff>
      <xdr:row>44</xdr:row>
      <xdr:rowOff>58831</xdr:rowOff>
    </xdr:from>
    <xdr:to>
      <xdr:col>12</xdr:col>
      <xdr:colOff>160734</xdr:colOff>
      <xdr:row>44</xdr:row>
      <xdr:rowOff>346831</xdr:rowOff>
    </xdr:to>
    <xdr:sp macro="" textlink="$C$45">
      <xdr:nvSpPr>
        <xdr:cNvPr id="68" name="Rectangle à coins arrondis 13">
          <a:hlinkClick xmlns:r="http://schemas.openxmlformats.org/officeDocument/2006/relationships" r:id="rId13"/>
          <a:extLst>
            <a:ext uri="{FF2B5EF4-FFF2-40B4-BE49-F238E27FC236}">
              <a16:creationId xmlns:a16="http://schemas.microsoft.com/office/drawing/2014/main" id="{00000000-0008-0000-0600-000044000000}"/>
            </a:ext>
          </a:extLst>
        </xdr:cNvPr>
        <xdr:cNvSpPr/>
      </xdr:nvSpPr>
      <xdr:spPr>
        <a:xfrm>
          <a:off x="9020735" y="15926360"/>
          <a:ext cx="2301058" cy="288000"/>
        </a:xfrm>
        <a:prstGeom prst="roundRect">
          <a:avLst/>
        </a:prstGeom>
        <a:effectLst>
          <a:innerShdw blurRad="63500" dist="50800" dir="2700000">
            <a:prstClr val="black">
              <a:alpha val="50000"/>
            </a:prstClr>
          </a:innerShdw>
        </a:effectLst>
      </xdr:spPr>
      <xdr:style>
        <a:lnRef idx="0">
          <a:schemeClr val="accent4"/>
        </a:lnRef>
        <a:fillRef idx="3">
          <a:schemeClr val="accent4"/>
        </a:fillRef>
        <a:effectRef idx="3">
          <a:schemeClr val="accent4"/>
        </a:effectRef>
        <a:fontRef idx="minor">
          <a:schemeClr val="lt1"/>
        </a:fontRef>
      </xdr:style>
      <xdr:txBody>
        <a:bodyPr vertOverflow="clip" horzOverflow="clip" lIns="90000" rtlCol="0" anchor="t"/>
        <a:lstStyle/>
        <a:p>
          <a:pPr algn="ctr"/>
          <a:fld id="{261EF346-83AD-4817-9A75-D1B3BE9AD4EB}" type="TxLink">
            <a:rPr lang="en-US" sz="1100" b="0" i="0" u="none" strike="noStrike">
              <a:solidFill>
                <a:srgbClr val="000000"/>
              </a:solidFill>
              <a:latin typeface="Calibri"/>
              <a:ea typeface="Calibri"/>
              <a:cs typeface="Calibri"/>
            </a:rPr>
            <a:pPr algn="ctr"/>
            <a:t> </a:t>
          </a:fld>
          <a:endParaRPr lang="fr-FR" sz="1100">
            <a:solidFill>
              <a:sysClr val="windowText" lastClr="000000"/>
            </a:solidFill>
          </a:endParaRPr>
        </a:p>
      </xdr:txBody>
    </xdr:sp>
    <xdr:clientData/>
  </xdr:twoCellAnchor>
  <xdr:twoCellAnchor>
    <xdr:from>
      <xdr:col>11</xdr:col>
      <xdr:colOff>1501588</xdr:colOff>
      <xdr:row>0</xdr:row>
      <xdr:rowOff>100852</xdr:rowOff>
    </xdr:from>
    <xdr:to>
      <xdr:col>13</xdr:col>
      <xdr:colOff>635533</xdr:colOff>
      <xdr:row>2</xdr:row>
      <xdr:rowOff>171289</xdr:rowOff>
    </xdr:to>
    <xdr:sp macro="" textlink="">
      <xdr:nvSpPr>
        <xdr:cNvPr id="27" name="Rectangle : coins arrondis 26">
          <a:hlinkClick xmlns:r="http://schemas.openxmlformats.org/officeDocument/2006/relationships" r:id="rId14"/>
          <a:extLst>
            <a:ext uri="{FF2B5EF4-FFF2-40B4-BE49-F238E27FC236}">
              <a16:creationId xmlns:a16="http://schemas.microsoft.com/office/drawing/2014/main" id="{00000000-0008-0000-0600-00001B000000}"/>
            </a:ext>
          </a:extLst>
        </xdr:cNvPr>
        <xdr:cNvSpPr/>
      </xdr:nvSpPr>
      <xdr:spPr>
        <a:xfrm>
          <a:off x="10813676" y="100852"/>
          <a:ext cx="1632857" cy="462643"/>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a:solidFill>
                <a:schemeClr val="tx1"/>
              </a:solidFill>
            </a:rPr>
            <a:t>Retour</a:t>
          </a:r>
          <a:r>
            <a:rPr lang="fr-FR" sz="1600" b="1" baseline="0">
              <a:solidFill>
                <a:schemeClr val="tx1"/>
              </a:solidFill>
            </a:rPr>
            <a:t> Acceuil</a:t>
          </a:r>
          <a:endParaRPr lang="fr-FR" sz="1600" b="1">
            <a:solidFill>
              <a:schemeClr val="tx1"/>
            </a:solidFill>
          </a:endParaRPr>
        </a:p>
      </xdr:txBody>
    </xdr:sp>
    <xdr:clientData/>
  </xdr:twoCellAnchor>
  <xdr:twoCellAnchor>
    <xdr:from>
      <xdr:col>11</xdr:col>
      <xdr:colOff>1086970</xdr:colOff>
      <xdr:row>78</xdr:row>
      <xdr:rowOff>123265</xdr:rowOff>
    </xdr:from>
    <xdr:to>
      <xdr:col>13</xdr:col>
      <xdr:colOff>220915</xdr:colOff>
      <xdr:row>81</xdr:row>
      <xdr:rowOff>14408</xdr:rowOff>
    </xdr:to>
    <xdr:sp macro="" textlink="">
      <xdr:nvSpPr>
        <xdr:cNvPr id="28" name="Rectangle : coins arrondis 27">
          <a:hlinkClick xmlns:r="http://schemas.openxmlformats.org/officeDocument/2006/relationships" r:id="rId14"/>
          <a:extLst>
            <a:ext uri="{FF2B5EF4-FFF2-40B4-BE49-F238E27FC236}">
              <a16:creationId xmlns:a16="http://schemas.microsoft.com/office/drawing/2014/main" id="{00000000-0008-0000-0600-00001C000000}"/>
            </a:ext>
          </a:extLst>
        </xdr:cNvPr>
        <xdr:cNvSpPr/>
      </xdr:nvSpPr>
      <xdr:spPr>
        <a:xfrm>
          <a:off x="10399058" y="23431500"/>
          <a:ext cx="1632857" cy="462643"/>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a:solidFill>
                <a:schemeClr val="tx1"/>
              </a:solidFill>
            </a:rPr>
            <a:t>Retour</a:t>
          </a:r>
          <a:r>
            <a:rPr lang="fr-FR" sz="1600" b="1" baseline="0">
              <a:solidFill>
                <a:schemeClr val="tx1"/>
              </a:solidFill>
            </a:rPr>
            <a:t> Acceuil</a:t>
          </a:r>
          <a:endParaRPr lang="fr-FR" sz="1600" b="1">
            <a:solidFill>
              <a:schemeClr val="tx1"/>
            </a:solidFill>
          </a:endParaRPr>
        </a:p>
      </xdr:txBody>
    </xdr:sp>
    <xdr:clientData/>
  </xdr:twoCellAnchor>
  <xdr:twoCellAnchor editAs="oneCell">
    <xdr:from>
      <xdr:col>5</xdr:col>
      <xdr:colOff>67235</xdr:colOff>
      <xdr:row>0</xdr:row>
      <xdr:rowOff>0</xdr:rowOff>
    </xdr:from>
    <xdr:to>
      <xdr:col>6</xdr:col>
      <xdr:colOff>178859</xdr:colOff>
      <xdr:row>3</xdr:row>
      <xdr:rowOff>13642</xdr:rowOff>
    </xdr:to>
    <xdr:pic>
      <xdr:nvPicPr>
        <xdr:cNvPr id="29" name="Image 28">
          <a:extLst>
            <a:ext uri="{FF2B5EF4-FFF2-40B4-BE49-F238E27FC236}">
              <a16:creationId xmlns:a16="http://schemas.microsoft.com/office/drawing/2014/main" id="{00000000-0008-0000-0600-00001D000000}"/>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t="16470" b="14117"/>
        <a:stretch/>
      </xdr:blipFill>
      <xdr:spPr bwMode="auto">
        <a:xfrm>
          <a:off x="3787588" y="0"/>
          <a:ext cx="1243418" cy="596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277763</xdr:colOff>
      <xdr:row>21</xdr:row>
      <xdr:rowOff>75561</xdr:rowOff>
    </xdr:from>
    <xdr:to>
      <xdr:col>10</xdr:col>
      <xdr:colOff>848188</xdr:colOff>
      <xdr:row>25</xdr:row>
      <xdr:rowOff>10261</xdr:rowOff>
    </xdr:to>
    <xdr:grpSp>
      <xdr:nvGrpSpPr>
        <xdr:cNvPr id="54" name="Groupe 53">
          <a:extLst>
            <a:ext uri="{FF2B5EF4-FFF2-40B4-BE49-F238E27FC236}">
              <a16:creationId xmlns:a16="http://schemas.microsoft.com/office/drawing/2014/main" id="{00000000-0008-0000-0700-000036000000}"/>
            </a:ext>
          </a:extLst>
        </xdr:cNvPr>
        <xdr:cNvGrpSpPr/>
      </xdr:nvGrpSpPr>
      <xdr:grpSpPr>
        <a:xfrm>
          <a:off x="7421513" y="3942711"/>
          <a:ext cx="1465775" cy="671300"/>
          <a:chOff x="9439275" y="295275"/>
          <a:chExt cx="2619374" cy="1228725"/>
        </a:xfrm>
      </xdr:grpSpPr>
      <xdr:sp macro="" textlink="">
        <xdr:nvSpPr>
          <xdr:cNvPr id="55" name="Rectangle à coins arrondis 54">
            <a:extLst>
              <a:ext uri="{FF2B5EF4-FFF2-40B4-BE49-F238E27FC236}">
                <a16:creationId xmlns:a16="http://schemas.microsoft.com/office/drawing/2014/main" id="{00000000-0008-0000-0700-000037000000}"/>
              </a:ext>
            </a:extLst>
          </xdr:cNvPr>
          <xdr:cNvSpPr/>
        </xdr:nvSpPr>
        <xdr:spPr>
          <a:xfrm>
            <a:off x="9439275" y="295275"/>
            <a:ext cx="2562225" cy="1228725"/>
          </a:xfrm>
          <a:prstGeom prst="roundRect">
            <a:avLst/>
          </a:prstGeom>
          <a:solidFill>
            <a:schemeClr val="bg1"/>
          </a:solidFill>
          <a:ln>
            <a:no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000"/>
          </a:p>
        </xdr:txBody>
      </xdr:sp>
      <xdr:sp macro="" textlink="">
        <xdr:nvSpPr>
          <xdr:cNvPr id="56" name="ZoneTexte 55">
            <a:extLst>
              <a:ext uri="{FF2B5EF4-FFF2-40B4-BE49-F238E27FC236}">
                <a16:creationId xmlns:a16="http://schemas.microsoft.com/office/drawing/2014/main" id="{00000000-0008-0000-0700-000038000000}"/>
              </a:ext>
            </a:extLst>
          </xdr:cNvPr>
          <xdr:cNvSpPr txBox="1"/>
        </xdr:nvSpPr>
        <xdr:spPr>
          <a:xfrm>
            <a:off x="9534523" y="304800"/>
            <a:ext cx="2524126" cy="431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Surface</a:t>
            </a:r>
            <a:r>
              <a:rPr lang="fr-FR" sz="1100" b="1" baseline="0"/>
              <a:t> totale</a:t>
            </a:r>
            <a:endParaRPr lang="fr-FR" sz="1100" b="1"/>
          </a:p>
        </xdr:txBody>
      </xdr:sp>
      <xdr:sp macro="" textlink="Calcul_Bilan_Energie!N3">
        <xdr:nvSpPr>
          <xdr:cNvPr id="57" name="ZoneTexte 56">
            <a:extLst>
              <a:ext uri="{FF2B5EF4-FFF2-40B4-BE49-F238E27FC236}">
                <a16:creationId xmlns:a16="http://schemas.microsoft.com/office/drawing/2014/main" id="{00000000-0008-0000-0700-000039000000}"/>
              </a:ext>
            </a:extLst>
          </xdr:cNvPr>
          <xdr:cNvSpPr txBox="1"/>
        </xdr:nvSpPr>
        <xdr:spPr>
          <a:xfrm>
            <a:off x="9969649" y="734607"/>
            <a:ext cx="1781763"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460ACE4-0D3C-4EC9-B977-6C7EDF60EB59}" type="TxLink">
              <a:rPr lang="en-US" sz="1200" b="0" i="0" u="none" strike="noStrike">
                <a:solidFill>
                  <a:srgbClr val="000000"/>
                </a:solidFill>
                <a:latin typeface="Calibri"/>
                <a:cs typeface="Calibri"/>
              </a:rPr>
              <a:pPr algn="ctr"/>
              <a:t>0</a:t>
            </a:fld>
            <a:endParaRPr lang="fr-FR" sz="2800" b="1"/>
          </a:p>
        </xdr:txBody>
      </xdr:sp>
      <xdr:pic>
        <xdr:nvPicPr>
          <xdr:cNvPr id="58" name="Image 57">
            <a:extLst>
              <a:ext uri="{FF2B5EF4-FFF2-40B4-BE49-F238E27FC236}">
                <a16:creationId xmlns:a16="http://schemas.microsoft.com/office/drawing/2014/main" id="{00000000-0008-0000-0700-00003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56728" y="833127"/>
            <a:ext cx="599464" cy="467760"/>
          </a:xfrm>
          <a:prstGeom prst="rect">
            <a:avLst/>
          </a:prstGeom>
        </xdr:spPr>
      </xdr:pic>
    </xdr:grpSp>
    <xdr:clientData/>
  </xdr:twoCellAnchor>
  <xdr:twoCellAnchor>
    <xdr:from>
      <xdr:col>9</xdr:col>
      <xdr:colOff>277763</xdr:colOff>
      <xdr:row>25</xdr:row>
      <xdr:rowOff>35296</xdr:rowOff>
    </xdr:from>
    <xdr:to>
      <xdr:col>10</xdr:col>
      <xdr:colOff>857713</xdr:colOff>
      <xdr:row>28</xdr:row>
      <xdr:rowOff>154146</xdr:rowOff>
    </xdr:to>
    <xdr:grpSp>
      <xdr:nvGrpSpPr>
        <xdr:cNvPr id="59" name="Groupe 58">
          <a:extLst>
            <a:ext uri="{FF2B5EF4-FFF2-40B4-BE49-F238E27FC236}">
              <a16:creationId xmlns:a16="http://schemas.microsoft.com/office/drawing/2014/main" id="{00000000-0008-0000-0700-00003B000000}"/>
            </a:ext>
          </a:extLst>
        </xdr:cNvPr>
        <xdr:cNvGrpSpPr/>
      </xdr:nvGrpSpPr>
      <xdr:grpSpPr>
        <a:xfrm>
          <a:off x="7421513" y="4639046"/>
          <a:ext cx="1475300" cy="671300"/>
          <a:chOff x="6795052" y="3239740"/>
          <a:chExt cx="2285999" cy="1228724"/>
        </a:xfrm>
      </xdr:grpSpPr>
      <xdr:grpSp>
        <xdr:nvGrpSpPr>
          <xdr:cNvPr id="60" name="Groupe 59">
            <a:extLst>
              <a:ext uri="{FF2B5EF4-FFF2-40B4-BE49-F238E27FC236}">
                <a16:creationId xmlns:a16="http://schemas.microsoft.com/office/drawing/2014/main" id="{00000000-0008-0000-0700-00003C000000}"/>
              </a:ext>
            </a:extLst>
          </xdr:cNvPr>
          <xdr:cNvGrpSpPr/>
        </xdr:nvGrpSpPr>
        <xdr:grpSpPr>
          <a:xfrm>
            <a:off x="6795052" y="3239740"/>
            <a:ext cx="2285999" cy="1228724"/>
            <a:chOff x="9439275" y="295273"/>
            <a:chExt cx="2619374" cy="1228724"/>
          </a:xfrm>
        </xdr:grpSpPr>
        <xdr:sp macro="" textlink="">
          <xdr:nvSpPr>
            <xdr:cNvPr id="62" name="Rectangle à coins arrondis 61">
              <a:extLst>
                <a:ext uri="{FF2B5EF4-FFF2-40B4-BE49-F238E27FC236}">
                  <a16:creationId xmlns:a16="http://schemas.microsoft.com/office/drawing/2014/main" id="{00000000-0008-0000-0700-00003E000000}"/>
                </a:ext>
              </a:extLst>
            </xdr:cNvPr>
            <xdr:cNvSpPr/>
          </xdr:nvSpPr>
          <xdr:spPr>
            <a:xfrm>
              <a:off x="9439275" y="295273"/>
              <a:ext cx="2562224" cy="1228724"/>
            </a:xfrm>
            <a:prstGeom prst="roundRect">
              <a:avLst/>
            </a:prstGeom>
            <a:solidFill>
              <a:schemeClr val="bg1"/>
            </a:solidFill>
            <a:ln>
              <a:no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000"/>
            </a:p>
          </xdr:txBody>
        </xdr:sp>
        <xdr:sp macro="" textlink="">
          <xdr:nvSpPr>
            <xdr:cNvPr id="63" name="ZoneTexte 62">
              <a:extLst>
                <a:ext uri="{FF2B5EF4-FFF2-40B4-BE49-F238E27FC236}">
                  <a16:creationId xmlns:a16="http://schemas.microsoft.com/office/drawing/2014/main" id="{00000000-0008-0000-0700-00003F000000}"/>
                </a:ext>
              </a:extLst>
            </xdr:cNvPr>
            <xdr:cNvSpPr txBox="1"/>
          </xdr:nvSpPr>
          <xdr:spPr>
            <a:xfrm>
              <a:off x="9534524" y="304800"/>
              <a:ext cx="25241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Nombre de lits</a:t>
              </a:r>
            </a:p>
          </xdr:txBody>
        </xdr:sp>
        <xdr:sp macro="" textlink="Calcul_Bilan_Energie!N6">
          <xdr:nvSpPr>
            <xdr:cNvPr id="64" name="ZoneTexte 63">
              <a:extLst>
                <a:ext uri="{FF2B5EF4-FFF2-40B4-BE49-F238E27FC236}">
                  <a16:creationId xmlns:a16="http://schemas.microsoft.com/office/drawing/2014/main" id="{00000000-0008-0000-0700-000040000000}"/>
                </a:ext>
              </a:extLst>
            </xdr:cNvPr>
            <xdr:cNvSpPr txBox="1"/>
          </xdr:nvSpPr>
          <xdr:spPr>
            <a:xfrm>
              <a:off x="10115550" y="657225"/>
              <a:ext cx="1781762" cy="6191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CE6445C-7ADC-4EC9-BD50-3007AB7C9BF0}" type="TxLink">
                <a:rPr lang="en-US" sz="1200" b="0" i="0" u="none" strike="noStrike">
                  <a:solidFill>
                    <a:srgbClr val="000000"/>
                  </a:solidFill>
                  <a:latin typeface="Calibri"/>
                  <a:cs typeface="Calibri"/>
                </a:rPr>
                <a:pPr algn="ctr"/>
                <a:t>0</a:t>
              </a:fld>
              <a:endParaRPr lang="fr-FR" sz="2800" b="1"/>
            </a:p>
          </xdr:txBody>
        </xdr:sp>
      </xdr:grpSp>
      <xdr:pic>
        <xdr:nvPicPr>
          <xdr:cNvPr id="61" name="Image 60">
            <a:extLst>
              <a:ext uri="{FF2B5EF4-FFF2-40B4-BE49-F238E27FC236}">
                <a16:creationId xmlns:a16="http://schemas.microsoft.com/office/drawing/2014/main" id="{00000000-0008-0000-0700-00003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91130" y="3650502"/>
            <a:ext cx="538368" cy="522276"/>
          </a:xfrm>
          <a:prstGeom prst="rect">
            <a:avLst/>
          </a:prstGeom>
        </xdr:spPr>
      </xdr:pic>
    </xdr:grpSp>
    <xdr:clientData/>
  </xdr:twoCellAnchor>
  <xdr:twoCellAnchor>
    <xdr:from>
      <xdr:col>9</xdr:col>
      <xdr:colOff>280193</xdr:colOff>
      <xdr:row>17</xdr:row>
      <xdr:rowOff>145499</xdr:rowOff>
    </xdr:from>
    <xdr:to>
      <xdr:col>10</xdr:col>
      <xdr:colOff>852108</xdr:colOff>
      <xdr:row>21</xdr:row>
      <xdr:rowOff>66401</xdr:rowOff>
    </xdr:to>
    <xdr:grpSp>
      <xdr:nvGrpSpPr>
        <xdr:cNvPr id="2" name="Groupe 1">
          <a:extLst>
            <a:ext uri="{FF2B5EF4-FFF2-40B4-BE49-F238E27FC236}">
              <a16:creationId xmlns:a16="http://schemas.microsoft.com/office/drawing/2014/main" id="{00000000-0008-0000-0700-000002000000}"/>
            </a:ext>
          </a:extLst>
        </xdr:cNvPr>
        <xdr:cNvGrpSpPr/>
      </xdr:nvGrpSpPr>
      <xdr:grpSpPr>
        <a:xfrm>
          <a:off x="7423943" y="3276049"/>
          <a:ext cx="1467265" cy="657502"/>
          <a:chOff x="6634784" y="4309856"/>
          <a:chExt cx="1623391" cy="894522"/>
        </a:xfrm>
      </xdr:grpSpPr>
      <xdr:grpSp>
        <xdr:nvGrpSpPr>
          <xdr:cNvPr id="66" name="Groupe 65">
            <a:extLst>
              <a:ext uri="{FF2B5EF4-FFF2-40B4-BE49-F238E27FC236}">
                <a16:creationId xmlns:a16="http://schemas.microsoft.com/office/drawing/2014/main" id="{00000000-0008-0000-0700-000042000000}"/>
              </a:ext>
            </a:extLst>
          </xdr:cNvPr>
          <xdr:cNvGrpSpPr/>
        </xdr:nvGrpSpPr>
        <xdr:grpSpPr>
          <a:xfrm>
            <a:off x="6634784" y="4309856"/>
            <a:ext cx="1623391" cy="894522"/>
            <a:chOff x="9439275" y="295275"/>
            <a:chExt cx="2619374" cy="1228725"/>
          </a:xfrm>
        </xdr:grpSpPr>
        <xdr:sp macro="" textlink="">
          <xdr:nvSpPr>
            <xdr:cNvPr id="68" name="Rectangle à coins arrondis 67">
              <a:extLst>
                <a:ext uri="{FF2B5EF4-FFF2-40B4-BE49-F238E27FC236}">
                  <a16:creationId xmlns:a16="http://schemas.microsoft.com/office/drawing/2014/main" id="{00000000-0008-0000-0700-000044000000}"/>
                </a:ext>
              </a:extLst>
            </xdr:cNvPr>
            <xdr:cNvSpPr/>
          </xdr:nvSpPr>
          <xdr:spPr>
            <a:xfrm>
              <a:off x="9439275" y="295275"/>
              <a:ext cx="2562225" cy="1228725"/>
            </a:xfrm>
            <a:prstGeom prst="roundRect">
              <a:avLst/>
            </a:prstGeom>
            <a:solidFill>
              <a:schemeClr val="bg1"/>
            </a:solidFill>
            <a:ln>
              <a:no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000"/>
            </a:p>
          </xdr:txBody>
        </xdr:sp>
        <xdr:sp macro="" textlink="">
          <xdr:nvSpPr>
            <xdr:cNvPr id="69" name="ZoneTexte 68">
              <a:extLst>
                <a:ext uri="{FF2B5EF4-FFF2-40B4-BE49-F238E27FC236}">
                  <a16:creationId xmlns:a16="http://schemas.microsoft.com/office/drawing/2014/main" id="{00000000-0008-0000-0700-000045000000}"/>
                </a:ext>
              </a:extLst>
            </xdr:cNvPr>
            <xdr:cNvSpPr txBox="1"/>
          </xdr:nvSpPr>
          <xdr:spPr>
            <a:xfrm>
              <a:off x="9534524" y="304799"/>
              <a:ext cx="2524125" cy="452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Nombre de places </a:t>
              </a:r>
            </a:p>
          </xdr:txBody>
        </xdr:sp>
        <xdr:sp macro="" textlink="Calcul_Bilan_Energie!N7">
          <xdr:nvSpPr>
            <xdr:cNvPr id="70" name="ZoneTexte 69">
              <a:extLst>
                <a:ext uri="{FF2B5EF4-FFF2-40B4-BE49-F238E27FC236}">
                  <a16:creationId xmlns:a16="http://schemas.microsoft.com/office/drawing/2014/main" id="{00000000-0008-0000-0700-000046000000}"/>
                </a:ext>
              </a:extLst>
            </xdr:cNvPr>
            <xdr:cNvSpPr txBox="1"/>
          </xdr:nvSpPr>
          <xdr:spPr>
            <a:xfrm>
              <a:off x="10115550" y="657225"/>
              <a:ext cx="1781762"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A3616DF-4F93-4955-B35A-1F06AD275955}" type="TxLink">
                <a:rPr lang="en-US" sz="1400" b="0" i="0" u="none" strike="noStrike">
                  <a:solidFill>
                    <a:srgbClr val="000000"/>
                  </a:solidFill>
                  <a:latin typeface="Calibri"/>
                  <a:cs typeface="Calibri"/>
                </a:rPr>
                <a:pPr algn="ctr"/>
                <a:t>0</a:t>
              </a:fld>
              <a:endParaRPr lang="fr-FR" sz="3200" b="1"/>
            </a:p>
          </xdr:txBody>
        </xdr:sp>
      </xdr:grpSp>
      <xdr:pic>
        <xdr:nvPicPr>
          <xdr:cNvPr id="71" name="Image 70" descr="icône de personne assise 16830905 - Telecharger Vectoriel ...">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57975" y="4572993"/>
            <a:ext cx="609600" cy="56098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5</xdr:col>
      <xdr:colOff>409575</xdr:colOff>
      <xdr:row>0</xdr:row>
      <xdr:rowOff>0</xdr:rowOff>
    </xdr:from>
    <xdr:to>
      <xdr:col>8</xdr:col>
      <xdr:colOff>12010</xdr:colOff>
      <xdr:row>1</xdr:row>
      <xdr:rowOff>92876</xdr:rowOff>
    </xdr:to>
    <xdr:pic>
      <xdr:nvPicPr>
        <xdr:cNvPr id="81" name="Image 80" descr="Une image contenant texte, Police, ligne, typographie&#10;&#10;Description générée automatiquement">
          <a:extLst>
            <a:ext uri="{FF2B5EF4-FFF2-40B4-BE49-F238E27FC236}">
              <a16:creationId xmlns:a16="http://schemas.microsoft.com/office/drawing/2014/main" id="{00000000-0008-0000-0700-000051000000}"/>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val="0"/>
            </a:ext>
          </a:extLst>
        </a:blip>
        <a:stretch>
          <a:fillRect/>
        </a:stretch>
      </xdr:blipFill>
      <xdr:spPr>
        <a:xfrm>
          <a:off x="4219575" y="0"/>
          <a:ext cx="1888435" cy="283376"/>
        </a:xfrm>
        <a:prstGeom prst="rect">
          <a:avLst/>
        </a:prstGeom>
      </xdr:spPr>
    </xdr:pic>
    <xdr:clientData/>
  </xdr:twoCellAnchor>
  <xdr:twoCellAnchor editAs="oneCell">
    <xdr:from>
      <xdr:col>9</xdr:col>
      <xdr:colOff>590550</xdr:colOff>
      <xdr:row>0</xdr:row>
      <xdr:rowOff>0</xdr:rowOff>
    </xdr:from>
    <xdr:to>
      <xdr:col>11</xdr:col>
      <xdr:colOff>0</xdr:colOff>
      <xdr:row>3</xdr:row>
      <xdr:rowOff>14785</xdr:rowOff>
    </xdr:to>
    <xdr:pic>
      <xdr:nvPicPr>
        <xdr:cNvPr id="83" name="Image 82" descr="Une image contenant texte, Police, conception&#10;&#10;Description générée automatiquement">
          <a:extLst>
            <a:ext uri="{FF2B5EF4-FFF2-40B4-BE49-F238E27FC236}">
              <a16:creationId xmlns:a16="http://schemas.microsoft.com/office/drawing/2014/main" id="{00000000-0008-0000-0700-00005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448550" y="0"/>
          <a:ext cx="1219200" cy="586285"/>
        </a:xfrm>
        <a:prstGeom prst="rect">
          <a:avLst/>
        </a:prstGeom>
      </xdr:spPr>
    </xdr:pic>
    <xdr:clientData/>
  </xdr:twoCellAnchor>
  <xdr:twoCellAnchor>
    <xdr:from>
      <xdr:col>0</xdr:col>
      <xdr:colOff>8269</xdr:colOff>
      <xdr:row>32</xdr:row>
      <xdr:rowOff>116693</xdr:rowOff>
    </xdr:from>
    <xdr:to>
      <xdr:col>7</xdr:col>
      <xdr:colOff>689577</xdr:colOff>
      <xdr:row>33</xdr:row>
      <xdr:rowOff>1448</xdr:rowOff>
    </xdr:to>
    <xdr:sp macro="" textlink="">
      <xdr:nvSpPr>
        <xdr:cNvPr id="65" name="ZoneTexte 64">
          <a:extLst>
            <a:ext uri="{FF2B5EF4-FFF2-40B4-BE49-F238E27FC236}">
              <a16:creationId xmlns:a16="http://schemas.microsoft.com/office/drawing/2014/main" id="{00000000-0008-0000-0700-000041000000}"/>
            </a:ext>
          </a:extLst>
        </xdr:cNvPr>
        <xdr:cNvSpPr txBox="1"/>
      </xdr:nvSpPr>
      <xdr:spPr>
        <a:xfrm>
          <a:off x="8269" y="6212693"/>
          <a:ext cx="6015308" cy="141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800">
              <a:solidFill>
                <a:srgbClr val="FF0000"/>
              </a:solidFill>
            </a:rPr>
            <a:t>Si aucun graphique n'apparaît</a:t>
          </a:r>
          <a:r>
            <a:rPr lang="fr-FR" sz="800" baseline="0">
              <a:solidFill>
                <a:srgbClr val="FF0000"/>
              </a:solidFill>
            </a:rPr>
            <a:t> après avoir actualisé, vérifiez s'ils sont bien sélectionnés dans le filtre "Combustible" de chaque graphique</a:t>
          </a:r>
          <a:endParaRPr lang="fr-FR" sz="800">
            <a:solidFill>
              <a:srgbClr val="FF0000"/>
            </a:solidFill>
          </a:endParaRPr>
        </a:p>
      </xdr:txBody>
    </xdr:sp>
    <xdr:clientData/>
  </xdr:twoCellAnchor>
  <xdr:twoCellAnchor>
    <xdr:from>
      <xdr:col>0</xdr:col>
      <xdr:colOff>54962</xdr:colOff>
      <xdr:row>15</xdr:row>
      <xdr:rowOff>153310</xdr:rowOff>
    </xdr:from>
    <xdr:to>
      <xdr:col>9</xdr:col>
      <xdr:colOff>78960</xdr:colOff>
      <xdr:row>32</xdr:row>
      <xdr:rowOff>115157</xdr:rowOff>
    </xdr:to>
    <xdr:sp macro="" textlink="">
      <xdr:nvSpPr>
        <xdr:cNvPr id="37" name="Rectangle à coins arrondis 36">
          <a:extLst>
            <a:ext uri="{FF2B5EF4-FFF2-40B4-BE49-F238E27FC236}">
              <a16:creationId xmlns:a16="http://schemas.microsoft.com/office/drawing/2014/main" id="{00000000-0008-0000-0700-000025000000}"/>
            </a:ext>
          </a:extLst>
        </xdr:cNvPr>
        <xdr:cNvSpPr/>
      </xdr:nvSpPr>
      <xdr:spPr>
        <a:xfrm>
          <a:off x="54962" y="2867935"/>
          <a:ext cx="7224898" cy="3038422"/>
        </a:xfrm>
        <a:prstGeom prst="roundRect">
          <a:avLst/>
        </a:prstGeom>
        <a:solidFill>
          <a:schemeClr val="bg1"/>
        </a:solidFill>
        <a:ln w="3175">
          <a:solidFill>
            <a:schemeClr val="bg2"/>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0</xdr:colOff>
      <xdr:row>15</xdr:row>
      <xdr:rowOff>133553</xdr:rowOff>
    </xdr:from>
    <xdr:to>
      <xdr:col>5</xdr:col>
      <xdr:colOff>504445</xdr:colOff>
      <xdr:row>17</xdr:row>
      <xdr:rowOff>84325</xdr:rowOff>
    </xdr:to>
    <xdr:sp macro="" textlink="">
      <xdr:nvSpPr>
        <xdr:cNvPr id="38" name="ZoneTexte 37">
          <a:extLst>
            <a:ext uri="{FF2B5EF4-FFF2-40B4-BE49-F238E27FC236}">
              <a16:creationId xmlns:a16="http://schemas.microsoft.com/office/drawing/2014/main" id="{00000000-0008-0000-0700-000026000000}"/>
            </a:ext>
          </a:extLst>
        </xdr:cNvPr>
        <xdr:cNvSpPr txBox="1"/>
      </xdr:nvSpPr>
      <xdr:spPr>
        <a:xfrm>
          <a:off x="0" y="2991053"/>
          <a:ext cx="4314445" cy="3317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400" b="1" baseline="0"/>
            <a:t>Distribution des consommations d'énergie : </a:t>
          </a:r>
          <a:endParaRPr lang="fr-FR" sz="1400" b="1"/>
        </a:p>
      </xdr:txBody>
    </xdr:sp>
    <xdr:clientData/>
  </xdr:twoCellAnchor>
  <xdr:twoCellAnchor>
    <xdr:from>
      <xdr:col>3</xdr:col>
      <xdr:colOff>314603</xdr:colOff>
      <xdr:row>16</xdr:row>
      <xdr:rowOff>164893</xdr:rowOff>
    </xdr:from>
    <xdr:to>
      <xdr:col>5</xdr:col>
      <xdr:colOff>5727</xdr:colOff>
      <xdr:row>19</xdr:row>
      <xdr:rowOff>110655</xdr:rowOff>
    </xdr:to>
    <xdr:sp macro="" textlink="Calcul_Bilan_Energie!M11">
      <xdr:nvSpPr>
        <xdr:cNvPr id="76" name="ZoneTexte 75">
          <a:extLst>
            <a:ext uri="{FF2B5EF4-FFF2-40B4-BE49-F238E27FC236}">
              <a16:creationId xmlns:a16="http://schemas.microsoft.com/office/drawing/2014/main" id="{00000000-0008-0000-0700-00004C000000}"/>
            </a:ext>
          </a:extLst>
        </xdr:cNvPr>
        <xdr:cNvSpPr txBox="1"/>
      </xdr:nvSpPr>
      <xdr:spPr>
        <a:xfrm>
          <a:off x="2600603" y="3212893"/>
          <a:ext cx="1215124" cy="51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A18A9D30-6550-4D17-A38C-FA36157E26BE}" type="TxLink">
            <a:rPr lang="en-US" sz="1200" b="0" i="0" u="none" strike="noStrike">
              <a:solidFill>
                <a:srgbClr val="000000"/>
              </a:solidFill>
              <a:latin typeface="Calibri"/>
              <a:cs typeface="Calibri"/>
            </a:rPr>
            <a:pPr algn="ctr"/>
            <a:t> 10 784 € </a:t>
          </a:fld>
          <a:endParaRPr lang="fr-FR" sz="1200" b="1"/>
        </a:p>
      </xdr:txBody>
    </xdr:sp>
    <xdr:clientData/>
  </xdr:twoCellAnchor>
  <xdr:twoCellAnchor>
    <xdr:from>
      <xdr:col>3</xdr:col>
      <xdr:colOff>503311</xdr:colOff>
      <xdr:row>16</xdr:row>
      <xdr:rowOff>143794</xdr:rowOff>
    </xdr:from>
    <xdr:to>
      <xdr:col>4</xdr:col>
      <xdr:colOff>613987</xdr:colOff>
      <xdr:row>18</xdr:row>
      <xdr:rowOff>984</xdr:rowOff>
    </xdr:to>
    <xdr:grpSp>
      <xdr:nvGrpSpPr>
        <xdr:cNvPr id="17" name="Groupe 16">
          <a:extLst>
            <a:ext uri="{FF2B5EF4-FFF2-40B4-BE49-F238E27FC236}">
              <a16:creationId xmlns:a16="http://schemas.microsoft.com/office/drawing/2014/main" id="{00000000-0008-0000-0700-000011000000}"/>
            </a:ext>
          </a:extLst>
        </xdr:cNvPr>
        <xdr:cNvGrpSpPr/>
      </xdr:nvGrpSpPr>
      <xdr:grpSpPr>
        <a:xfrm>
          <a:off x="2884561" y="3090194"/>
          <a:ext cx="904426" cy="225490"/>
          <a:chOff x="2898913" y="795133"/>
          <a:chExt cx="865532" cy="240196"/>
        </a:xfrm>
      </xdr:grpSpPr>
      <xdr:sp macro="" textlink="">
        <xdr:nvSpPr>
          <xdr:cNvPr id="74" name="ZoneTexte 73">
            <a:extLst>
              <a:ext uri="{FF2B5EF4-FFF2-40B4-BE49-F238E27FC236}">
                <a16:creationId xmlns:a16="http://schemas.microsoft.com/office/drawing/2014/main" id="{00000000-0008-0000-0700-00004A000000}"/>
              </a:ext>
            </a:extLst>
          </xdr:cNvPr>
          <xdr:cNvSpPr txBox="1"/>
        </xdr:nvSpPr>
        <xdr:spPr>
          <a:xfrm>
            <a:off x="2898913" y="844415"/>
            <a:ext cx="596348" cy="182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200" b="1" baseline="0"/>
              <a:t>Coût</a:t>
            </a:r>
            <a:endParaRPr lang="fr-FR" sz="1200" b="1"/>
          </a:p>
        </xdr:txBody>
      </xdr:sp>
      <xdr:sp macro="" textlink="Controle_des_données!A40">
        <xdr:nvSpPr>
          <xdr:cNvPr id="8" name="ZoneTexte 7">
            <a:extLst>
              <a:ext uri="{FF2B5EF4-FFF2-40B4-BE49-F238E27FC236}">
                <a16:creationId xmlns:a16="http://schemas.microsoft.com/office/drawing/2014/main" id="{00000000-0008-0000-0700-000008000000}"/>
              </a:ext>
            </a:extLst>
          </xdr:cNvPr>
          <xdr:cNvSpPr txBox="1"/>
        </xdr:nvSpPr>
        <xdr:spPr>
          <a:xfrm>
            <a:off x="3296478" y="795133"/>
            <a:ext cx="467967" cy="2401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fld id="{DA43E666-33C1-4E45-BD87-463BCC38F753}" type="TxLink">
              <a:rPr lang="en-US" sz="1200" b="1" baseline="0">
                <a:solidFill>
                  <a:schemeClr val="dk1"/>
                </a:solidFill>
                <a:latin typeface="+mn-lt"/>
                <a:ea typeface="+mn-ea"/>
                <a:cs typeface="+mn-cs"/>
              </a:rPr>
              <a:pPr marL="0" indent="0" algn="l"/>
              <a:t>0</a:t>
            </a:fld>
            <a:endParaRPr lang="fr-FR" sz="1200" b="1" baseline="0">
              <a:solidFill>
                <a:schemeClr val="dk1"/>
              </a:solidFill>
              <a:latin typeface="+mn-lt"/>
              <a:ea typeface="+mn-ea"/>
              <a:cs typeface="+mn-cs"/>
            </a:endParaRPr>
          </a:p>
        </xdr:txBody>
      </xdr:sp>
    </xdr:grpSp>
    <xdr:clientData/>
  </xdr:twoCellAnchor>
  <xdr:twoCellAnchor>
    <xdr:from>
      <xdr:col>7</xdr:col>
      <xdr:colOff>285750</xdr:colOff>
      <xdr:row>2</xdr:row>
      <xdr:rowOff>178498</xdr:rowOff>
    </xdr:from>
    <xdr:to>
      <xdr:col>11</xdr:col>
      <xdr:colOff>0</xdr:colOff>
      <xdr:row>18</xdr:row>
      <xdr:rowOff>28575</xdr:rowOff>
    </xdr:to>
    <xdr:grpSp>
      <xdr:nvGrpSpPr>
        <xdr:cNvPr id="12" name="Groupe 11">
          <a:extLst>
            <a:ext uri="{FF2B5EF4-FFF2-40B4-BE49-F238E27FC236}">
              <a16:creationId xmlns:a16="http://schemas.microsoft.com/office/drawing/2014/main" id="{00000000-0008-0000-0700-00000C000000}"/>
            </a:ext>
          </a:extLst>
        </xdr:cNvPr>
        <xdr:cNvGrpSpPr/>
      </xdr:nvGrpSpPr>
      <xdr:grpSpPr>
        <a:xfrm>
          <a:off x="5842000" y="546798"/>
          <a:ext cx="3194050" cy="2796477"/>
          <a:chOff x="5329238" y="2919049"/>
          <a:chExt cx="3086310" cy="2845640"/>
        </a:xfrm>
      </xdr:grpSpPr>
      <xdr:graphicFrame macro="">
        <xdr:nvGraphicFramePr>
          <xdr:cNvPr id="67" name="Graphique 66">
            <a:extLst>
              <a:ext uri="{FF2B5EF4-FFF2-40B4-BE49-F238E27FC236}">
                <a16:creationId xmlns:a16="http://schemas.microsoft.com/office/drawing/2014/main" id="{00000000-0008-0000-0700-000043000000}"/>
              </a:ext>
            </a:extLst>
          </xdr:cNvPr>
          <xdr:cNvGraphicFramePr>
            <a:graphicFrameLocks/>
          </xdr:cNvGraphicFramePr>
        </xdr:nvGraphicFramePr>
        <xdr:xfrm>
          <a:off x="5329238" y="3021489"/>
          <a:ext cx="3052762" cy="2743200"/>
        </xdr:xfrm>
        <a:graphic>
          <a:graphicData uri="http://schemas.openxmlformats.org/drawingml/2006/chart">
            <c:chart xmlns:c="http://schemas.openxmlformats.org/drawingml/2006/chart" xmlns:r="http://schemas.openxmlformats.org/officeDocument/2006/relationships" r:id="rId6"/>
          </a:graphicData>
        </a:graphic>
      </xdr:graphicFrame>
      <xdr:sp macro="" textlink="Calcul_Bilan_Energie!S16">
        <xdr:nvSpPr>
          <xdr:cNvPr id="5" name="ZoneTexte 4">
            <a:extLst>
              <a:ext uri="{FF2B5EF4-FFF2-40B4-BE49-F238E27FC236}">
                <a16:creationId xmlns:a16="http://schemas.microsoft.com/office/drawing/2014/main" id="{00000000-0008-0000-0700-000005000000}"/>
              </a:ext>
            </a:extLst>
          </xdr:cNvPr>
          <xdr:cNvSpPr txBox="1"/>
        </xdr:nvSpPr>
        <xdr:spPr>
          <a:xfrm>
            <a:off x="5654641" y="4696232"/>
            <a:ext cx="2401956" cy="2401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0AEAA9A5-2E99-4CD5-A5C1-60B8A2DA51FF}" type="TxLink">
              <a:rPr lang="en-US" sz="1000" b="0" i="1" u="none" strike="noStrike">
                <a:solidFill>
                  <a:srgbClr val="000000"/>
                </a:solidFill>
                <a:latin typeface="Calibri"/>
                <a:cs typeface="Calibri"/>
              </a:rPr>
              <a:pPr algn="ctr"/>
              <a:t>Bâtiment à usage de bureau ou d'administration</a:t>
            </a:fld>
            <a:endParaRPr lang="fr-FR" sz="1000" i="1"/>
          </a:p>
        </xdr:txBody>
      </xdr:sp>
      <xdr:sp macro="" textlink="">
        <xdr:nvSpPr>
          <xdr:cNvPr id="6" name="ZoneTexte 5">
            <a:extLst>
              <a:ext uri="{FF2B5EF4-FFF2-40B4-BE49-F238E27FC236}">
                <a16:creationId xmlns:a16="http://schemas.microsoft.com/office/drawing/2014/main" id="{00000000-0008-0000-0700-000006000000}"/>
              </a:ext>
            </a:extLst>
          </xdr:cNvPr>
          <xdr:cNvSpPr txBox="1"/>
        </xdr:nvSpPr>
        <xdr:spPr>
          <a:xfrm>
            <a:off x="5584023" y="4837030"/>
            <a:ext cx="2831525" cy="488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800">
                <a:solidFill>
                  <a:srgbClr val="FF0000"/>
                </a:solidFill>
              </a:rPr>
              <a:t>Indicateur</a:t>
            </a:r>
            <a:r>
              <a:rPr lang="fr-FR" sz="800" baseline="0">
                <a:solidFill>
                  <a:srgbClr val="FF0000"/>
                </a:solidFill>
              </a:rPr>
              <a:t> de type DPE à titre à indicatif (en aucun cas  a une valeur de DPE) calculé en équivalent </a:t>
            </a:r>
            <a:r>
              <a:rPr lang="fr-FR" sz="800" u="sng" baseline="0">
                <a:solidFill>
                  <a:srgbClr val="FF0000"/>
                </a:solidFill>
              </a:rPr>
              <a:t>énergie primaire </a:t>
            </a:r>
            <a:endParaRPr lang="fr-FR" sz="800">
              <a:solidFill>
                <a:srgbClr val="FF0000"/>
              </a:solidFill>
            </a:endParaRPr>
          </a:p>
        </xdr:txBody>
      </xdr:sp>
      <xdr:sp macro="" textlink="">
        <xdr:nvSpPr>
          <xdr:cNvPr id="82" name="ZoneTexte 81">
            <a:extLst>
              <a:ext uri="{FF2B5EF4-FFF2-40B4-BE49-F238E27FC236}">
                <a16:creationId xmlns:a16="http://schemas.microsoft.com/office/drawing/2014/main" id="{00000000-0008-0000-0700-000052000000}"/>
              </a:ext>
            </a:extLst>
          </xdr:cNvPr>
          <xdr:cNvSpPr txBox="1"/>
        </xdr:nvSpPr>
        <xdr:spPr>
          <a:xfrm>
            <a:off x="5797967" y="2919049"/>
            <a:ext cx="2124562" cy="3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400" b="1"/>
              <a:t>Etiquette énergétique</a:t>
            </a:r>
          </a:p>
        </xdr:txBody>
      </xdr:sp>
      <xdr:sp macro="" textlink="">
        <xdr:nvSpPr>
          <xdr:cNvPr id="85" name="ZoneTexte 84">
            <a:extLst>
              <a:ext uri="{FF2B5EF4-FFF2-40B4-BE49-F238E27FC236}">
                <a16:creationId xmlns:a16="http://schemas.microsoft.com/office/drawing/2014/main" id="{00000000-0008-0000-0700-000055000000}"/>
              </a:ext>
            </a:extLst>
          </xdr:cNvPr>
          <xdr:cNvSpPr txBox="1"/>
        </xdr:nvSpPr>
        <xdr:spPr>
          <a:xfrm>
            <a:off x="5654641" y="4547150"/>
            <a:ext cx="2401956" cy="2401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rgbClr val="000000"/>
                </a:solidFill>
                <a:latin typeface="Calibri"/>
                <a:cs typeface="Calibri"/>
              </a:rPr>
              <a:t>corrigés</a:t>
            </a:r>
            <a:r>
              <a:rPr lang="en-US" sz="1100" b="1" i="0" u="none" strike="noStrike" baseline="0">
                <a:solidFill>
                  <a:srgbClr val="000000"/>
                </a:solidFill>
                <a:latin typeface="Calibri"/>
                <a:cs typeface="Calibri"/>
              </a:rPr>
              <a:t> DJU</a:t>
            </a:r>
            <a:endParaRPr lang="en-US" sz="1100" b="1" i="0" u="none" strike="noStrike">
              <a:solidFill>
                <a:srgbClr val="000000"/>
              </a:solidFill>
              <a:latin typeface="Calibri"/>
              <a:cs typeface="Calibri"/>
            </a:endParaRPr>
          </a:p>
        </xdr:txBody>
      </xdr:sp>
    </xdr:grpSp>
    <xdr:clientData/>
  </xdr:twoCellAnchor>
  <xdr:twoCellAnchor>
    <xdr:from>
      <xdr:col>9</xdr:col>
      <xdr:colOff>277763</xdr:colOff>
      <xdr:row>29</xdr:row>
      <xdr:rowOff>1381</xdr:rowOff>
    </xdr:from>
    <xdr:to>
      <xdr:col>10</xdr:col>
      <xdr:colOff>854538</xdr:colOff>
      <xdr:row>32</xdr:row>
      <xdr:rowOff>104356</xdr:rowOff>
    </xdr:to>
    <xdr:grpSp>
      <xdr:nvGrpSpPr>
        <xdr:cNvPr id="23" name="Groupe 22">
          <a:extLst>
            <a:ext uri="{FF2B5EF4-FFF2-40B4-BE49-F238E27FC236}">
              <a16:creationId xmlns:a16="http://schemas.microsoft.com/office/drawing/2014/main" id="{00000000-0008-0000-0700-000017000000}"/>
            </a:ext>
          </a:extLst>
        </xdr:cNvPr>
        <xdr:cNvGrpSpPr/>
      </xdr:nvGrpSpPr>
      <xdr:grpSpPr>
        <a:xfrm>
          <a:off x="7421513" y="5341731"/>
          <a:ext cx="1472125" cy="655425"/>
          <a:chOff x="7026964" y="5610640"/>
          <a:chExt cx="1242391" cy="646044"/>
        </a:xfrm>
      </xdr:grpSpPr>
      <xdr:grpSp>
        <xdr:nvGrpSpPr>
          <xdr:cNvPr id="86" name="Groupe 85">
            <a:extLst>
              <a:ext uri="{FF2B5EF4-FFF2-40B4-BE49-F238E27FC236}">
                <a16:creationId xmlns:a16="http://schemas.microsoft.com/office/drawing/2014/main" id="{00000000-0008-0000-0700-000056000000}"/>
              </a:ext>
            </a:extLst>
          </xdr:cNvPr>
          <xdr:cNvGrpSpPr/>
        </xdr:nvGrpSpPr>
        <xdr:grpSpPr>
          <a:xfrm>
            <a:off x="7026964" y="5610640"/>
            <a:ext cx="1242391" cy="646044"/>
            <a:chOff x="9439275" y="295275"/>
            <a:chExt cx="2619376" cy="1228725"/>
          </a:xfrm>
        </xdr:grpSpPr>
        <xdr:sp macro="" textlink="">
          <xdr:nvSpPr>
            <xdr:cNvPr id="87" name="Rectangle à coins arrondis 86">
              <a:extLst>
                <a:ext uri="{FF2B5EF4-FFF2-40B4-BE49-F238E27FC236}">
                  <a16:creationId xmlns:a16="http://schemas.microsoft.com/office/drawing/2014/main" id="{00000000-0008-0000-0700-000057000000}"/>
                </a:ext>
              </a:extLst>
            </xdr:cNvPr>
            <xdr:cNvSpPr/>
          </xdr:nvSpPr>
          <xdr:spPr>
            <a:xfrm>
              <a:off x="9439275" y="295275"/>
              <a:ext cx="2562225" cy="1228725"/>
            </a:xfrm>
            <a:prstGeom prst="roundRect">
              <a:avLst/>
            </a:prstGeom>
            <a:solidFill>
              <a:schemeClr val="bg1"/>
            </a:solidFill>
            <a:ln>
              <a:no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000"/>
            </a:p>
          </xdr:txBody>
        </xdr:sp>
        <xdr:sp macro="" textlink="">
          <xdr:nvSpPr>
            <xdr:cNvPr id="88" name="ZoneTexte 87">
              <a:extLst>
                <a:ext uri="{FF2B5EF4-FFF2-40B4-BE49-F238E27FC236}">
                  <a16:creationId xmlns:a16="http://schemas.microsoft.com/office/drawing/2014/main" id="{00000000-0008-0000-0700-000058000000}"/>
                </a:ext>
              </a:extLst>
            </xdr:cNvPr>
            <xdr:cNvSpPr txBox="1"/>
          </xdr:nvSpPr>
          <xdr:spPr>
            <a:xfrm>
              <a:off x="9534524" y="304800"/>
              <a:ext cx="2524127" cy="431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Places de parking</a:t>
              </a:r>
            </a:p>
          </xdr:txBody>
        </xdr:sp>
        <xdr:sp macro="" textlink="Site!I33">
          <xdr:nvSpPr>
            <xdr:cNvPr id="89" name="ZoneTexte 88">
              <a:extLst>
                <a:ext uri="{FF2B5EF4-FFF2-40B4-BE49-F238E27FC236}">
                  <a16:creationId xmlns:a16="http://schemas.microsoft.com/office/drawing/2014/main" id="{00000000-0008-0000-0700-000059000000}"/>
                </a:ext>
              </a:extLst>
            </xdr:cNvPr>
            <xdr:cNvSpPr txBox="1"/>
          </xdr:nvSpPr>
          <xdr:spPr>
            <a:xfrm>
              <a:off x="10249048" y="734609"/>
              <a:ext cx="1781762"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5C438AA7-7E60-4BEA-9543-83F280E8AF81}" type="TxLink">
                <a:rPr lang="en-US" sz="1100" b="0" i="0" u="none" strike="noStrike">
                  <a:solidFill>
                    <a:srgbClr val="000000"/>
                  </a:solidFill>
                  <a:latin typeface="Calibri"/>
                  <a:cs typeface="Calibri"/>
                </a:rPr>
                <a:pPr algn="ctr"/>
                <a:t> </a:t>
              </a:fld>
              <a:endParaRPr lang="fr-FR" sz="2800" b="1"/>
            </a:p>
          </xdr:txBody>
        </xdr:sp>
      </xdr:grpSp>
      <xdr:pic>
        <xdr:nvPicPr>
          <xdr:cNvPr id="19" name="Image 18">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147891" y="5822673"/>
            <a:ext cx="389283" cy="389283"/>
          </a:xfrm>
          <a:prstGeom prst="rect">
            <a:avLst/>
          </a:prstGeom>
        </xdr:spPr>
      </xdr:pic>
    </xdr:grpSp>
    <xdr:clientData/>
  </xdr:twoCellAnchor>
  <xdr:twoCellAnchor>
    <xdr:from>
      <xdr:col>0</xdr:col>
      <xdr:colOff>503998</xdr:colOff>
      <xdr:row>16</xdr:row>
      <xdr:rowOff>114718</xdr:rowOff>
    </xdr:from>
    <xdr:to>
      <xdr:col>2</xdr:col>
      <xdr:colOff>401086</xdr:colOff>
      <xdr:row>17</xdr:row>
      <xdr:rowOff>171450</xdr:rowOff>
    </xdr:to>
    <xdr:sp macro="" textlink="">
      <xdr:nvSpPr>
        <xdr:cNvPr id="73" name="ZoneTexte 72">
          <a:extLst>
            <a:ext uri="{FF2B5EF4-FFF2-40B4-BE49-F238E27FC236}">
              <a16:creationId xmlns:a16="http://schemas.microsoft.com/office/drawing/2014/main" id="{00000000-0008-0000-0700-000049000000}"/>
            </a:ext>
          </a:extLst>
        </xdr:cNvPr>
        <xdr:cNvSpPr txBox="1"/>
      </xdr:nvSpPr>
      <xdr:spPr>
        <a:xfrm>
          <a:off x="503998" y="3162718"/>
          <a:ext cx="1421088" cy="247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200" b="1" baseline="0"/>
            <a:t>Consommations</a:t>
          </a:r>
          <a:endParaRPr lang="fr-FR" sz="1200" b="1"/>
        </a:p>
      </xdr:txBody>
    </xdr:sp>
    <xdr:clientData/>
  </xdr:twoCellAnchor>
  <xdr:twoCellAnchor>
    <xdr:from>
      <xdr:col>1</xdr:col>
      <xdr:colOff>377274</xdr:colOff>
      <xdr:row>1</xdr:row>
      <xdr:rowOff>114300</xdr:rowOff>
    </xdr:from>
    <xdr:to>
      <xdr:col>7</xdr:col>
      <xdr:colOff>419100</xdr:colOff>
      <xdr:row>15</xdr:row>
      <xdr:rowOff>123825</xdr:rowOff>
    </xdr:to>
    <xdr:sp macro="" textlink="">
      <xdr:nvSpPr>
        <xdr:cNvPr id="95" name="Rectangle à coins arrondis 94">
          <a:extLst>
            <a:ext uri="{FF2B5EF4-FFF2-40B4-BE49-F238E27FC236}">
              <a16:creationId xmlns:a16="http://schemas.microsoft.com/office/drawing/2014/main" id="{00000000-0008-0000-0700-00005F000000}"/>
            </a:ext>
          </a:extLst>
        </xdr:cNvPr>
        <xdr:cNvSpPr/>
      </xdr:nvSpPr>
      <xdr:spPr>
        <a:xfrm>
          <a:off x="1139274" y="304800"/>
          <a:ext cx="4613826" cy="2676525"/>
        </a:xfrm>
        <a:prstGeom prst="roundRect">
          <a:avLst/>
        </a:prstGeom>
        <a:solidFill>
          <a:schemeClr val="bg1"/>
        </a:solidFill>
        <a:ln w="3175">
          <a:solidFill>
            <a:schemeClr val="bg2"/>
          </a:solid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xdr:col>
      <xdr:colOff>449815</xdr:colOff>
      <xdr:row>1</xdr:row>
      <xdr:rowOff>139753</xdr:rowOff>
    </xdr:from>
    <xdr:to>
      <xdr:col>5</xdr:col>
      <xdr:colOff>143145</xdr:colOff>
      <xdr:row>3</xdr:row>
      <xdr:rowOff>61922</xdr:rowOff>
    </xdr:to>
    <xdr:sp macro="" textlink="">
      <xdr:nvSpPr>
        <xdr:cNvPr id="97" name="ZoneTexte 96">
          <a:extLst>
            <a:ext uri="{FF2B5EF4-FFF2-40B4-BE49-F238E27FC236}">
              <a16:creationId xmlns:a16="http://schemas.microsoft.com/office/drawing/2014/main" id="{00000000-0008-0000-0700-000061000000}"/>
            </a:ext>
          </a:extLst>
        </xdr:cNvPr>
        <xdr:cNvSpPr txBox="1"/>
      </xdr:nvSpPr>
      <xdr:spPr>
        <a:xfrm>
          <a:off x="1973815" y="330253"/>
          <a:ext cx="1979330" cy="3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200" b="1"/>
            <a:t>Vos</a:t>
          </a:r>
          <a:r>
            <a:rPr lang="fr-FR" sz="1200" b="1" baseline="0"/>
            <a:t> indicateurs</a:t>
          </a:r>
          <a:endParaRPr lang="fr-FR" sz="1200" b="1"/>
        </a:p>
      </xdr:txBody>
    </xdr:sp>
    <xdr:clientData/>
  </xdr:twoCellAnchor>
  <xdr:twoCellAnchor>
    <xdr:from>
      <xdr:col>3</xdr:col>
      <xdr:colOff>28575</xdr:colOff>
      <xdr:row>6</xdr:row>
      <xdr:rowOff>177864</xdr:rowOff>
    </xdr:from>
    <xdr:to>
      <xdr:col>4</xdr:col>
      <xdr:colOff>507233</xdr:colOff>
      <xdr:row>8</xdr:row>
      <xdr:rowOff>78698</xdr:rowOff>
    </xdr:to>
    <xdr:sp macro="" textlink="Calcul_Bilan_Energie!N27">
      <xdr:nvSpPr>
        <xdr:cNvPr id="112" name="ZoneTexte 111">
          <a:extLst>
            <a:ext uri="{FF2B5EF4-FFF2-40B4-BE49-F238E27FC236}">
              <a16:creationId xmlns:a16="http://schemas.microsoft.com/office/drawing/2014/main" id="{00000000-0008-0000-0700-000070000000}"/>
            </a:ext>
          </a:extLst>
        </xdr:cNvPr>
        <xdr:cNvSpPr txBox="1"/>
      </xdr:nvSpPr>
      <xdr:spPr>
        <a:xfrm>
          <a:off x="2314575" y="1320864"/>
          <a:ext cx="1240658" cy="2818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0EDC6A4-A895-45F9-ADFB-33162705AF34}" type="TxLink">
            <a:rPr lang="en-US" sz="1100" b="0" i="0" u="none" strike="noStrike">
              <a:solidFill>
                <a:srgbClr val="000000"/>
              </a:solidFill>
              <a:latin typeface="Calibri"/>
              <a:cs typeface="Calibri"/>
            </a:rPr>
            <a:pPr algn="ctr"/>
            <a:t>#DIV/0!</a:t>
          </a:fld>
          <a:endParaRPr lang="fr-FR" sz="7200" b="1"/>
        </a:p>
      </xdr:txBody>
    </xdr:sp>
    <xdr:clientData/>
  </xdr:twoCellAnchor>
  <xdr:twoCellAnchor>
    <xdr:from>
      <xdr:col>1</xdr:col>
      <xdr:colOff>504825</xdr:colOff>
      <xdr:row>6</xdr:row>
      <xdr:rowOff>167197</xdr:rowOff>
    </xdr:from>
    <xdr:to>
      <xdr:col>2</xdr:col>
      <xdr:colOff>732024</xdr:colOff>
      <xdr:row>8</xdr:row>
      <xdr:rowOff>89366</xdr:rowOff>
    </xdr:to>
    <xdr:sp macro="" textlink="">
      <xdr:nvSpPr>
        <xdr:cNvPr id="113" name="ZoneTexte 112">
          <a:extLst>
            <a:ext uri="{FF2B5EF4-FFF2-40B4-BE49-F238E27FC236}">
              <a16:creationId xmlns:a16="http://schemas.microsoft.com/office/drawing/2014/main" id="{00000000-0008-0000-0700-000071000000}"/>
            </a:ext>
          </a:extLst>
        </xdr:cNvPr>
        <xdr:cNvSpPr txBox="1"/>
      </xdr:nvSpPr>
      <xdr:spPr>
        <a:xfrm>
          <a:off x="1266825" y="1310197"/>
          <a:ext cx="989199" cy="3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200" b="1"/>
            <a:t>Electricité</a:t>
          </a:r>
        </a:p>
      </xdr:txBody>
    </xdr:sp>
    <xdr:clientData/>
  </xdr:twoCellAnchor>
  <xdr:twoCellAnchor>
    <xdr:from>
      <xdr:col>5</xdr:col>
      <xdr:colOff>85725</xdr:colOff>
      <xdr:row>7</xdr:row>
      <xdr:rowOff>8292</xdr:rowOff>
    </xdr:from>
    <xdr:to>
      <xdr:col>6</xdr:col>
      <xdr:colOff>510287</xdr:colOff>
      <xdr:row>8</xdr:row>
      <xdr:rowOff>57770</xdr:rowOff>
    </xdr:to>
    <xdr:sp macro="" textlink="Controle_des_données!B19">
      <xdr:nvSpPr>
        <xdr:cNvPr id="114" name="ZoneTexte 113">
          <a:extLst>
            <a:ext uri="{FF2B5EF4-FFF2-40B4-BE49-F238E27FC236}">
              <a16:creationId xmlns:a16="http://schemas.microsoft.com/office/drawing/2014/main" id="{00000000-0008-0000-0700-000072000000}"/>
            </a:ext>
          </a:extLst>
        </xdr:cNvPr>
        <xdr:cNvSpPr txBox="1"/>
      </xdr:nvSpPr>
      <xdr:spPr>
        <a:xfrm>
          <a:off x="3895725" y="1341792"/>
          <a:ext cx="1186562" cy="2399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36D9B805-14ED-447A-B37B-84C854AB57E8}" type="TxLink">
            <a:rPr lang="en-US" sz="1100" b="0" i="0" u="none" strike="noStrike">
              <a:solidFill>
                <a:srgbClr val="000000"/>
              </a:solidFill>
              <a:latin typeface="Calibri"/>
              <a:cs typeface="Calibri"/>
            </a:rPr>
            <a:pPr algn="ctr"/>
            <a:t>50,0 kWh/m².an</a:t>
          </a:fld>
          <a:endParaRPr lang="fr-FR" sz="7200" b="1"/>
        </a:p>
      </xdr:txBody>
    </xdr:sp>
    <xdr:clientData/>
  </xdr:twoCellAnchor>
  <xdr:twoCellAnchor>
    <xdr:from>
      <xdr:col>3</xdr:col>
      <xdr:colOff>40508</xdr:colOff>
      <xdr:row>3</xdr:row>
      <xdr:rowOff>164790</xdr:rowOff>
    </xdr:from>
    <xdr:to>
      <xdr:col>4</xdr:col>
      <xdr:colOff>495300</xdr:colOff>
      <xdr:row>5</xdr:row>
      <xdr:rowOff>65624</xdr:rowOff>
    </xdr:to>
    <xdr:sp macro="" textlink="Calcul_Bilan_Energie!N22">
      <xdr:nvSpPr>
        <xdr:cNvPr id="109" name="ZoneTexte 108">
          <a:extLst>
            <a:ext uri="{FF2B5EF4-FFF2-40B4-BE49-F238E27FC236}">
              <a16:creationId xmlns:a16="http://schemas.microsoft.com/office/drawing/2014/main" id="{00000000-0008-0000-0700-00006D000000}"/>
            </a:ext>
          </a:extLst>
        </xdr:cNvPr>
        <xdr:cNvSpPr txBox="1"/>
      </xdr:nvSpPr>
      <xdr:spPr>
        <a:xfrm>
          <a:off x="2326508" y="736290"/>
          <a:ext cx="1216792" cy="2818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78754189-361C-4BD3-9C50-128B04FBFD70}" type="TxLink">
            <a:rPr lang="en-US" sz="1100" b="0" i="0" u="none" strike="noStrike">
              <a:solidFill>
                <a:srgbClr val="000000"/>
              </a:solidFill>
              <a:latin typeface="Calibri"/>
              <a:cs typeface="Calibri"/>
            </a:rPr>
            <a:pPr algn="ctr"/>
            <a:t>#DIV/0!</a:t>
          </a:fld>
          <a:endParaRPr lang="fr-FR" sz="7200" b="1"/>
        </a:p>
      </xdr:txBody>
    </xdr:sp>
    <xdr:clientData/>
  </xdr:twoCellAnchor>
  <xdr:twoCellAnchor>
    <xdr:from>
      <xdr:col>4</xdr:col>
      <xdr:colOff>531272</xdr:colOff>
      <xdr:row>3</xdr:row>
      <xdr:rowOff>164790</xdr:rowOff>
    </xdr:from>
    <xdr:to>
      <xdr:col>7</xdr:col>
      <xdr:colOff>64741</xdr:colOff>
      <xdr:row>5</xdr:row>
      <xdr:rowOff>65624</xdr:rowOff>
    </xdr:to>
    <xdr:sp macro="" textlink="Controle_des_données!B18">
      <xdr:nvSpPr>
        <xdr:cNvPr id="110" name="ZoneTexte 109">
          <a:extLst>
            <a:ext uri="{FF2B5EF4-FFF2-40B4-BE49-F238E27FC236}">
              <a16:creationId xmlns:a16="http://schemas.microsoft.com/office/drawing/2014/main" id="{00000000-0008-0000-0700-00006E000000}"/>
            </a:ext>
          </a:extLst>
        </xdr:cNvPr>
        <xdr:cNvSpPr txBox="1"/>
      </xdr:nvSpPr>
      <xdr:spPr>
        <a:xfrm>
          <a:off x="3579272" y="736290"/>
          <a:ext cx="1819469" cy="281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E9ACB5FE-0082-46E3-83C8-00D026C47735}" type="TxLink">
            <a:rPr lang="en-US" sz="1100" b="0" i="0" u="none" strike="noStrike">
              <a:solidFill>
                <a:srgbClr val="000000"/>
              </a:solidFill>
              <a:latin typeface="Calibri"/>
              <a:cs typeface="Calibri"/>
            </a:rPr>
            <a:pPr algn="ctr"/>
            <a:t>117,0 kWh/m².an</a:t>
          </a:fld>
          <a:endParaRPr lang="fr-FR" sz="7200" b="1"/>
        </a:p>
      </xdr:txBody>
    </xdr:sp>
    <xdr:clientData/>
  </xdr:twoCellAnchor>
  <xdr:twoCellAnchor>
    <xdr:from>
      <xdr:col>1</xdr:col>
      <xdr:colOff>561975</xdr:colOff>
      <xdr:row>3</xdr:row>
      <xdr:rowOff>154123</xdr:rowOff>
    </xdr:from>
    <xdr:to>
      <xdr:col>2</xdr:col>
      <xdr:colOff>732024</xdr:colOff>
      <xdr:row>5</xdr:row>
      <xdr:rowOff>76292</xdr:rowOff>
    </xdr:to>
    <xdr:sp macro="" textlink="">
      <xdr:nvSpPr>
        <xdr:cNvPr id="111" name="ZoneTexte 110">
          <a:extLst>
            <a:ext uri="{FF2B5EF4-FFF2-40B4-BE49-F238E27FC236}">
              <a16:creationId xmlns:a16="http://schemas.microsoft.com/office/drawing/2014/main" id="{00000000-0008-0000-0700-00006F000000}"/>
            </a:ext>
          </a:extLst>
        </xdr:cNvPr>
        <xdr:cNvSpPr txBox="1"/>
      </xdr:nvSpPr>
      <xdr:spPr>
        <a:xfrm>
          <a:off x="1323975" y="725623"/>
          <a:ext cx="932049" cy="3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200" b="1"/>
            <a:t>Thermique</a:t>
          </a:r>
        </a:p>
      </xdr:txBody>
    </xdr:sp>
    <xdr:clientData/>
  </xdr:twoCellAnchor>
  <xdr:twoCellAnchor>
    <xdr:from>
      <xdr:col>3</xdr:col>
      <xdr:colOff>57149</xdr:colOff>
      <xdr:row>9</xdr:row>
      <xdr:rowOff>85591</xdr:rowOff>
    </xdr:from>
    <xdr:to>
      <xdr:col>4</xdr:col>
      <xdr:colOff>478659</xdr:colOff>
      <xdr:row>10</xdr:row>
      <xdr:rowOff>176925</xdr:rowOff>
    </xdr:to>
    <xdr:sp macro="" textlink="Calcul_Bilan_Energie!N28">
      <xdr:nvSpPr>
        <xdr:cNvPr id="106" name="ZoneTexte 105">
          <a:extLst>
            <a:ext uri="{FF2B5EF4-FFF2-40B4-BE49-F238E27FC236}">
              <a16:creationId xmlns:a16="http://schemas.microsoft.com/office/drawing/2014/main" id="{00000000-0008-0000-0700-00006A000000}"/>
            </a:ext>
          </a:extLst>
        </xdr:cNvPr>
        <xdr:cNvSpPr txBox="1"/>
      </xdr:nvSpPr>
      <xdr:spPr>
        <a:xfrm>
          <a:off x="2343149" y="1800091"/>
          <a:ext cx="1183510" cy="2818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85AE0728-A897-494D-B314-75A49E40A50E}" type="TxLink">
            <a:rPr lang="en-US" sz="1100" b="0" i="0" u="none" strike="noStrike">
              <a:solidFill>
                <a:srgbClr val="000000"/>
              </a:solidFill>
              <a:latin typeface="Calibri"/>
              <a:cs typeface="Calibri"/>
            </a:rPr>
            <a:pPr algn="ctr"/>
            <a:t>#DIV/0!</a:t>
          </a:fld>
          <a:endParaRPr lang="fr-FR" sz="7200" b="1"/>
        </a:p>
      </xdr:txBody>
    </xdr:sp>
    <xdr:clientData/>
  </xdr:twoCellAnchor>
  <xdr:twoCellAnchor>
    <xdr:from>
      <xdr:col>5</xdr:col>
      <xdr:colOff>0</xdr:colOff>
      <xdr:row>9</xdr:row>
      <xdr:rowOff>85591</xdr:rowOff>
    </xdr:from>
    <xdr:to>
      <xdr:col>6</xdr:col>
      <xdr:colOff>596012</xdr:colOff>
      <xdr:row>10</xdr:row>
      <xdr:rowOff>176925</xdr:rowOff>
    </xdr:to>
    <xdr:sp macro="" textlink="Controle_des_données!B20">
      <xdr:nvSpPr>
        <xdr:cNvPr id="107" name="ZoneTexte 106">
          <a:extLst>
            <a:ext uri="{FF2B5EF4-FFF2-40B4-BE49-F238E27FC236}">
              <a16:creationId xmlns:a16="http://schemas.microsoft.com/office/drawing/2014/main" id="{00000000-0008-0000-0700-00006B000000}"/>
            </a:ext>
          </a:extLst>
        </xdr:cNvPr>
        <xdr:cNvSpPr txBox="1"/>
      </xdr:nvSpPr>
      <xdr:spPr>
        <a:xfrm>
          <a:off x="3810000" y="1800091"/>
          <a:ext cx="1358012" cy="2818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93823111-8461-413D-9301-C9F8E5BE0381}" type="TxLink">
            <a:rPr lang="en-US" sz="1100" b="0" i="0" u="none" strike="noStrike">
              <a:solidFill>
                <a:srgbClr val="000000"/>
              </a:solidFill>
              <a:latin typeface="Calibri"/>
              <a:cs typeface="Calibri"/>
            </a:rPr>
            <a:pPr algn="ctr"/>
            <a:t>167,0 kWh/m².an</a:t>
          </a:fld>
          <a:endParaRPr lang="fr-FR" sz="7200" b="1"/>
        </a:p>
      </xdr:txBody>
    </xdr:sp>
    <xdr:clientData/>
  </xdr:twoCellAnchor>
  <xdr:twoCellAnchor>
    <xdr:from>
      <xdr:col>1</xdr:col>
      <xdr:colOff>457200</xdr:colOff>
      <xdr:row>9</xdr:row>
      <xdr:rowOff>74924</xdr:rowOff>
    </xdr:from>
    <xdr:to>
      <xdr:col>2</xdr:col>
      <xdr:colOff>732023</xdr:colOff>
      <xdr:row>10</xdr:row>
      <xdr:rowOff>187593</xdr:rowOff>
    </xdr:to>
    <xdr:sp macro="" textlink="">
      <xdr:nvSpPr>
        <xdr:cNvPr id="108" name="ZoneTexte 107">
          <a:extLst>
            <a:ext uri="{FF2B5EF4-FFF2-40B4-BE49-F238E27FC236}">
              <a16:creationId xmlns:a16="http://schemas.microsoft.com/office/drawing/2014/main" id="{00000000-0008-0000-0700-00006C000000}"/>
            </a:ext>
          </a:extLst>
        </xdr:cNvPr>
        <xdr:cNvSpPr txBox="1"/>
      </xdr:nvSpPr>
      <xdr:spPr>
        <a:xfrm>
          <a:off x="1219200" y="1789424"/>
          <a:ext cx="1036823" cy="3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200" b="1"/>
            <a:t>Total Energie</a:t>
          </a:r>
        </a:p>
      </xdr:txBody>
    </xdr:sp>
    <xdr:clientData/>
  </xdr:twoCellAnchor>
  <xdr:twoCellAnchor>
    <xdr:from>
      <xdr:col>4</xdr:col>
      <xdr:colOff>619150</xdr:colOff>
      <xdr:row>3</xdr:row>
      <xdr:rowOff>142875</xdr:rowOff>
    </xdr:from>
    <xdr:to>
      <xdr:col>4</xdr:col>
      <xdr:colOff>619150</xdr:colOff>
      <xdr:row>13</xdr:row>
      <xdr:rowOff>152400</xdr:rowOff>
    </xdr:to>
    <xdr:cxnSp macro="">
      <xdr:nvCxnSpPr>
        <xdr:cNvPr id="101" name="Connecteur droit 100">
          <a:extLst>
            <a:ext uri="{FF2B5EF4-FFF2-40B4-BE49-F238E27FC236}">
              <a16:creationId xmlns:a16="http://schemas.microsoft.com/office/drawing/2014/main" id="{00000000-0008-0000-0700-000065000000}"/>
            </a:ext>
          </a:extLst>
        </xdr:cNvPr>
        <xdr:cNvCxnSpPr/>
      </xdr:nvCxnSpPr>
      <xdr:spPr>
        <a:xfrm>
          <a:off x="3667150" y="714375"/>
          <a:ext cx="0" cy="1914525"/>
        </a:xfrm>
        <a:prstGeom prst="line">
          <a:avLst/>
        </a:prstGeom>
        <a:ln w="12700"/>
      </xdr:spPr>
      <xdr:style>
        <a:lnRef idx="1">
          <a:schemeClr val="accent3"/>
        </a:lnRef>
        <a:fillRef idx="0">
          <a:schemeClr val="accent3"/>
        </a:fillRef>
        <a:effectRef idx="0">
          <a:schemeClr val="accent3"/>
        </a:effectRef>
        <a:fontRef idx="minor">
          <a:schemeClr val="tx1"/>
        </a:fontRef>
      </xdr:style>
    </xdr:cxnSp>
    <xdr:clientData/>
  </xdr:twoCellAnchor>
  <xdr:twoCellAnchor>
    <xdr:from>
      <xdr:col>3</xdr:col>
      <xdr:colOff>2542</xdr:colOff>
      <xdr:row>11</xdr:row>
      <xdr:rowOff>17703</xdr:rowOff>
    </xdr:from>
    <xdr:to>
      <xdr:col>4</xdr:col>
      <xdr:colOff>533266</xdr:colOff>
      <xdr:row>12</xdr:row>
      <xdr:rowOff>109037</xdr:rowOff>
    </xdr:to>
    <xdr:sp macro="" textlink="Calcul_Bilan_Energie!N32">
      <xdr:nvSpPr>
        <xdr:cNvPr id="103" name="ZoneTexte 102">
          <a:extLst>
            <a:ext uri="{FF2B5EF4-FFF2-40B4-BE49-F238E27FC236}">
              <a16:creationId xmlns:a16="http://schemas.microsoft.com/office/drawing/2014/main" id="{00000000-0008-0000-0700-000067000000}"/>
            </a:ext>
          </a:extLst>
        </xdr:cNvPr>
        <xdr:cNvSpPr txBox="1"/>
      </xdr:nvSpPr>
      <xdr:spPr>
        <a:xfrm>
          <a:off x="2288542" y="2113203"/>
          <a:ext cx="1292724" cy="281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AF8ECF3-F354-44F8-A0DA-0B763141314A}" type="TxLink">
            <a:rPr lang="en-US" sz="1100" b="0" i="0" u="none" strike="noStrike">
              <a:solidFill>
                <a:srgbClr val="000000"/>
              </a:solidFill>
              <a:latin typeface="Calibri"/>
              <a:cs typeface="Calibri"/>
            </a:rPr>
            <a:pPr algn="ctr"/>
            <a:t>N/A</a:t>
          </a:fld>
          <a:endParaRPr lang="fr-FR" sz="7200" b="1"/>
        </a:p>
      </xdr:txBody>
    </xdr:sp>
    <xdr:clientData/>
  </xdr:twoCellAnchor>
  <xdr:twoCellAnchor>
    <xdr:from>
      <xdr:col>4</xdr:col>
      <xdr:colOff>647567</xdr:colOff>
      <xdr:row>11</xdr:row>
      <xdr:rowOff>17703</xdr:rowOff>
    </xdr:from>
    <xdr:to>
      <xdr:col>6</xdr:col>
      <xdr:colOff>710445</xdr:colOff>
      <xdr:row>12</xdr:row>
      <xdr:rowOff>109037</xdr:rowOff>
    </xdr:to>
    <xdr:sp macro="" textlink="Controle_des_données!B23">
      <xdr:nvSpPr>
        <xdr:cNvPr id="104" name="ZoneTexte 103">
          <a:extLst>
            <a:ext uri="{FF2B5EF4-FFF2-40B4-BE49-F238E27FC236}">
              <a16:creationId xmlns:a16="http://schemas.microsoft.com/office/drawing/2014/main" id="{00000000-0008-0000-0700-000068000000}"/>
            </a:ext>
          </a:extLst>
        </xdr:cNvPr>
        <xdr:cNvSpPr txBox="1"/>
      </xdr:nvSpPr>
      <xdr:spPr>
        <a:xfrm>
          <a:off x="3695567" y="2113203"/>
          <a:ext cx="1586878" cy="281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5FF40CCD-A993-441E-873B-037106EEE113}" type="TxLink">
            <a:rPr lang="en-US" sz="1100" b="0" i="0" u="none" strike="noStrike">
              <a:solidFill>
                <a:srgbClr val="000000"/>
              </a:solidFill>
              <a:latin typeface="Calibri"/>
              <a:cs typeface="Calibri"/>
            </a:rPr>
            <a:pPr algn="ctr"/>
            <a:t>140,0 l/j.Usager</a:t>
          </a:fld>
          <a:endParaRPr lang="fr-FR" sz="7200" b="1"/>
        </a:p>
      </xdr:txBody>
    </xdr:sp>
    <xdr:clientData/>
  </xdr:twoCellAnchor>
  <xdr:twoCellAnchor>
    <xdr:from>
      <xdr:col>1</xdr:col>
      <xdr:colOff>322500</xdr:colOff>
      <xdr:row>11</xdr:row>
      <xdr:rowOff>7036</xdr:rowOff>
    </xdr:from>
    <xdr:to>
      <xdr:col>2</xdr:col>
      <xdr:colOff>732024</xdr:colOff>
      <xdr:row>12</xdr:row>
      <xdr:rowOff>119705</xdr:rowOff>
    </xdr:to>
    <xdr:sp macro="" textlink="">
      <xdr:nvSpPr>
        <xdr:cNvPr id="105" name="ZoneTexte 104">
          <a:extLst>
            <a:ext uri="{FF2B5EF4-FFF2-40B4-BE49-F238E27FC236}">
              <a16:creationId xmlns:a16="http://schemas.microsoft.com/office/drawing/2014/main" id="{00000000-0008-0000-0700-000069000000}"/>
            </a:ext>
          </a:extLst>
        </xdr:cNvPr>
        <xdr:cNvSpPr txBox="1"/>
      </xdr:nvSpPr>
      <xdr:spPr>
        <a:xfrm>
          <a:off x="1084500" y="2102536"/>
          <a:ext cx="1171524" cy="3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200" b="1"/>
            <a:t>Eau</a:t>
          </a:r>
        </a:p>
      </xdr:txBody>
    </xdr:sp>
    <xdr:clientData/>
  </xdr:twoCellAnchor>
  <xdr:twoCellAnchor>
    <xdr:from>
      <xdr:col>1</xdr:col>
      <xdr:colOff>718359</xdr:colOff>
      <xdr:row>14</xdr:row>
      <xdr:rowOff>68331</xdr:rowOff>
    </xdr:from>
    <xdr:to>
      <xdr:col>7</xdr:col>
      <xdr:colOff>245131</xdr:colOff>
      <xdr:row>15</xdr:row>
      <xdr:rowOff>89037</xdr:rowOff>
    </xdr:to>
    <xdr:sp macro="" textlink="">
      <xdr:nvSpPr>
        <xdr:cNvPr id="94" name="ZoneTexte 93">
          <a:extLst>
            <a:ext uri="{FF2B5EF4-FFF2-40B4-BE49-F238E27FC236}">
              <a16:creationId xmlns:a16="http://schemas.microsoft.com/office/drawing/2014/main" id="{00000000-0008-0000-0700-00005E000000}"/>
            </a:ext>
          </a:extLst>
        </xdr:cNvPr>
        <xdr:cNvSpPr txBox="1"/>
      </xdr:nvSpPr>
      <xdr:spPr>
        <a:xfrm>
          <a:off x="1480359" y="2735331"/>
          <a:ext cx="4098772" cy="211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800"/>
            <a:t> Chaleur en kWh EF PCI corrigée au DJU  et calculée par</a:t>
          </a:r>
          <a:r>
            <a:rPr lang="fr-FR" sz="800" baseline="0"/>
            <a:t>  m² de plancher chauffé </a:t>
          </a:r>
          <a:endParaRPr lang="fr-FR" sz="800"/>
        </a:p>
      </xdr:txBody>
    </xdr:sp>
    <xdr:clientData/>
  </xdr:twoCellAnchor>
  <xdr:twoCellAnchor>
    <xdr:from>
      <xdr:col>4</xdr:col>
      <xdr:colOff>384714</xdr:colOff>
      <xdr:row>1</xdr:row>
      <xdr:rowOff>99698</xdr:rowOff>
    </xdr:from>
    <xdr:to>
      <xdr:col>7</xdr:col>
      <xdr:colOff>343077</xdr:colOff>
      <xdr:row>4</xdr:row>
      <xdr:rowOff>35201</xdr:rowOff>
    </xdr:to>
    <xdr:sp macro="" textlink="">
      <xdr:nvSpPr>
        <xdr:cNvPr id="93" name="ZoneTexte 92">
          <a:hlinkClick xmlns:r="http://schemas.openxmlformats.org/officeDocument/2006/relationships" r:id="rId8"/>
          <a:extLst>
            <a:ext uri="{FF2B5EF4-FFF2-40B4-BE49-F238E27FC236}">
              <a16:creationId xmlns:a16="http://schemas.microsoft.com/office/drawing/2014/main" id="{00000000-0008-0000-0700-00005D000000}"/>
            </a:ext>
          </a:extLst>
        </xdr:cNvPr>
        <xdr:cNvSpPr txBox="1"/>
      </xdr:nvSpPr>
      <xdr:spPr>
        <a:xfrm>
          <a:off x="3432714" y="290198"/>
          <a:ext cx="2244363" cy="5070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200" b="1"/>
            <a:t>Moyenne régionale</a:t>
          </a:r>
          <a:endParaRPr lang="fr-FR" sz="1200" b="0" i="0" u="none" strike="noStrike">
            <a:solidFill>
              <a:schemeClr val="dk1"/>
            </a:solidFill>
            <a:effectLst/>
            <a:latin typeface="+mn-lt"/>
            <a:ea typeface="+mn-ea"/>
            <a:cs typeface="+mn-cs"/>
          </a:endParaRPr>
        </a:p>
        <a:p>
          <a:pPr algn="ctr"/>
          <a:r>
            <a:rPr lang="fr-FR" sz="800" b="0" i="0" u="none" strike="noStrike">
              <a:solidFill>
                <a:schemeClr val="dk1"/>
              </a:solidFill>
              <a:effectLst/>
              <a:latin typeface="+mn-lt"/>
              <a:ea typeface="+mn-ea"/>
              <a:cs typeface="+mn-cs"/>
            </a:rPr>
            <a:t>(Données 2026, TEO Pays</a:t>
          </a:r>
          <a:r>
            <a:rPr lang="fr-FR" sz="800" b="0" i="0" u="none" strike="noStrike" baseline="0">
              <a:solidFill>
                <a:schemeClr val="dk1"/>
              </a:solidFill>
              <a:effectLst/>
              <a:latin typeface="+mn-lt"/>
              <a:ea typeface="+mn-ea"/>
              <a:cs typeface="+mn-cs"/>
            </a:rPr>
            <a:t> de la Loire)</a:t>
          </a:r>
          <a:endParaRPr lang="fr-FR" sz="1000" b="1"/>
        </a:p>
      </xdr:txBody>
    </xdr:sp>
    <xdr:clientData/>
  </xdr:twoCellAnchor>
  <xdr:twoCellAnchor>
    <xdr:from>
      <xdr:col>5</xdr:col>
      <xdr:colOff>457201</xdr:colOff>
      <xdr:row>17</xdr:row>
      <xdr:rowOff>84172</xdr:rowOff>
    </xdr:from>
    <xdr:to>
      <xdr:col>9</xdr:col>
      <xdr:colOff>173937</xdr:colOff>
      <xdr:row>30</xdr:row>
      <xdr:rowOff>0</xdr:rowOff>
    </xdr:to>
    <xdr:graphicFrame macro="">
      <xdr:nvGraphicFramePr>
        <xdr:cNvPr id="115" name="Graphique 114">
          <a:extLst>
            <a:ext uri="{FF2B5EF4-FFF2-40B4-BE49-F238E27FC236}">
              <a16:creationId xmlns:a16="http://schemas.microsoft.com/office/drawing/2014/main" id="{00000000-0008-0000-07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752064</xdr:colOff>
      <xdr:row>16</xdr:row>
      <xdr:rowOff>166898</xdr:rowOff>
    </xdr:from>
    <xdr:to>
      <xdr:col>8</xdr:col>
      <xdr:colOff>488674</xdr:colOff>
      <xdr:row>18</xdr:row>
      <xdr:rowOff>124394</xdr:rowOff>
    </xdr:to>
    <xdr:sp macro="" textlink="">
      <xdr:nvSpPr>
        <xdr:cNvPr id="116" name="ZoneTexte 115">
          <a:extLst>
            <a:ext uri="{FF2B5EF4-FFF2-40B4-BE49-F238E27FC236}">
              <a16:creationId xmlns:a16="http://schemas.microsoft.com/office/drawing/2014/main" id="{00000000-0008-0000-0700-000074000000}"/>
            </a:ext>
          </a:extLst>
        </xdr:cNvPr>
        <xdr:cNvSpPr txBox="1"/>
      </xdr:nvSpPr>
      <xdr:spPr>
        <a:xfrm>
          <a:off x="4562064" y="3214898"/>
          <a:ext cx="2022610" cy="338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200" b="1" baseline="0"/>
            <a:t>Distribution des usages</a:t>
          </a:r>
          <a:endParaRPr lang="fr-FR" sz="1200" b="1"/>
        </a:p>
      </xdr:txBody>
    </xdr:sp>
    <xdr:clientData/>
  </xdr:twoCellAnchor>
  <xdr:twoCellAnchor>
    <xdr:from>
      <xdr:col>1</xdr:col>
      <xdr:colOff>390525</xdr:colOff>
      <xdr:row>12</xdr:row>
      <xdr:rowOff>64685</xdr:rowOff>
    </xdr:from>
    <xdr:to>
      <xdr:col>3</xdr:col>
      <xdr:colOff>17649</xdr:colOff>
      <xdr:row>13</xdr:row>
      <xdr:rowOff>177354</xdr:rowOff>
    </xdr:to>
    <xdr:sp macro="" textlink="">
      <xdr:nvSpPr>
        <xdr:cNvPr id="79" name="ZoneTexte 78">
          <a:extLst>
            <a:ext uri="{FF2B5EF4-FFF2-40B4-BE49-F238E27FC236}">
              <a16:creationId xmlns:a16="http://schemas.microsoft.com/office/drawing/2014/main" id="{00000000-0008-0000-0700-00004F000000}"/>
            </a:ext>
          </a:extLst>
        </xdr:cNvPr>
        <xdr:cNvSpPr txBox="1"/>
      </xdr:nvSpPr>
      <xdr:spPr>
        <a:xfrm>
          <a:off x="1152525" y="2350685"/>
          <a:ext cx="1151124" cy="3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200" b="1"/>
            <a:t>Surface/usager</a:t>
          </a:r>
        </a:p>
      </xdr:txBody>
    </xdr:sp>
    <xdr:clientData/>
  </xdr:twoCellAnchor>
  <xdr:twoCellAnchor>
    <xdr:from>
      <xdr:col>3</xdr:col>
      <xdr:colOff>108701</xdr:colOff>
      <xdr:row>12</xdr:row>
      <xdr:rowOff>75352</xdr:rowOff>
    </xdr:from>
    <xdr:to>
      <xdr:col>4</xdr:col>
      <xdr:colOff>427107</xdr:colOff>
      <xdr:row>13</xdr:row>
      <xdr:rowOff>166686</xdr:rowOff>
    </xdr:to>
    <xdr:sp macro="" textlink="Calcul_Bilan_Energie!N8">
      <xdr:nvSpPr>
        <xdr:cNvPr id="80" name="ZoneTexte 79">
          <a:extLst>
            <a:ext uri="{FF2B5EF4-FFF2-40B4-BE49-F238E27FC236}">
              <a16:creationId xmlns:a16="http://schemas.microsoft.com/office/drawing/2014/main" id="{00000000-0008-0000-0700-000050000000}"/>
            </a:ext>
          </a:extLst>
        </xdr:cNvPr>
        <xdr:cNvSpPr txBox="1"/>
      </xdr:nvSpPr>
      <xdr:spPr>
        <a:xfrm>
          <a:off x="2394701" y="2361352"/>
          <a:ext cx="1080406" cy="281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5ABEB7D7-F2F3-4A86-BED7-CE91396D80B2}" type="TxLink">
            <a:rPr lang="en-US" sz="1100" b="0" i="0" u="none" strike="noStrike">
              <a:solidFill>
                <a:srgbClr val="000000"/>
              </a:solidFill>
              <a:latin typeface="Calibri"/>
              <a:cs typeface="Calibri"/>
            </a:rPr>
            <a:pPr algn="ctr"/>
            <a:t>0 m²/usager</a:t>
          </a:fld>
          <a:endParaRPr lang="fr-FR" sz="7200" b="1"/>
        </a:p>
      </xdr:txBody>
    </xdr:sp>
    <xdr:clientData/>
  </xdr:twoCellAnchor>
  <xdr:twoCellAnchor>
    <xdr:from>
      <xdr:col>5</xdr:col>
      <xdr:colOff>75671</xdr:colOff>
      <xdr:row>12</xdr:row>
      <xdr:rowOff>75352</xdr:rowOff>
    </xdr:from>
    <xdr:to>
      <xdr:col>6</xdr:col>
      <xdr:colOff>520341</xdr:colOff>
      <xdr:row>13</xdr:row>
      <xdr:rowOff>166686</xdr:rowOff>
    </xdr:to>
    <xdr:sp macro="" textlink="Controle_des_données!B27">
      <xdr:nvSpPr>
        <xdr:cNvPr id="84" name="ZoneTexte 83">
          <a:extLst>
            <a:ext uri="{FF2B5EF4-FFF2-40B4-BE49-F238E27FC236}">
              <a16:creationId xmlns:a16="http://schemas.microsoft.com/office/drawing/2014/main" id="{00000000-0008-0000-0700-000054000000}"/>
            </a:ext>
          </a:extLst>
        </xdr:cNvPr>
        <xdr:cNvSpPr txBox="1"/>
      </xdr:nvSpPr>
      <xdr:spPr>
        <a:xfrm>
          <a:off x="3885671" y="2361352"/>
          <a:ext cx="1206670" cy="281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49810883-5447-4C37-8274-B244F27C5228}" type="TxLink">
            <a:rPr lang="en-US" sz="1100" b="0" i="0" u="none" strike="noStrike">
              <a:solidFill>
                <a:srgbClr val="000000"/>
              </a:solidFill>
              <a:latin typeface="Calibri"/>
              <a:cs typeface="Calibri"/>
            </a:rPr>
            <a:pPr algn="ctr"/>
            <a:t>58 m²/usager</a:t>
          </a:fld>
          <a:endParaRPr lang="fr-FR" sz="7200" b="1"/>
        </a:p>
      </xdr:txBody>
    </xdr:sp>
    <xdr:clientData/>
  </xdr:twoCellAnchor>
  <xdr:twoCellAnchor>
    <xdr:from>
      <xdr:col>0</xdr:col>
      <xdr:colOff>364021</xdr:colOff>
      <xdr:row>31</xdr:row>
      <xdr:rowOff>123825</xdr:rowOff>
    </xdr:from>
    <xdr:to>
      <xdr:col>2</xdr:col>
      <xdr:colOff>647700</xdr:colOff>
      <xdr:row>32</xdr:row>
      <xdr:rowOff>154467</xdr:rowOff>
    </xdr:to>
    <xdr:sp macro="" textlink="">
      <xdr:nvSpPr>
        <xdr:cNvPr id="90" name="ZoneTexte 89">
          <a:extLst>
            <a:ext uri="{FF2B5EF4-FFF2-40B4-BE49-F238E27FC236}">
              <a16:creationId xmlns:a16="http://schemas.microsoft.com/office/drawing/2014/main" id="{00000000-0008-0000-0700-00005A000000}"/>
            </a:ext>
          </a:extLst>
        </xdr:cNvPr>
        <xdr:cNvSpPr txBox="1"/>
      </xdr:nvSpPr>
      <xdr:spPr>
        <a:xfrm>
          <a:off x="364021" y="6029325"/>
          <a:ext cx="1807679" cy="221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800"/>
            <a:t>Données brutes, non corrigées</a:t>
          </a:r>
          <a:r>
            <a:rPr lang="fr-FR" sz="800" baseline="0"/>
            <a:t> du DJU</a:t>
          </a:r>
          <a:endParaRPr lang="fr-FR" sz="800"/>
        </a:p>
      </xdr:txBody>
    </xdr:sp>
    <xdr:clientData/>
  </xdr:twoCellAnchor>
  <xdr:twoCellAnchor editAs="oneCell">
    <xdr:from>
      <xdr:col>0</xdr:col>
      <xdr:colOff>28574</xdr:colOff>
      <xdr:row>1</xdr:row>
      <xdr:rowOff>114301</xdr:rowOff>
    </xdr:from>
    <xdr:to>
      <xdr:col>1</xdr:col>
      <xdr:colOff>342899</xdr:colOff>
      <xdr:row>15</xdr:row>
      <xdr:rowOff>95251</xdr:rowOff>
    </xdr:to>
    <mc:AlternateContent xmlns:mc="http://schemas.openxmlformats.org/markup-compatibility/2006" xmlns:a14="http://schemas.microsoft.com/office/drawing/2010/main">
      <mc:Choice Requires="a14">
        <xdr:graphicFrame macro="">
          <xdr:nvGraphicFramePr>
            <xdr:cNvPr id="117" name="Annee 1">
              <a:extLst>
                <a:ext uri="{FF2B5EF4-FFF2-40B4-BE49-F238E27FC236}">
                  <a16:creationId xmlns:a16="http://schemas.microsoft.com/office/drawing/2014/main" id="{00000000-0008-0000-0700-000075000000}"/>
                </a:ext>
              </a:extLst>
            </xdr:cNvPr>
            <xdr:cNvGraphicFramePr/>
          </xdr:nvGraphicFramePr>
          <xdr:xfrm>
            <a:off x="0" y="0"/>
            <a:ext cx="0" cy="0"/>
          </xdr:xfrm>
          <a:graphic>
            <a:graphicData uri="http://schemas.microsoft.com/office/drawing/2010/slicer">
              <sle:slicer xmlns:sle="http://schemas.microsoft.com/office/drawing/2010/slicer" name="Annee 1"/>
            </a:graphicData>
          </a:graphic>
        </xdr:graphicFrame>
      </mc:Choice>
      <mc:Fallback xmlns="">
        <xdr:sp macro="" textlink="">
          <xdr:nvSpPr>
            <xdr:cNvPr id="0" name=""/>
            <xdr:cNvSpPr>
              <a:spLocks noTextEdit="1"/>
            </xdr:cNvSpPr>
          </xdr:nvSpPr>
          <xdr:spPr>
            <a:xfrm>
              <a:off x="28574" y="600076"/>
              <a:ext cx="1133475" cy="2057400"/>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xdr:from>
      <xdr:col>0</xdr:col>
      <xdr:colOff>0</xdr:colOff>
      <xdr:row>17</xdr:row>
      <xdr:rowOff>9525</xdr:rowOff>
    </xdr:from>
    <xdr:to>
      <xdr:col>3</xdr:col>
      <xdr:colOff>247650</xdr:colOff>
      <xdr:row>32</xdr:row>
      <xdr:rowOff>247649</xdr:rowOff>
    </xdr:to>
    <xdr:graphicFrame macro="">
      <xdr:nvGraphicFramePr>
        <xdr:cNvPr id="118" name="Graphique 117">
          <a:extLst>
            <a:ext uri="{FF2B5EF4-FFF2-40B4-BE49-F238E27FC236}">
              <a16:creationId xmlns:a16="http://schemas.microsoft.com/office/drawing/2014/main" id="{00000000-0008-0000-07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17</xdr:row>
      <xdr:rowOff>57149</xdr:rowOff>
    </xdr:from>
    <xdr:to>
      <xdr:col>6</xdr:col>
      <xdr:colOff>277813</xdr:colOff>
      <xdr:row>32</xdr:row>
      <xdr:rowOff>257174</xdr:rowOff>
    </xdr:to>
    <xdr:graphicFrame macro="">
      <xdr:nvGraphicFramePr>
        <xdr:cNvPr id="77" name="Graphique 76">
          <a:extLst>
            <a:ext uri="{FF2B5EF4-FFF2-40B4-BE49-F238E27FC236}">
              <a16:creationId xmlns:a16="http://schemas.microsoft.com/office/drawing/2014/main" id="{00000000-0008-0000-07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239729</xdr:colOff>
      <xdr:row>17</xdr:row>
      <xdr:rowOff>147327</xdr:rowOff>
    </xdr:from>
    <xdr:to>
      <xdr:col>2</xdr:col>
      <xdr:colOff>630654</xdr:colOff>
      <xdr:row>18</xdr:row>
      <xdr:rowOff>170391</xdr:rowOff>
    </xdr:to>
    <xdr:sp macro="" textlink="Calcul_Bilan_Energie!M10">
      <xdr:nvSpPr>
        <xdr:cNvPr id="75" name="ZoneTexte 74">
          <a:extLst>
            <a:ext uri="{FF2B5EF4-FFF2-40B4-BE49-F238E27FC236}">
              <a16:creationId xmlns:a16="http://schemas.microsoft.com/office/drawing/2014/main" id="{00000000-0008-0000-0700-00004B000000}"/>
            </a:ext>
          </a:extLst>
        </xdr:cNvPr>
        <xdr:cNvSpPr txBox="1"/>
      </xdr:nvSpPr>
      <xdr:spPr>
        <a:xfrm>
          <a:off x="239729" y="3385827"/>
          <a:ext cx="1914925" cy="213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E67C93F0-BB11-449A-A860-74ED8E75E500}" type="TxLink">
            <a:rPr lang="en-US" sz="1200" b="0" i="0" u="none" strike="noStrike">
              <a:solidFill>
                <a:srgbClr val="000000"/>
              </a:solidFill>
              <a:latin typeface="Calibri"/>
              <a:cs typeface="Calibri"/>
            </a:rPr>
            <a:pPr algn="ctr"/>
            <a:t>68,92 MWh [EF PCI]</a:t>
          </a:fld>
          <a:endParaRPr lang="fr-FR" sz="1200" b="1"/>
        </a:p>
      </xdr:txBody>
    </xdr:sp>
    <xdr:clientData/>
  </xdr:twoCellAnchor>
  <xdr:twoCellAnchor>
    <xdr:from>
      <xdr:col>1</xdr:col>
      <xdr:colOff>542925</xdr:colOff>
      <xdr:row>4</xdr:row>
      <xdr:rowOff>170059</xdr:rowOff>
    </xdr:from>
    <xdr:to>
      <xdr:col>2</xdr:col>
      <xdr:colOff>732024</xdr:colOff>
      <xdr:row>6</xdr:row>
      <xdr:rowOff>92228</xdr:rowOff>
    </xdr:to>
    <xdr:sp macro="" textlink="">
      <xdr:nvSpPr>
        <xdr:cNvPr id="119" name="ZoneTexte 118" descr="Le Talon thermique est déduit de votre consommation estivale">
          <a:hlinkClick xmlns:r="http://schemas.openxmlformats.org/officeDocument/2006/relationships" r:id="rId12" tooltip="Le Talon thermique est déduit de votre consommation estivale"/>
          <a:extLst>
            <a:ext uri="{FF2B5EF4-FFF2-40B4-BE49-F238E27FC236}">
              <a16:creationId xmlns:a16="http://schemas.microsoft.com/office/drawing/2014/main" id="{00000000-0008-0000-0700-000077000000}"/>
            </a:ext>
          </a:extLst>
        </xdr:cNvPr>
        <xdr:cNvSpPr txBox="1"/>
      </xdr:nvSpPr>
      <xdr:spPr>
        <a:xfrm>
          <a:off x="1304925" y="932059"/>
          <a:ext cx="951099" cy="3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200" b="1" i="1"/>
            <a:t>Talon</a:t>
          </a:r>
          <a:r>
            <a:rPr lang="fr-FR" sz="1200" b="1" i="0" baseline="30000"/>
            <a:t>ℹ️</a:t>
          </a:r>
        </a:p>
      </xdr:txBody>
    </xdr:sp>
    <xdr:clientData/>
  </xdr:twoCellAnchor>
  <xdr:twoCellAnchor>
    <xdr:from>
      <xdr:col>2</xdr:col>
      <xdr:colOff>133350</xdr:colOff>
      <xdr:row>6</xdr:row>
      <xdr:rowOff>95303</xdr:rowOff>
    </xdr:from>
    <xdr:to>
      <xdr:col>6</xdr:col>
      <xdr:colOff>504825</xdr:colOff>
      <xdr:row>6</xdr:row>
      <xdr:rowOff>95303</xdr:rowOff>
    </xdr:to>
    <xdr:cxnSp macro="">
      <xdr:nvCxnSpPr>
        <xdr:cNvPr id="120" name="Connecteur droit 119">
          <a:extLst>
            <a:ext uri="{FF2B5EF4-FFF2-40B4-BE49-F238E27FC236}">
              <a16:creationId xmlns:a16="http://schemas.microsoft.com/office/drawing/2014/main" id="{00000000-0008-0000-0700-000078000000}"/>
            </a:ext>
          </a:extLst>
        </xdr:cNvPr>
        <xdr:cNvCxnSpPr/>
      </xdr:nvCxnSpPr>
      <xdr:spPr>
        <a:xfrm flipH="1" flipV="1">
          <a:off x="1657350" y="1238303"/>
          <a:ext cx="3419475" cy="0"/>
        </a:xfrm>
        <a:prstGeom prst="line">
          <a:avLst/>
        </a:prstGeom>
        <a:ln w="12700"/>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142875</xdr:colOff>
      <xdr:row>9</xdr:row>
      <xdr:rowOff>85778</xdr:rowOff>
    </xdr:from>
    <xdr:to>
      <xdr:col>6</xdr:col>
      <xdr:colOff>514350</xdr:colOff>
      <xdr:row>9</xdr:row>
      <xdr:rowOff>85778</xdr:rowOff>
    </xdr:to>
    <xdr:cxnSp macro="">
      <xdr:nvCxnSpPr>
        <xdr:cNvPr id="121" name="Connecteur droit 120">
          <a:extLst>
            <a:ext uri="{FF2B5EF4-FFF2-40B4-BE49-F238E27FC236}">
              <a16:creationId xmlns:a16="http://schemas.microsoft.com/office/drawing/2014/main" id="{00000000-0008-0000-0700-000079000000}"/>
            </a:ext>
          </a:extLst>
        </xdr:cNvPr>
        <xdr:cNvCxnSpPr/>
      </xdr:nvCxnSpPr>
      <xdr:spPr>
        <a:xfrm flipH="1" flipV="1">
          <a:off x="1666875" y="1800278"/>
          <a:ext cx="3419475" cy="0"/>
        </a:xfrm>
        <a:prstGeom prst="line">
          <a:avLst/>
        </a:prstGeom>
        <a:ln w="12700"/>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95250</xdr:colOff>
      <xdr:row>11</xdr:row>
      <xdr:rowOff>19103</xdr:rowOff>
    </xdr:from>
    <xdr:to>
      <xdr:col>6</xdr:col>
      <xdr:colOff>466725</xdr:colOff>
      <xdr:row>11</xdr:row>
      <xdr:rowOff>19103</xdr:rowOff>
    </xdr:to>
    <xdr:cxnSp macro="">
      <xdr:nvCxnSpPr>
        <xdr:cNvPr id="122" name="Connecteur droit 121">
          <a:extLst>
            <a:ext uri="{FF2B5EF4-FFF2-40B4-BE49-F238E27FC236}">
              <a16:creationId xmlns:a16="http://schemas.microsoft.com/office/drawing/2014/main" id="{00000000-0008-0000-0700-00007A000000}"/>
            </a:ext>
          </a:extLst>
        </xdr:cNvPr>
        <xdr:cNvCxnSpPr/>
      </xdr:nvCxnSpPr>
      <xdr:spPr>
        <a:xfrm flipH="1" flipV="1">
          <a:off x="1619250" y="2114603"/>
          <a:ext cx="3419475" cy="0"/>
        </a:xfrm>
        <a:prstGeom prst="line">
          <a:avLst/>
        </a:prstGeom>
        <a:ln w="12700"/>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561975</xdr:colOff>
      <xdr:row>8</xdr:row>
      <xdr:rowOff>8134</xdr:rowOff>
    </xdr:from>
    <xdr:to>
      <xdr:col>2</xdr:col>
      <xdr:colOff>732024</xdr:colOff>
      <xdr:row>9</xdr:row>
      <xdr:rowOff>120803</xdr:rowOff>
    </xdr:to>
    <xdr:sp macro="" textlink="">
      <xdr:nvSpPr>
        <xdr:cNvPr id="123" name="ZoneTexte 122">
          <a:extLst>
            <a:ext uri="{FF2B5EF4-FFF2-40B4-BE49-F238E27FC236}">
              <a16:creationId xmlns:a16="http://schemas.microsoft.com/office/drawing/2014/main" id="{00000000-0008-0000-0700-00007B000000}"/>
            </a:ext>
          </a:extLst>
        </xdr:cNvPr>
        <xdr:cNvSpPr txBox="1"/>
      </xdr:nvSpPr>
      <xdr:spPr>
        <a:xfrm>
          <a:off x="1323975" y="1532134"/>
          <a:ext cx="932049" cy="3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200" b="1" i="1"/>
            <a:t>Talon</a:t>
          </a:r>
          <a:r>
            <a:rPr lang="fr-FR" sz="1200" b="1" i="0" baseline="30000"/>
            <a:t>ℹ️</a:t>
          </a:r>
        </a:p>
      </xdr:txBody>
    </xdr:sp>
    <xdr:clientData/>
  </xdr:twoCellAnchor>
  <xdr:twoCellAnchor>
    <xdr:from>
      <xdr:col>2</xdr:col>
      <xdr:colOff>123825</xdr:colOff>
      <xdr:row>13</xdr:row>
      <xdr:rowOff>161978</xdr:rowOff>
    </xdr:from>
    <xdr:to>
      <xdr:col>6</xdr:col>
      <xdr:colOff>495300</xdr:colOff>
      <xdr:row>13</xdr:row>
      <xdr:rowOff>161978</xdr:rowOff>
    </xdr:to>
    <xdr:cxnSp macro="">
      <xdr:nvCxnSpPr>
        <xdr:cNvPr id="124" name="Connecteur droit 123">
          <a:extLst>
            <a:ext uri="{FF2B5EF4-FFF2-40B4-BE49-F238E27FC236}">
              <a16:creationId xmlns:a16="http://schemas.microsoft.com/office/drawing/2014/main" id="{00000000-0008-0000-0700-00007C000000}"/>
            </a:ext>
          </a:extLst>
        </xdr:cNvPr>
        <xdr:cNvCxnSpPr/>
      </xdr:nvCxnSpPr>
      <xdr:spPr>
        <a:xfrm flipH="1" flipV="1">
          <a:off x="1647825" y="2638478"/>
          <a:ext cx="3419475" cy="0"/>
        </a:xfrm>
        <a:prstGeom prst="line">
          <a:avLst/>
        </a:prstGeom>
        <a:ln w="12700"/>
      </xdr:spPr>
      <xdr:style>
        <a:lnRef idx="1">
          <a:schemeClr val="accent3"/>
        </a:lnRef>
        <a:fillRef idx="0">
          <a:schemeClr val="accent3"/>
        </a:fillRef>
        <a:effectRef idx="0">
          <a:schemeClr val="accent3"/>
        </a:effectRef>
        <a:fontRef idx="minor">
          <a:schemeClr val="tx1"/>
        </a:fontRef>
      </xdr:style>
    </xdr:cxnSp>
    <xdr:clientData/>
  </xdr:twoCellAnchor>
  <xdr:twoCellAnchor>
    <xdr:from>
      <xdr:col>3</xdr:col>
      <xdr:colOff>30983</xdr:colOff>
      <xdr:row>4</xdr:row>
      <xdr:rowOff>180726</xdr:rowOff>
    </xdr:from>
    <xdr:to>
      <xdr:col>4</xdr:col>
      <xdr:colOff>504825</xdr:colOff>
      <xdr:row>6</xdr:row>
      <xdr:rowOff>81560</xdr:rowOff>
    </xdr:to>
    <xdr:sp macro="" textlink="Calcul_Bilan_Energie!P22">
      <xdr:nvSpPr>
        <xdr:cNvPr id="125" name="ZoneTexte 124">
          <a:extLst>
            <a:ext uri="{FF2B5EF4-FFF2-40B4-BE49-F238E27FC236}">
              <a16:creationId xmlns:a16="http://schemas.microsoft.com/office/drawing/2014/main" id="{00000000-0008-0000-0700-00007D000000}"/>
            </a:ext>
          </a:extLst>
        </xdr:cNvPr>
        <xdr:cNvSpPr txBox="1"/>
      </xdr:nvSpPr>
      <xdr:spPr>
        <a:xfrm>
          <a:off x="2316983" y="942726"/>
          <a:ext cx="1235842" cy="281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42EFEE5-4EEB-4EAB-810F-37CE48160693}" type="TxLink">
            <a:rPr lang="en-US" sz="1100" b="0" i="0" u="none" strike="noStrike">
              <a:solidFill>
                <a:srgbClr val="000000"/>
              </a:solidFill>
              <a:latin typeface="Calibri"/>
              <a:ea typeface="Calibri"/>
              <a:cs typeface="Calibri"/>
            </a:rPr>
            <a:pPr algn="ctr"/>
            <a:t>N/A</a:t>
          </a:fld>
          <a:endParaRPr lang="fr-FR" sz="7200" b="1"/>
        </a:p>
      </xdr:txBody>
    </xdr:sp>
    <xdr:clientData/>
  </xdr:twoCellAnchor>
  <xdr:twoCellAnchor>
    <xdr:from>
      <xdr:col>3</xdr:col>
      <xdr:colOff>145283</xdr:colOff>
      <xdr:row>8</xdr:row>
      <xdr:rowOff>18801</xdr:rowOff>
    </xdr:from>
    <xdr:to>
      <xdr:col>4</xdr:col>
      <xdr:colOff>390525</xdr:colOff>
      <xdr:row>9</xdr:row>
      <xdr:rowOff>110135</xdr:rowOff>
    </xdr:to>
    <xdr:sp macro="" textlink="Calcul_Bilan_Energie!P27">
      <xdr:nvSpPr>
        <xdr:cNvPr id="126" name="ZoneTexte 125">
          <a:extLst>
            <a:ext uri="{FF2B5EF4-FFF2-40B4-BE49-F238E27FC236}">
              <a16:creationId xmlns:a16="http://schemas.microsoft.com/office/drawing/2014/main" id="{00000000-0008-0000-0700-00007E000000}"/>
            </a:ext>
          </a:extLst>
        </xdr:cNvPr>
        <xdr:cNvSpPr txBox="1"/>
      </xdr:nvSpPr>
      <xdr:spPr>
        <a:xfrm>
          <a:off x="2431283" y="1542801"/>
          <a:ext cx="1007242" cy="281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827FEEE-1CB7-45AA-B943-85426DC1DDAA}" type="TxLink">
            <a:rPr lang="en-US" sz="1100" b="0" i="0" u="none" strike="noStrike">
              <a:solidFill>
                <a:srgbClr val="000000"/>
              </a:solidFill>
              <a:latin typeface="Calibri"/>
              <a:ea typeface="Calibri"/>
              <a:cs typeface="Calibri"/>
            </a:rPr>
            <a:pPr algn="ctr"/>
            <a:t>#DIV/0!</a:t>
          </a:fld>
          <a:endParaRPr lang="fr-FR" sz="7200" b="1"/>
        </a:p>
      </xdr:txBody>
    </xdr:sp>
    <xdr:clientData/>
  </xdr:twoCellAnchor>
  <xdr:twoCellAnchor>
    <xdr:from>
      <xdr:col>5</xdr:col>
      <xdr:colOff>39627</xdr:colOff>
      <xdr:row>4</xdr:row>
      <xdr:rowOff>180726</xdr:rowOff>
    </xdr:from>
    <xdr:to>
      <xdr:col>6</xdr:col>
      <xdr:colOff>556385</xdr:colOff>
      <xdr:row>6</xdr:row>
      <xdr:rowOff>81560</xdr:rowOff>
    </xdr:to>
    <xdr:sp macro="" textlink="Controle_des_données!B29">
      <xdr:nvSpPr>
        <xdr:cNvPr id="127" name="ZoneTexte 126">
          <a:extLst>
            <a:ext uri="{FF2B5EF4-FFF2-40B4-BE49-F238E27FC236}">
              <a16:creationId xmlns:a16="http://schemas.microsoft.com/office/drawing/2014/main" id="{00000000-0008-0000-0700-00007F000000}"/>
            </a:ext>
          </a:extLst>
        </xdr:cNvPr>
        <xdr:cNvSpPr txBox="1"/>
      </xdr:nvSpPr>
      <xdr:spPr>
        <a:xfrm>
          <a:off x="3849627" y="942726"/>
          <a:ext cx="1278758" cy="281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3E920AF9-6DB4-4EAC-B74A-701CA254F8A8}" type="TxLink">
            <a:rPr lang="en-US" sz="1100" b="0" i="0" u="none" strike="noStrike">
              <a:solidFill>
                <a:srgbClr val="000000"/>
              </a:solidFill>
              <a:latin typeface="Calibri"/>
              <a:ea typeface="Calibri"/>
              <a:cs typeface="Calibri"/>
            </a:rPr>
            <a:pPr algn="ctr"/>
            <a:t>3,6 kWh/mois.m²</a:t>
          </a:fld>
          <a:endParaRPr lang="fr-FR" sz="7200" b="1"/>
        </a:p>
      </xdr:txBody>
    </xdr:sp>
    <xdr:clientData/>
  </xdr:twoCellAnchor>
  <xdr:twoCellAnchor>
    <xdr:from>
      <xdr:col>5</xdr:col>
      <xdr:colOff>230127</xdr:colOff>
      <xdr:row>8</xdr:row>
      <xdr:rowOff>18801</xdr:rowOff>
    </xdr:from>
    <xdr:to>
      <xdr:col>6</xdr:col>
      <xdr:colOff>365885</xdr:colOff>
      <xdr:row>9</xdr:row>
      <xdr:rowOff>110135</xdr:rowOff>
    </xdr:to>
    <xdr:sp macro="" textlink="Controle_des_données!B28">
      <xdr:nvSpPr>
        <xdr:cNvPr id="128" name="ZoneTexte 127">
          <a:extLst>
            <a:ext uri="{FF2B5EF4-FFF2-40B4-BE49-F238E27FC236}">
              <a16:creationId xmlns:a16="http://schemas.microsoft.com/office/drawing/2014/main" id="{00000000-0008-0000-0700-000080000000}"/>
            </a:ext>
          </a:extLst>
        </xdr:cNvPr>
        <xdr:cNvSpPr txBox="1"/>
      </xdr:nvSpPr>
      <xdr:spPr>
        <a:xfrm>
          <a:off x="4040127" y="1542801"/>
          <a:ext cx="897758" cy="281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DC3453D-A28D-429A-9BA1-BA6857A2E95E}" type="TxLink">
            <a:rPr lang="en-US" sz="1100" b="0" i="0" u="none" strike="noStrike">
              <a:solidFill>
                <a:srgbClr val="000000"/>
              </a:solidFill>
              <a:latin typeface="Calibri"/>
              <a:ea typeface="Calibri"/>
              <a:cs typeface="Calibri"/>
            </a:rPr>
            <a:pPr algn="ctr"/>
            <a:t>3,7 W/m²</a:t>
          </a:fld>
          <a:endParaRPr lang="fr-FR" sz="7200" b="1"/>
        </a:p>
      </xdr:txBody>
    </xdr:sp>
    <xdr:clientData/>
  </xdr:twoCellAnchor>
  <xdr:twoCellAnchor>
    <xdr:from>
      <xdr:col>7</xdr:col>
      <xdr:colOff>142876</xdr:colOff>
      <xdr:row>30</xdr:row>
      <xdr:rowOff>76200</xdr:rowOff>
    </xdr:from>
    <xdr:to>
      <xdr:col>8</xdr:col>
      <xdr:colOff>371476</xdr:colOff>
      <xdr:row>32</xdr:row>
      <xdr:rowOff>53068</xdr:rowOff>
    </xdr:to>
    <xdr:sp macro="" textlink="">
      <xdr:nvSpPr>
        <xdr:cNvPr id="78" name="Rectangle : coins arrondis 77">
          <a:hlinkClick xmlns:r="http://schemas.openxmlformats.org/officeDocument/2006/relationships" r:id="rId13"/>
          <a:extLst>
            <a:ext uri="{FF2B5EF4-FFF2-40B4-BE49-F238E27FC236}">
              <a16:creationId xmlns:a16="http://schemas.microsoft.com/office/drawing/2014/main" id="{00000000-0008-0000-0700-00004E000000}"/>
            </a:ext>
          </a:extLst>
        </xdr:cNvPr>
        <xdr:cNvSpPr/>
      </xdr:nvSpPr>
      <xdr:spPr>
        <a:xfrm>
          <a:off x="5476876" y="5791200"/>
          <a:ext cx="990600" cy="357868"/>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1">
              <a:solidFill>
                <a:schemeClr val="tx1"/>
              </a:solidFill>
            </a:rPr>
            <a:t>Retour</a:t>
          </a:r>
          <a:r>
            <a:rPr lang="fr-FR" sz="1000" b="1" baseline="0">
              <a:solidFill>
                <a:schemeClr val="tx1"/>
              </a:solidFill>
            </a:rPr>
            <a:t> Acceuil</a:t>
          </a:r>
          <a:endParaRPr lang="fr-FR" sz="1000" b="1">
            <a:solidFill>
              <a:schemeClr val="tx1"/>
            </a:solidFill>
          </a:endParaRPr>
        </a:p>
      </xdr:txBody>
    </xdr:sp>
    <xdr:clientData/>
  </xdr:twoCellAnchor>
  <xdr:twoCellAnchor editAs="oneCell">
    <xdr:from>
      <xdr:col>8</xdr:col>
      <xdr:colOff>57150</xdr:colOff>
      <xdr:row>0</xdr:row>
      <xdr:rowOff>0</xdr:rowOff>
    </xdr:from>
    <xdr:to>
      <xdr:col>9</xdr:col>
      <xdr:colOff>538568</xdr:colOff>
      <xdr:row>3</xdr:row>
      <xdr:rowOff>24848</xdr:rowOff>
    </xdr:to>
    <xdr:pic>
      <xdr:nvPicPr>
        <xdr:cNvPr id="91" name="Image 90">
          <a:extLst>
            <a:ext uri="{FF2B5EF4-FFF2-40B4-BE49-F238E27FC236}">
              <a16:creationId xmlns:a16="http://schemas.microsoft.com/office/drawing/2014/main" id="{00000000-0008-0000-0700-00005B000000}"/>
            </a:ext>
          </a:extLst>
        </xdr:cNvPr>
        <xdr:cNvPicPr>
          <a:picLocks noChangeAspect="1" noChangeArrowheads="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t="16470" b="14117"/>
        <a:stretch/>
      </xdr:blipFill>
      <xdr:spPr bwMode="auto">
        <a:xfrm>
          <a:off x="6153150" y="0"/>
          <a:ext cx="1243418" cy="596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c:userShapes xmlns:c="http://schemas.openxmlformats.org/drawingml/2006/chart">
  <cdr:relSizeAnchor xmlns:cdr="http://schemas.openxmlformats.org/drawingml/2006/chartDrawing">
    <cdr:from>
      <cdr:x>0.13837</cdr:x>
      <cdr:y>0.50181</cdr:y>
    </cdr:from>
    <cdr:to>
      <cdr:x>0.88991</cdr:x>
      <cdr:y>0.59541</cdr:y>
    </cdr:to>
    <cdr:sp macro="" textlink="Calcul_Bilan_Energie!$S$23">
      <cdr:nvSpPr>
        <cdr:cNvPr id="2" name="ZoneTexte 1"/>
        <cdr:cNvSpPr txBox="1"/>
      </cdr:nvSpPr>
      <cdr:spPr>
        <a:xfrm xmlns:a="http://schemas.openxmlformats.org/drawingml/2006/main">
          <a:off x="422415" y="1376570"/>
          <a:ext cx="2294283" cy="25676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FCDE4084-1D68-4A35-B15D-DA702F44FDC6}" type="TxLink">
            <a:rPr lang="en-US" sz="1100" b="1" i="0" u="none" strike="noStrike">
              <a:solidFill>
                <a:srgbClr val="000000"/>
              </a:solidFill>
              <a:latin typeface="Calibri"/>
              <a:cs typeface="Calibri"/>
            </a:rPr>
            <a:pPr algn="ctr"/>
            <a:t>#DIV/0!</a:t>
          </a:fld>
          <a:endParaRPr lang="fr-FR" sz="1100" b="1"/>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0</xdr:row>
      <xdr:rowOff>36858</xdr:rowOff>
    </xdr:from>
    <xdr:to>
      <xdr:col>6</xdr:col>
      <xdr:colOff>41413</xdr:colOff>
      <xdr:row>1</xdr:row>
      <xdr:rowOff>102800</xdr:rowOff>
    </xdr:to>
    <xdr:sp macro="" textlink="">
      <xdr:nvSpPr>
        <xdr:cNvPr id="31" name="ZoneTexte 30">
          <a:extLst>
            <a:ext uri="{FF2B5EF4-FFF2-40B4-BE49-F238E27FC236}">
              <a16:creationId xmlns:a16="http://schemas.microsoft.com/office/drawing/2014/main" id="{00000000-0008-0000-0900-00001F000000}"/>
            </a:ext>
          </a:extLst>
        </xdr:cNvPr>
        <xdr:cNvSpPr txBox="1"/>
      </xdr:nvSpPr>
      <xdr:spPr>
        <a:xfrm>
          <a:off x="0" y="36858"/>
          <a:ext cx="4613413" cy="25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b="1"/>
            <a:t>Choix de l'année de référence </a:t>
          </a:r>
        </a:p>
      </xdr:txBody>
    </xdr:sp>
    <xdr:clientData/>
  </xdr:twoCellAnchor>
  <xdr:twoCellAnchor>
    <xdr:from>
      <xdr:col>0</xdr:col>
      <xdr:colOff>115542</xdr:colOff>
      <xdr:row>5</xdr:row>
      <xdr:rowOff>75373</xdr:rowOff>
    </xdr:from>
    <xdr:to>
      <xdr:col>10</xdr:col>
      <xdr:colOff>334617</xdr:colOff>
      <xdr:row>21</xdr:row>
      <xdr:rowOff>115957</xdr:rowOff>
    </xdr:to>
    <xdr:graphicFrame macro="">
      <xdr:nvGraphicFramePr>
        <xdr:cNvPr id="32" name="Graphique 31">
          <a:extLst>
            <a:ext uri="{FF2B5EF4-FFF2-40B4-BE49-F238E27FC236}">
              <a16:creationId xmlns:a16="http://schemas.microsoft.com/office/drawing/2014/main" id="{00000000-0008-0000-09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571499</xdr:colOff>
      <xdr:row>0</xdr:row>
      <xdr:rowOff>1680</xdr:rowOff>
    </xdr:from>
    <xdr:to>
      <xdr:col>7</xdr:col>
      <xdr:colOff>283816</xdr:colOff>
      <xdr:row>1</xdr:row>
      <xdr:rowOff>108674</xdr:rowOff>
    </xdr:to>
    <xdr:pic>
      <xdr:nvPicPr>
        <xdr:cNvPr id="6" name="Imag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val="0"/>
            </a:ext>
          </a:extLst>
        </a:blip>
        <a:stretch>
          <a:fillRect/>
        </a:stretch>
      </xdr:blipFill>
      <xdr:spPr>
        <a:xfrm>
          <a:off x="3619499" y="1680"/>
          <a:ext cx="1998317" cy="297494"/>
        </a:xfrm>
        <a:prstGeom prst="rect">
          <a:avLst/>
        </a:prstGeom>
      </xdr:spPr>
    </xdr:pic>
    <xdr:clientData/>
  </xdr:twoCellAnchor>
  <xdr:twoCellAnchor editAs="oneCell">
    <xdr:from>
      <xdr:col>9</xdr:col>
      <xdr:colOff>40889</xdr:colOff>
      <xdr:row>0</xdr:row>
      <xdr:rowOff>0</xdr:rowOff>
    </xdr:from>
    <xdr:to>
      <xdr:col>11</xdr:col>
      <xdr:colOff>0</xdr:colOff>
      <xdr:row>3</xdr:row>
      <xdr:rowOff>142501</xdr:rowOff>
    </xdr:to>
    <xdr:pic>
      <xdr:nvPicPr>
        <xdr:cNvPr id="7" name="Imag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898889" y="0"/>
          <a:ext cx="1491393" cy="717176"/>
        </a:xfrm>
        <a:prstGeom prst="rect">
          <a:avLst/>
        </a:prstGeom>
      </xdr:spPr>
    </xdr:pic>
    <xdr:clientData/>
  </xdr:twoCellAnchor>
  <xdr:twoCellAnchor>
    <xdr:from>
      <xdr:col>0</xdr:col>
      <xdr:colOff>289892</xdr:colOff>
      <xdr:row>21</xdr:row>
      <xdr:rowOff>66260</xdr:rowOff>
    </xdr:from>
    <xdr:to>
      <xdr:col>10</xdr:col>
      <xdr:colOff>182217</xdr:colOff>
      <xdr:row>31</xdr:row>
      <xdr:rowOff>151985</xdr:rowOff>
    </xdr:to>
    <xdr:graphicFrame macro="">
      <xdr:nvGraphicFramePr>
        <xdr:cNvPr id="8" name="Graphique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647700</xdr:colOff>
      <xdr:row>2</xdr:row>
      <xdr:rowOff>47625</xdr:rowOff>
    </xdr:from>
    <xdr:to>
      <xdr:col>7</xdr:col>
      <xdr:colOff>114300</xdr:colOff>
      <xdr:row>4</xdr:row>
      <xdr:rowOff>24493</xdr:rowOff>
    </xdr:to>
    <xdr:sp macro="" textlink="">
      <xdr:nvSpPr>
        <xdr:cNvPr id="9" name="Rectangle : coins arrondis 8">
          <a:hlinkClick xmlns:r="http://schemas.openxmlformats.org/officeDocument/2006/relationships" r:id="rId5"/>
          <a:extLst>
            <a:ext uri="{FF2B5EF4-FFF2-40B4-BE49-F238E27FC236}">
              <a16:creationId xmlns:a16="http://schemas.microsoft.com/office/drawing/2014/main" id="{00000000-0008-0000-0900-000009000000}"/>
            </a:ext>
          </a:extLst>
        </xdr:cNvPr>
        <xdr:cNvSpPr/>
      </xdr:nvSpPr>
      <xdr:spPr>
        <a:xfrm>
          <a:off x="4457700" y="428625"/>
          <a:ext cx="990600" cy="357868"/>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1">
              <a:solidFill>
                <a:schemeClr val="tx1"/>
              </a:solidFill>
            </a:rPr>
            <a:t>Retour</a:t>
          </a:r>
          <a:r>
            <a:rPr lang="fr-FR" sz="1000" b="1" baseline="0">
              <a:solidFill>
                <a:schemeClr val="tx1"/>
              </a:solidFill>
            </a:rPr>
            <a:t> Acceuil</a:t>
          </a:r>
          <a:endParaRPr lang="fr-FR" sz="1000" b="1">
            <a:solidFill>
              <a:schemeClr val="tx1"/>
            </a:solidFill>
          </a:endParaRPr>
        </a:p>
      </xdr:txBody>
    </xdr:sp>
    <xdr:clientData/>
  </xdr:twoCellAnchor>
  <xdr:twoCellAnchor editAs="oneCell">
    <xdr:from>
      <xdr:col>7</xdr:col>
      <xdr:colOff>256499</xdr:colOff>
      <xdr:row>0</xdr:row>
      <xdr:rowOff>0</xdr:rowOff>
    </xdr:from>
    <xdr:to>
      <xdr:col>9</xdr:col>
      <xdr:colOff>43268</xdr:colOff>
      <xdr:row>3</xdr:row>
      <xdr:rowOff>57150</xdr:rowOff>
    </xdr:to>
    <xdr:pic>
      <xdr:nvPicPr>
        <xdr:cNvPr id="10" name="Image 9">
          <a:extLst>
            <a:ext uri="{FF2B5EF4-FFF2-40B4-BE49-F238E27FC236}">
              <a16:creationId xmlns:a16="http://schemas.microsoft.com/office/drawing/2014/main" id="{00000000-0008-0000-0900-00000A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6470" b="14117"/>
        <a:stretch/>
      </xdr:blipFill>
      <xdr:spPr bwMode="auto">
        <a:xfrm>
          <a:off x="5590499" y="0"/>
          <a:ext cx="1310769"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132522</xdr:colOff>
      <xdr:row>4</xdr:row>
      <xdr:rowOff>16564</xdr:rowOff>
    </xdr:from>
    <xdr:to>
      <xdr:col>8</xdr:col>
      <xdr:colOff>49696</xdr:colOff>
      <xdr:row>22</xdr:row>
      <xdr:rowOff>16564</xdr:rowOff>
    </xdr:to>
    <xdr:graphicFrame macro="">
      <xdr:nvGraphicFramePr>
        <xdr:cNvPr id="3" name="Graphique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82404</xdr:colOff>
      <xdr:row>16</xdr:row>
      <xdr:rowOff>28951</xdr:rowOff>
    </xdr:from>
    <xdr:to>
      <xdr:col>8</xdr:col>
      <xdr:colOff>425847</xdr:colOff>
      <xdr:row>18</xdr:row>
      <xdr:rowOff>78047</xdr:rowOff>
    </xdr:to>
    <xdr:pic>
      <xdr:nvPicPr>
        <xdr:cNvPr id="4" name="chart">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a:stretch>
          <a:fillRect/>
        </a:stretch>
      </xdr:blipFill>
      <xdr:spPr>
        <a:xfrm>
          <a:off x="6112143" y="3076951"/>
          <a:ext cx="343443" cy="430096"/>
        </a:xfrm>
        <a:prstGeom prst="rect">
          <a:avLst/>
        </a:prstGeom>
      </xdr:spPr>
    </xdr:pic>
    <xdr:clientData/>
  </xdr:twoCellAnchor>
  <xdr:twoCellAnchor editAs="oneCell">
    <xdr:from>
      <xdr:col>8</xdr:col>
      <xdr:colOff>8026</xdr:colOff>
      <xdr:row>21</xdr:row>
      <xdr:rowOff>157527</xdr:rowOff>
    </xdr:from>
    <xdr:to>
      <xdr:col>8</xdr:col>
      <xdr:colOff>408795</xdr:colOff>
      <xdr:row>24</xdr:row>
      <xdr:rowOff>40005</xdr:rowOff>
    </xdr:to>
    <xdr:pic>
      <xdr:nvPicPr>
        <xdr:cNvPr id="5" name="Imag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3"/>
        <a:stretch>
          <a:fillRect/>
        </a:stretch>
      </xdr:blipFill>
      <xdr:spPr>
        <a:xfrm rot="21335024">
          <a:off x="6037765" y="4158027"/>
          <a:ext cx="400769" cy="453978"/>
        </a:xfrm>
        <a:prstGeom prst="rect">
          <a:avLst/>
        </a:prstGeom>
      </xdr:spPr>
    </xdr:pic>
    <xdr:clientData/>
  </xdr:twoCellAnchor>
  <xdr:twoCellAnchor editAs="oneCell">
    <xdr:from>
      <xdr:col>8</xdr:col>
      <xdr:colOff>39305</xdr:colOff>
      <xdr:row>24</xdr:row>
      <xdr:rowOff>128211</xdr:rowOff>
    </xdr:from>
    <xdr:to>
      <xdr:col>8</xdr:col>
      <xdr:colOff>363007</xdr:colOff>
      <xdr:row>26</xdr:row>
      <xdr:rowOff>154816</xdr:rowOff>
    </xdr:to>
    <xdr:pic>
      <xdr:nvPicPr>
        <xdr:cNvPr id="6" name="Image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4"/>
        <a:stretch>
          <a:fillRect/>
        </a:stretch>
      </xdr:blipFill>
      <xdr:spPr>
        <a:xfrm>
          <a:off x="6069044" y="4700211"/>
          <a:ext cx="323702" cy="407605"/>
        </a:xfrm>
        <a:prstGeom prst="rect">
          <a:avLst/>
        </a:prstGeom>
      </xdr:spPr>
    </xdr:pic>
    <xdr:clientData/>
  </xdr:twoCellAnchor>
  <xdr:twoCellAnchor editAs="oneCell">
    <xdr:from>
      <xdr:col>8</xdr:col>
      <xdr:colOff>11627</xdr:colOff>
      <xdr:row>18</xdr:row>
      <xdr:rowOff>148674</xdr:rowOff>
    </xdr:from>
    <xdr:to>
      <xdr:col>8</xdr:col>
      <xdr:colOff>411168</xdr:colOff>
      <xdr:row>21</xdr:row>
      <xdr:rowOff>66105</xdr:rowOff>
    </xdr:to>
    <xdr:pic>
      <xdr:nvPicPr>
        <xdr:cNvPr id="7" name="Image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5"/>
        <a:stretch>
          <a:fillRect/>
        </a:stretch>
      </xdr:blipFill>
      <xdr:spPr>
        <a:xfrm>
          <a:off x="6041366" y="3577674"/>
          <a:ext cx="399541" cy="488931"/>
        </a:xfrm>
        <a:prstGeom prst="rect">
          <a:avLst/>
        </a:prstGeom>
      </xdr:spPr>
    </xdr:pic>
    <xdr:clientData/>
  </xdr:twoCellAnchor>
  <xdr:twoCellAnchor editAs="oneCell">
    <xdr:from>
      <xdr:col>8</xdr:col>
      <xdr:colOff>2240</xdr:colOff>
      <xdr:row>28</xdr:row>
      <xdr:rowOff>4781</xdr:rowOff>
    </xdr:from>
    <xdr:to>
      <xdr:col>8</xdr:col>
      <xdr:colOff>440935</xdr:colOff>
      <xdr:row>30</xdr:row>
      <xdr:rowOff>114685</xdr:rowOff>
    </xdr:to>
    <xdr:pic>
      <xdr:nvPicPr>
        <xdr:cNvPr id="8" name="chart">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6"/>
        <a:stretch>
          <a:fillRect/>
        </a:stretch>
      </xdr:blipFill>
      <xdr:spPr>
        <a:xfrm>
          <a:off x="6031979" y="5338781"/>
          <a:ext cx="438695" cy="490904"/>
        </a:xfrm>
        <a:prstGeom prst="rect">
          <a:avLst/>
        </a:prstGeom>
      </xdr:spPr>
    </xdr:pic>
    <xdr:clientData/>
  </xdr:twoCellAnchor>
  <xdr:twoCellAnchor>
    <xdr:from>
      <xdr:col>8</xdr:col>
      <xdr:colOff>420442</xdr:colOff>
      <xdr:row>15</xdr:row>
      <xdr:rowOff>99386</xdr:rowOff>
    </xdr:from>
    <xdr:to>
      <xdr:col>11</xdr:col>
      <xdr:colOff>0</xdr:colOff>
      <xdr:row>32</xdr:row>
      <xdr:rowOff>66255</xdr:rowOff>
    </xdr:to>
    <xdr:sp macro="" textlink="">
      <xdr:nvSpPr>
        <xdr:cNvPr id="9" name="ZoneTexte 8">
          <a:extLst>
            <a:ext uri="{FF2B5EF4-FFF2-40B4-BE49-F238E27FC236}">
              <a16:creationId xmlns:a16="http://schemas.microsoft.com/office/drawing/2014/main" id="{00000000-0008-0000-0A00-000009000000}"/>
            </a:ext>
          </a:extLst>
        </xdr:cNvPr>
        <xdr:cNvSpPr txBox="1"/>
      </xdr:nvSpPr>
      <xdr:spPr>
        <a:xfrm>
          <a:off x="6450181" y="2956886"/>
          <a:ext cx="1940102" cy="32053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t>Feuille grise : </a:t>
          </a:r>
          <a:r>
            <a:rPr lang="fr-FR" sz="1000"/>
            <a:t>Le niveau de consommation énergétique est en augmentation</a:t>
          </a:r>
        </a:p>
        <a:p>
          <a:r>
            <a:rPr lang="fr-FR" sz="1000" b="1"/>
            <a:t>Feuille Orange : </a:t>
          </a:r>
          <a:r>
            <a:rPr lang="fr-FR" sz="1000"/>
            <a:t>Le niveau de consommation énergétique est en diminution mais au-dessus des objectifs annuels</a:t>
          </a:r>
        </a:p>
        <a:p>
          <a:r>
            <a:rPr lang="fr-FR" sz="1000" b="1"/>
            <a:t>1 Feuille verte : </a:t>
          </a:r>
          <a:r>
            <a:rPr lang="fr-FR" sz="1000"/>
            <a:t>Le niveau de consommation énergétique est en diminution dans le fuseau  +/- 10%</a:t>
          </a:r>
        </a:p>
        <a:p>
          <a:r>
            <a:rPr lang="fr-FR" sz="1000" b="1"/>
            <a:t>2 Feuilles vertes : </a:t>
          </a:r>
          <a:r>
            <a:rPr lang="fr-FR" sz="1000"/>
            <a:t>Le niveau de consommation énergétique est en diminution et en-dessous du fuseau +/- 10%</a:t>
          </a:r>
        </a:p>
        <a:p>
          <a:r>
            <a:rPr lang="fr-FR" sz="1000" b="1"/>
            <a:t>3 Feuilles vertes : </a:t>
          </a:r>
          <a:r>
            <a:rPr lang="fr-FR" sz="1000"/>
            <a:t>Le niveau de consommation énergétique annuelle est en dessous de l'objectif relatif 2030</a:t>
          </a:r>
        </a:p>
      </xdr:txBody>
    </xdr:sp>
    <xdr:clientData/>
  </xdr:twoCellAnchor>
  <xdr:twoCellAnchor>
    <xdr:from>
      <xdr:col>7</xdr:col>
      <xdr:colOff>753716</xdr:colOff>
      <xdr:row>8</xdr:row>
      <xdr:rowOff>16565</xdr:rowOff>
    </xdr:from>
    <xdr:to>
      <xdr:col>10</xdr:col>
      <xdr:colOff>761999</xdr:colOff>
      <xdr:row>12</xdr:row>
      <xdr:rowOff>8282</xdr:rowOff>
    </xdr:to>
    <xdr:grpSp>
      <xdr:nvGrpSpPr>
        <xdr:cNvPr id="11" name="Groupe 10">
          <a:extLst>
            <a:ext uri="{FF2B5EF4-FFF2-40B4-BE49-F238E27FC236}">
              <a16:creationId xmlns:a16="http://schemas.microsoft.com/office/drawing/2014/main" id="{00000000-0008-0000-0A00-00000B000000}"/>
            </a:ext>
          </a:extLst>
        </xdr:cNvPr>
        <xdr:cNvGrpSpPr/>
      </xdr:nvGrpSpPr>
      <xdr:grpSpPr>
        <a:xfrm>
          <a:off x="6390032" y="1474304"/>
          <a:ext cx="2538619" cy="720587"/>
          <a:chOff x="9410594" y="295275"/>
          <a:chExt cx="2648055" cy="753717"/>
        </a:xfrm>
      </xdr:grpSpPr>
      <xdr:sp macro="" textlink="">
        <xdr:nvSpPr>
          <xdr:cNvPr id="12" name="Rectangle à coins arrondis 11">
            <a:extLst>
              <a:ext uri="{FF2B5EF4-FFF2-40B4-BE49-F238E27FC236}">
                <a16:creationId xmlns:a16="http://schemas.microsoft.com/office/drawing/2014/main" id="{00000000-0008-0000-0A00-00000C000000}"/>
              </a:ext>
            </a:extLst>
          </xdr:cNvPr>
          <xdr:cNvSpPr/>
        </xdr:nvSpPr>
        <xdr:spPr>
          <a:xfrm>
            <a:off x="9439275" y="295275"/>
            <a:ext cx="2562226" cy="753717"/>
          </a:xfrm>
          <a:prstGeom prst="roundRect">
            <a:avLst/>
          </a:prstGeom>
          <a:solidFill>
            <a:schemeClr val="bg1"/>
          </a:solidFill>
          <a:ln>
            <a:no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000"/>
          </a:p>
        </xdr:txBody>
      </xdr:sp>
      <xdr:sp macro="" textlink="">
        <xdr:nvSpPr>
          <xdr:cNvPr id="13" name="ZoneTexte 12">
            <a:extLst>
              <a:ext uri="{FF2B5EF4-FFF2-40B4-BE49-F238E27FC236}">
                <a16:creationId xmlns:a16="http://schemas.microsoft.com/office/drawing/2014/main" id="{00000000-0008-0000-0A00-00000D000000}"/>
              </a:ext>
            </a:extLst>
          </xdr:cNvPr>
          <xdr:cNvSpPr txBox="1"/>
        </xdr:nvSpPr>
        <xdr:spPr>
          <a:xfrm>
            <a:off x="9534524" y="304800"/>
            <a:ext cx="25241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Valeur </a:t>
            </a:r>
            <a:r>
              <a:rPr lang="fr-FR" sz="1100" b="1" baseline="0"/>
              <a:t>de référence *</a:t>
            </a:r>
            <a:endParaRPr lang="fr-FR" sz="1100" b="1"/>
          </a:p>
        </xdr:txBody>
      </xdr:sp>
      <xdr:sp macro="" textlink="'CALCUL DEET'!R8">
        <xdr:nvSpPr>
          <xdr:cNvPr id="14" name="ZoneTexte 13">
            <a:extLst>
              <a:ext uri="{FF2B5EF4-FFF2-40B4-BE49-F238E27FC236}">
                <a16:creationId xmlns:a16="http://schemas.microsoft.com/office/drawing/2014/main" id="{00000000-0008-0000-0A00-00000E000000}"/>
              </a:ext>
            </a:extLst>
          </xdr:cNvPr>
          <xdr:cNvSpPr txBox="1"/>
        </xdr:nvSpPr>
        <xdr:spPr>
          <a:xfrm>
            <a:off x="9410594" y="428210"/>
            <a:ext cx="2648055"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A4982C15-93DB-41F5-A7E8-AB9D17F6B8CA}" type="TxLink">
              <a:rPr lang="en-US" sz="1400" b="0" i="0" u="none" strike="noStrike">
                <a:solidFill>
                  <a:srgbClr val="000000"/>
                </a:solidFill>
                <a:latin typeface="Calibri"/>
                <a:cs typeface="Calibri"/>
              </a:rPr>
              <a:pPr algn="ctr"/>
              <a:t>0,0 kWh [EF PCI]/m².an</a:t>
            </a:fld>
            <a:endParaRPr lang="fr-FR" sz="1400" b="1"/>
          </a:p>
        </xdr:txBody>
      </xdr:sp>
    </xdr:grpSp>
    <xdr:clientData/>
  </xdr:twoCellAnchor>
  <xdr:twoCellAnchor>
    <xdr:from>
      <xdr:col>8</xdr:col>
      <xdr:colOff>49694</xdr:colOff>
      <xdr:row>3</xdr:row>
      <xdr:rowOff>128795</xdr:rowOff>
    </xdr:from>
    <xdr:to>
      <xdr:col>10</xdr:col>
      <xdr:colOff>704020</xdr:colOff>
      <xdr:row>7</xdr:row>
      <xdr:rowOff>120512</xdr:rowOff>
    </xdr:to>
    <xdr:grpSp>
      <xdr:nvGrpSpPr>
        <xdr:cNvPr id="15" name="Groupe 14">
          <a:extLst>
            <a:ext uri="{FF2B5EF4-FFF2-40B4-BE49-F238E27FC236}">
              <a16:creationId xmlns:a16="http://schemas.microsoft.com/office/drawing/2014/main" id="{00000000-0008-0000-0A00-00000F000000}"/>
            </a:ext>
          </a:extLst>
        </xdr:cNvPr>
        <xdr:cNvGrpSpPr/>
      </xdr:nvGrpSpPr>
      <xdr:grpSpPr>
        <a:xfrm>
          <a:off x="6501846" y="675447"/>
          <a:ext cx="2368826" cy="720587"/>
          <a:chOff x="9434831" y="295275"/>
          <a:chExt cx="2623818" cy="753717"/>
        </a:xfrm>
      </xdr:grpSpPr>
      <xdr:sp macro="" textlink="">
        <xdr:nvSpPr>
          <xdr:cNvPr id="16" name="Rectangle à coins arrondis 15">
            <a:extLst>
              <a:ext uri="{FF2B5EF4-FFF2-40B4-BE49-F238E27FC236}">
                <a16:creationId xmlns:a16="http://schemas.microsoft.com/office/drawing/2014/main" id="{00000000-0008-0000-0A00-000010000000}"/>
              </a:ext>
            </a:extLst>
          </xdr:cNvPr>
          <xdr:cNvSpPr/>
        </xdr:nvSpPr>
        <xdr:spPr>
          <a:xfrm>
            <a:off x="9439275" y="295275"/>
            <a:ext cx="2562226" cy="753717"/>
          </a:xfrm>
          <a:prstGeom prst="roundRect">
            <a:avLst/>
          </a:prstGeom>
          <a:solidFill>
            <a:schemeClr val="bg1"/>
          </a:solidFill>
          <a:ln>
            <a:no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000"/>
          </a:p>
        </xdr:txBody>
      </xdr:sp>
      <xdr:sp macro="" textlink="">
        <xdr:nvSpPr>
          <xdr:cNvPr id="17" name="ZoneTexte 16">
            <a:extLst>
              <a:ext uri="{FF2B5EF4-FFF2-40B4-BE49-F238E27FC236}">
                <a16:creationId xmlns:a16="http://schemas.microsoft.com/office/drawing/2014/main" id="{00000000-0008-0000-0A00-000011000000}"/>
              </a:ext>
            </a:extLst>
          </xdr:cNvPr>
          <xdr:cNvSpPr txBox="1"/>
        </xdr:nvSpPr>
        <xdr:spPr>
          <a:xfrm>
            <a:off x="9534524" y="304800"/>
            <a:ext cx="25241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Valeur</a:t>
            </a:r>
            <a:r>
              <a:rPr lang="fr-FR" sz="1100" b="1" baseline="0"/>
              <a:t> pour l'année déclarée *</a:t>
            </a:r>
            <a:endParaRPr lang="fr-FR" sz="1100" b="1"/>
          </a:p>
        </xdr:txBody>
      </xdr:sp>
      <xdr:sp macro="" textlink="'CALCUL DEET'!R20">
        <xdr:nvSpPr>
          <xdr:cNvPr id="18" name="ZoneTexte 17">
            <a:extLst>
              <a:ext uri="{FF2B5EF4-FFF2-40B4-BE49-F238E27FC236}">
                <a16:creationId xmlns:a16="http://schemas.microsoft.com/office/drawing/2014/main" id="{00000000-0008-0000-0A00-000012000000}"/>
              </a:ext>
            </a:extLst>
          </xdr:cNvPr>
          <xdr:cNvSpPr txBox="1"/>
        </xdr:nvSpPr>
        <xdr:spPr>
          <a:xfrm>
            <a:off x="9434831" y="428210"/>
            <a:ext cx="2623818"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5C43DB62-2E9A-4BC9-A233-128689AEF61E}" type="TxLink">
              <a:rPr lang="en-US" sz="1400" b="0" i="0" u="none" strike="noStrike">
                <a:solidFill>
                  <a:srgbClr val="000000"/>
                </a:solidFill>
                <a:latin typeface="Calibri"/>
                <a:cs typeface="Calibri"/>
              </a:rPr>
              <a:pPr algn="ctr"/>
              <a:t>#DIV/0!</a:t>
            </a:fld>
            <a:endParaRPr lang="fr-FR" sz="1400" b="1"/>
          </a:p>
        </xdr:txBody>
      </xdr:sp>
    </xdr:grpSp>
    <xdr:clientData/>
  </xdr:twoCellAnchor>
  <xdr:twoCellAnchor>
    <xdr:from>
      <xdr:col>8</xdr:col>
      <xdr:colOff>454713</xdr:colOff>
      <xdr:row>12</xdr:row>
      <xdr:rowOff>70812</xdr:rowOff>
    </xdr:from>
    <xdr:to>
      <xdr:col>10</xdr:col>
      <xdr:colOff>552449</xdr:colOff>
      <xdr:row>15</xdr:row>
      <xdr:rowOff>124239</xdr:rowOff>
    </xdr:to>
    <xdr:grpSp>
      <xdr:nvGrpSpPr>
        <xdr:cNvPr id="19" name="Groupe 18">
          <a:extLst>
            <a:ext uri="{FF2B5EF4-FFF2-40B4-BE49-F238E27FC236}">
              <a16:creationId xmlns:a16="http://schemas.microsoft.com/office/drawing/2014/main" id="{00000000-0008-0000-0A00-000013000000}"/>
            </a:ext>
          </a:extLst>
        </xdr:cNvPr>
        <xdr:cNvGrpSpPr/>
      </xdr:nvGrpSpPr>
      <xdr:grpSpPr>
        <a:xfrm>
          <a:off x="6906865" y="2257421"/>
          <a:ext cx="1812236" cy="600079"/>
          <a:chOff x="9439275" y="295275"/>
          <a:chExt cx="3104559" cy="753717"/>
        </a:xfrm>
      </xdr:grpSpPr>
      <xdr:sp macro="" textlink="">
        <xdr:nvSpPr>
          <xdr:cNvPr id="20" name="Rectangle à coins arrondis 19">
            <a:extLst>
              <a:ext uri="{FF2B5EF4-FFF2-40B4-BE49-F238E27FC236}">
                <a16:creationId xmlns:a16="http://schemas.microsoft.com/office/drawing/2014/main" id="{00000000-0008-0000-0A00-000014000000}"/>
              </a:ext>
            </a:extLst>
          </xdr:cNvPr>
          <xdr:cNvSpPr/>
        </xdr:nvSpPr>
        <xdr:spPr>
          <a:xfrm>
            <a:off x="9439275" y="295275"/>
            <a:ext cx="3104559" cy="753717"/>
          </a:xfrm>
          <a:prstGeom prst="roundRect">
            <a:avLst/>
          </a:prstGeom>
          <a:solidFill>
            <a:schemeClr val="bg1"/>
          </a:solidFill>
          <a:ln>
            <a:noFill/>
          </a:ln>
          <a:effectLst>
            <a:outerShdw blurRad="50800" dist="38100" dir="8100000" algn="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21" name="ZoneTexte 20">
            <a:extLst>
              <a:ext uri="{FF2B5EF4-FFF2-40B4-BE49-F238E27FC236}">
                <a16:creationId xmlns:a16="http://schemas.microsoft.com/office/drawing/2014/main" id="{00000000-0008-0000-0A00-000015000000}"/>
              </a:ext>
            </a:extLst>
          </xdr:cNvPr>
          <xdr:cNvSpPr txBox="1"/>
        </xdr:nvSpPr>
        <xdr:spPr>
          <a:xfrm>
            <a:off x="9534522" y="304800"/>
            <a:ext cx="3009312"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400" b="1"/>
              <a:t>Variation vs Ref **</a:t>
            </a:r>
          </a:p>
        </xdr:txBody>
      </xdr:sp>
      <xdr:sp macro="" textlink="'CALCUL DEET'!R21">
        <xdr:nvSpPr>
          <xdr:cNvPr id="22" name="ZoneTexte 21">
            <a:extLst>
              <a:ext uri="{FF2B5EF4-FFF2-40B4-BE49-F238E27FC236}">
                <a16:creationId xmlns:a16="http://schemas.microsoft.com/office/drawing/2014/main" id="{00000000-0008-0000-0A00-000016000000}"/>
              </a:ext>
            </a:extLst>
          </xdr:cNvPr>
          <xdr:cNvSpPr txBox="1"/>
        </xdr:nvSpPr>
        <xdr:spPr>
          <a:xfrm>
            <a:off x="9855572" y="428210"/>
            <a:ext cx="1971575" cy="560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4CEAF35-E612-457E-8061-3B6736EED27C}" type="TxLink">
              <a:rPr lang="en-US" sz="1800" b="0" i="0" u="none" strike="noStrike">
                <a:solidFill>
                  <a:srgbClr val="000000"/>
                </a:solidFill>
                <a:latin typeface="Calibri"/>
                <a:cs typeface="Calibri"/>
              </a:rPr>
              <a:pPr algn="ctr"/>
              <a:t>#DIV/0!</a:t>
            </a:fld>
            <a:endParaRPr lang="fr-FR" sz="1800" b="1"/>
          </a:p>
        </xdr:txBody>
      </xdr:sp>
    </xdr:grpSp>
    <xdr:clientData/>
  </xdr:twoCellAnchor>
  <xdr:twoCellAnchor>
    <xdr:from>
      <xdr:col>0</xdr:col>
      <xdr:colOff>33130</xdr:colOff>
      <xdr:row>32</xdr:row>
      <xdr:rowOff>16565</xdr:rowOff>
    </xdr:from>
    <xdr:to>
      <xdr:col>8</xdr:col>
      <xdr:colOff>265043</xdr:colOff>
      <xdr:row>33</xdr:row>
      <xdr:rowOff>0</xdr:rowOff>
    </xdr:to>
    <xdr:sp macro="" textlink="">
      <xdr:nvSpPr>
        <xdr:cNvPr id="28" name="ZoneTexte 27">
          <a:extLst>
            <a:ext uri="{FF2B5EF4-FFF2-40B4-BE49-F238E27FC236}">
              <a16:creationId xmlns:a16="http://schemas.microsoft.com/office/drawing/2014/main" id="{00000000-0008-0000-0A00-00001C000000}"/>
            </a:ext>
          </a:extLst>
        </xdr:cNvPr>
        <xdr:cNvSpPr txBox="1"/>
      </xdr:nvSpPr>
      <xdr:spPr>
        <a:xfrm>
          <a:off x="33130" y="6112565"/>
          <a:ext cx="6327913" cy="1739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800"/>
            <a:t>* Le calcul prend en compte la méthode d'ajustement d'ajustement climatique                                       ** Valeur informative,</a:t>
          </a:r>
          <a:r>
            <a:rPr lang="fr-FR" sz="800" baseline="0"/>
            <a:t> non contractuelle</a:t>
          </a:r>
          <a:endParaRPr lang="fr-FR" sz="800"/>
        </a:p>
      </xdr:txBody>
    </xdr:sp>
    <xdr:clientData/>
  </xdr:twoCellAnchor>
  <xdr:twoCellAnchor>
    <xdr:from>
      <xdr:col>0</xdr:col>
      <xdr:colOff>16565</xdr:colOff>
      <xdr:row>0</xdr:row>
      <xdr:rowOff>16566</xdr:rowOff>
    </xdr:from>
    <xdr:to>
      <xdr:col>6</xdr:col>
      <xdr:colOff>33130</xdr:colOff>
      <xdr:row>1</xdr:row>
      <xdr:rowOff>82508</xdr:rowOff>
    </xdr:to>
    <xdr:sp macro="" textlink="">
      <xdr:nvSpPr>
        <xdr:cNvPr id="32" name="ZoneTexte 31">
          <a:extLst>
            <a:ext uri="{FF2B5EF4-FFF2-40B4-BE49-F238E27FC236}">
              <a16:creationId xmlns:a16="http://schemas.microsoft.com/office/drawing/2014/main" id="{00000000-0008-0000-0A00-000020000000}"/>
            </a:ext>
          </a:extLst>
        </xdr:cNvPr>
        <xdr:cNvSpPr txBox="1"/>
      </xdr:nvSpPr>
      <xdr:spPr>
        <a:xfrm>
          <a:off x="16565" y="16566"/>
          <a:ext cx="4588565" cy="25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b="1"/>
            <a:t>Suivi des objectifs</a:t>
          </a:r>
          <a:r>
            <a:rPr lang="fr-FR" sz="1600" b="1" baseline="0"/>
            <a:t> du Dispositif Eco Energie Tertiaire</a:t>
          </a:r>
          <a:endParaRPr lang="fr-FR" sz="1600" b="1"/>
        </a:p>
      </xdr:txBody>
    </xdr:sp>
    <xdr:clientData/>
  </xdr:twoCellAnchor>
  <xdr:twoCellAnchor>
    <xdr:from>
      <xdr:col>0</xdr:col>
      <xdr:colOff>107673</xdr:colOff>
      <xdr:row>21</xdr:row>
      <xdr:rowOff>99392</xdr:rowOff>
    </xdr:from>
    <xdr:to>
      <xdr:col>7</xdr:col>
      <xdr:colOff>596348</xdr:colOff>
      <xdr:row>31</xdr:row>
      <xdr:rowOff>182217</xdr:rowOff>
    </xdr:to>
    <xdr:graphicFrame macro="">
      <xdr:nvGraphicFramePr>
        <xdr:cNvPr id="35" name="Graphique 34">
          <a:extLst>
            <a:ext uri="{FF2B5EF4-FFF2-40B4-BE49-F238E27FC236}">
              <a16:creationId xmlns:a16="http://schemas.microsoft.com/office/drawing/2014/main" id="{00000000-0008-0000-0A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99391</xdr:colOff>
      <xdr:row>31</xdr:row>
      <xdr:rowOff>74543</xdr:rowOff>
    </xdr:from>
    <xdr:to>
      <xdr:col>10</xdr:col>
      <xdr:colOff>327991</xdr:colOff>
      <xdr:row>32</xdr:row>
      <xdr:rowOff>183933</xdr:rowOff>
    </xdr:to>
    <xdr:sp macro="" textlink="">
      <xdr:nvSpPr>
        <xdr:cNvPr id="26" name="Rectangle : coins arrondis 25">
          <a:hlinkClick xmlns:r="http://schemas.openxmlformats.org/officeDocument/2006/relationships" r:id="rId8"/>
          <a:extLst>
            <a:ext uri="{FF2B5EF4-FFF2-40B4-BE49-F238E27FC236}">
              <a16:creationId xmlns:a16="http://schemas.microsoft.com/office/drawing/2014/main" id="{00000000-0008-0000-0A00-00001A000000}"/>
            </a:ext>
          </a:extLst>
        </xdr:cNvPr>
        <xdr:cNvSpPr/>
      </xdr:nvSpPr>
      <xdr:spPr>
        <a:xfrm>
          <a:off x="6965674" y="5980043"/>
          <a:ext cx="990600" cy="299890"/>
        </a:xfrm>
        <a:prstGeom prst="roundRect">
          <a:avLst/>
        </a:prstGeom>
        <a:solidFill>
          <a:schemeClr val="accent2"/>
        </a:solidFill>
        <a:ln>
          <a:solidFill>
            <a:schemeClr val="accent2"/>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1">
              <a:solidFill>
                <a:schemeClr val="tx1"/>
              </a:solidFill>
            </a:rPr>
            <a:t>Retour</a:t>
          </a:r>
          <a:r>
            <a:rPr lang="fr-FR" sz="1000" b="1" baseline="0">
              <a:solidFill>
                <a:schemeClr val="tx1"/>
              </a:solidFill>
            </a:rPr>
            <a:t> Acceuil</a:t>
          </a:r>
          <a:endParaRPr lang="fr-FR" sz="1000" b="1">
            <a:solidFill>
              <a:schemeClr val="tx1"/>
            </a:solidFill>
          </a:endParaRPr>
        </a:p>
      </xdr:txBody>
    </xdr:sp>
    <xdr:clientData/>
  </xdr:twoCellAnchor>
  <xdr:twoCellAnchor editAs="oneCell">
    <xdr:from>
      <xdr:col>7</xdr:col>
      <xdr:colOff>754099</xdr:colOff>
      <xdr:row>0</xdr:row>
      <xdr:rowOff>0</xdr:rowOff>
    </xdr:from>
    <xdr:to>
      <xdr:col>9</xdr:col>
      <xdr:colOff>364434</xdr:colOff>
      <xdr:row>3</xdr:row>
      <xdr:rowOff>8283</xdr:rowOff>
    </xdr:to>
    <xdr:pic>
      <xdr:nvPicPr>
        <xdr:cNvPr id="27" name="Image 26">
          <a:extLst>
            <a:ext uri="{FF2B5EF4-FFF2-40B4-BE49-F238E27FC236}">
              <a16:creationId xmlns:a16="http://schemas.microsoft.com/office/drawing/2014/main" id="{00000000-0008-0000-0A00-00001B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16470" b="14117"/>
        <a:stretch/>
      </xdr:blipFill>
      <xdr:spPr bwMode="auto">
        <a:xfrm>
          <a:off x="6021838" y="0"/>
          <a:ext cx="1208879" cy="579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380999</xdr:colOff>
      <xdr:row>0</xdr:row>
      <xdr:rowOff>0</xdr:rowOff>
    </xdr:from>
    <xdr:to>
      <xdr:col>10</xdr:col>
      <xdr:colOff>758962</xdr:colOff>
      <xdr:row>2</xdr:row>
      <xdr:rowOff>168300</xdr:rowOff>
    </xdr:to>
    <xdr:pic>
      <xdr:nvPicPr>
        <xdr:cNvPr id="33" name="Image 32">
          <a:extLst>
            <a:ext uri="{FF2B5EF4-FFF2-40B4-BE49-F238E27FC236}">
              <a16:creationId xmlns:a16="http://schemas.microsoft.com/office/drawing/2014/main" id="{00000000-0008-0000-0A00-000021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247282" y="0"/>
          <a:ext cx="1139963" cy="549300"/>
        </a:xfrm>
        <a:prstGeom prst="rect">
          <a:avLst/>
        </a:prstGeom>
      </xdr:spPr>
    </xdr:pic>
    <xdr:clientData/>
  </xdr:twoCellAnchor>
  <xdr:twoCellAnchor editAs="oneCell">
    <xdr:from>
      <xdr:col>5</xdr:col>
      <xdr:colOff>472108</xdr:colOff>
      <xdr:row>0</xdr:row>
      <xdr:rowOff>52618</xdr:rowOff>
    </xdr:from>
    <xdr:to>
      <xdr:col>7</xdr:col>
      <xdr:colOff>745434</xdr:colOff>
      <xdr:row>1</xdr:row>
      <xdr:rowOff>130699</xdr:rowOff>
    </xdr:to>
    <xdr:pic>
      <xdr:nvPicPr>
        <xdr:cNvPr id="29" name="Image 28">
          <a:extLst>
            <a:ext uri="{FF2B5EF4-FFF2-40B4-BE49-F238E27FC236}">
              <a16:creationId xmlns:a16="http://schemas.microsoft.com/office/drawing/2014/main" id="{00000000-0008-0000-0A00-00001D000000}"/>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val="0"/>
            </a:ext>
          </a:extLst>
        </a:blip>
        <a:stretch>
          <a:fillRect/>
        </a:stretch>
      </xdr:blipFill>
      <xdr:spPr>
        <a:xfrm>
          <a:off x="4215847" y="52618"/>
          <a:ext cx="1797326" cy="26858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Fabien ROUAULT" id="{60167206-CCD6-4093-AFD2-6704D86DD72F}" userId="S::f.rouault@fondation-sjd.fr::7585273b-4853-4e10-be7c-dfbdd39ff5fd" providerId="AD"/>
</personList>
</file>

<file path=xl/pivotCache/_rels/pivotCacheDefinition15.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6.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saveData="0" refreshedBy="Fabien ROUAULT" refreshedDate="46182.696205902779" backgroundQuery="1" createdVersion="7" refreshedVersion="7" minRefreshableVersion="3" recordCount="0" supportSubquery="1" supportAdvancedDrill="1">
  <cacheSource type="external" connectionId="11"/>
  <cacheFields count="6">
    <cacheField name="[Tab_concat].[Nom].[Nom]" caption="Nom" numFmtId="0" hierarchy="12" level="1">
      <sharedItems containsSemiMixedTypes="0" containsNonDate="0" containsString="0"/>
    </cacheField>
    <cacheField name="[Tab_concat].[Dates].[Dates]" caption="Dates" numFmtId="0" hierarchy="1" level="1">
      <sharedItems containsSemiMixedTypes="0" containsNonDate="0" containsDate="1" containsString="0" minDate="2013-01-01T00:00:00" maxDate="2025-05-08T00:00:00" count="4510">
        <d v="2013-01-01T00:00:00"/>
        <d v="2013-01-02T00:00:00"/>
        <d v="2013-01-03T00:00:00"/>
        <d v="2013-01-04T00:00:00"/>
        <d v="2013-01-05T00:00:00"/>
        <d v="2013-01-06T00:00:00"/>
        <d v="2013-01-07T00:00:00"/>
        <d v="2013-01-08T00:00:00"/>
        <d v="2013-01-09T00:00:00"/>
        <d v="2013-01-10T00:00:00"/>
        <d v="2013-01-11T00:00:00"/>
        <d v="2013-01-12T00:00:00"/>
        <d v="2013-01-13T00:00:00"/>
        <d v="2013-01-14T00:00:00"/>
        <d v="2013-01-15T00:00:00"/>
        <d v="2013-01-16T00:00:00"/>
        <d v="2013-01-17T00:00:00"/>
        <d v="2013-01-18T00:00:00"/>
        <d v="2013-01-19T00:00:00"/>
        <d v="2013-01-20T00:00:00"/>
        <d v="2013-01-21T00:00:00"/>
        <d v="2013-01-22T00:00:00"/>
        <d v="2013-01-23T00:00:00"/>
        <d v="2013-01-24T00:00:00"/>
        <d v="2013-01-25T00:00:00"/>
        <d v="2013-01-26T00:00:00"/>
        <d v="2013-01-27T00:00:00"/>
        <d v="2013-01-28T00:00:00"/>
        <d v="2013-01-29T00:00:00"/>
        <d v="2013-01-30T00:00:00"/>
        <d v="2013-01-31T00:00:00"/>
        <d v="2013-02-01T00:00:00"/>
        <d v="2013-02-02T00:00:00"/>
        <d v="2013-02-03T00:00:00"/>
        <d v="2013-02-04T00:00:00"/>
        <d v="2013-02-05T00:00:00"/>
        <d v="2013-02-06T00:00:00"/>
        <d v="2013-02-07T00:00:00"/>
        <d v="2013-02-08T00:00:00"/>
        <d v="2013-02-09T00:00:00"/>
        <d v="2013-02-10T00:00:00"/>
        <d v="2013-02-11T00:00:00"/>
        <d v="2013-02-12T00:00:00"/>
        <d v="2013-02-13T00:00:00"/>
        <d v="2013-02-14T00:00:00"/>
        <d v="2013-02-15T00:00:00"/>
        <d v="2013-02-16T00:00:00"/>
        <d v="2013-02-17T00:00:00"/>
        <d v="2013-02-18T00:00:00"/>
        <d v="2013-02-19T00:00:00"/>
        <d v="2013-02-20T00:00:00"/>
        <d v="2013-02-21T00:00:00"/>
        <d v="2013-02-22T00:00:00"/>
        <d v="2013-02-23T00:00:00"/>
        <d v="2013-02-24T00:00:00"/>
        <d v="2013-02-25T00:00:00"/>
        <d v="2013-02-26T00:00:00"/>
        <d v="2013-02-27T00:00:00"/>
        <d v="2013-02-28T00:00:00"/>
        <d v="2013-03-01T00:00:00"/>
        <d v="2013-03-02T00:00:00"/>
        <d v="2013-03-03T00:00:00"/>
        <d v="2013-03-04T00:00:00"/>
        <d v="2013-03-05T00:00:00"/>
        <d v="2013-03-06T00:00:00"/>
        <d v="2013-03-07T00:00:00"/>
        <d v="2013-03-08T00:00:00"/>
        <d v="2013-03-09T00:00:00"/>
        <d v="2013-03-10T00:00:00"/>
        <d v="2013-03-11T00:00:00"/>
        <d v="2013-03-12T00:00:00"/>
        <d v="2013-03-13T00:00:00"/>
        <d v="2013-03-14T00:00:00"/>
        <d v="2013-03-15T00:00:00"/>
        <d v="2013-03-16T00:00:00"/>
        <d v="2013-03-17T00:00:00"/>
        <d v="2013-03-18T00:00:00"/>
        <d v="2013-03-19T00:00:00"/>
        <d v="2013-03-20T00:00:00"/>
        <d v="2013-03-21T00:00:00"/>
        <d v="2013-03-22T00:00:00"/>
        <d v="2013-03-23T00:00:00"/>
        <d v="2013-03-24T00:00:00"/>
        <d v="2013-03-25T00:00:00"/>
        <d v="2013-03-26T00:00:00"/>
        <d v="2013-03-27T00:00:00"/>
        <d v="2013-03-28T00:00:00"/>
        <d v="2013-03-29T00:00:00"/>
        <d v="2013-03-30T00:00:00"/>
        <d v="2013-03-31T00:00:00"/>
        <d v="2013-04-01T00:00:00"/>
        <d v="2013-04-02T00:00:00"/>
        <d v="2013-04-03T00:00:00"/>
        <d v="2013-04-04T00:00:00"/>
        <d v="2013-04-05T00:00:00"/>
        <d v="2013-04-06T00:00:00"/>
        <d v="2013-04-07T00:00:00"/>
        <d v="2013-04-08T00:00:00"/>
        <d v="2013-04-09T00:00:00"/>
        <d v="2013-04-10T00:00:00"/>
        <d v="2013-04-11T00:00:00"/>
        <d v="2013-04-12T00:00:00"/>
        <d v="2013-04-13T00:00:00"/>
        <d v="2013-04-14T00:00:00"/>
        <d v="2013-04-15T00:00:00"/>
        <d v="2013-04-16T00:00:00"/>
        <d v="2013-04-17T00:00:00"/>
        <d v="2013-04-18T00:00:00"/>
        <d v="2013-04-19T00:00:00"/>
        <d v="2013-04-20T00:00:00"/>
        <d v="2013-04-21T00:00:00"/>
        <d v="2013-04-22T00:00:00"/>
        <d v="2013-04-23T00:00:00"/>
        <d v="2013-04-24T00:00:00"/>
        <d v="2013-04-25T00:00:00"/>
        <d v="2013-04-26T00:00:00"/>
        <d v="2013-04-27T00:00:00"/>
        <d v="2013-04-28T00:00:00"/>
        <d v="2013-04-29T00:00:00"/>
        <d v="2013-04-30T00:00:00"/>
        <d v="2013-05-01T00:00:00"/>
        <d v="2013-05-02T00:00:00"/>
        <d v="2013-05-03T00:00:00"/>
        <d v="2013-05-04T00:00:00"/>
        <d v="2013-05-05T00:00:00"/>
        <d v="2013-05-06T00:00:00"/>
        <d v="2013-05-07T00:00:00"/>
        <d v="2013-05-08T00:00:00"/>
        <d v="2013-05-09T00:00:00"/>
        <d v="2013-05-10T00:00:00"/>
        <d v="2013-05-11T00:00:00"/>
        <d v="2013-05-12T00:00:00"/>
        <d v="2013-05-13T00:00:00"/>
        <d v="2013-05-14T00:00:00"/>
        <d v="2013-05-15T00:00:00"/>
        <d v="2013-05-16T00:00:00"/>
        <d v="2013-05-17T00:00:00"/>
        <d v="2013-05-18T00:00:00"/>
        <d v="2013-05-19T00:00:00"/>
        <d v="2013-05-20T00:00:00"/>
        <d v="2013-05-21T00:00:00"/>
        <d v="2013-05-22T00:00:00"/>
        <d v="2013-05-23T00:00:00"/>
        <d v="2013-05-24T00:00:00"/>
        <d v="2013-05-25T00:00:00"/>
        <d v="2013-05-26T00:00:00"/>
        <d v="2013-05-27T00:00:00"/>
        <d v="2013-05-28T00:00:00"/>
        <d v="2013-05-29T00:00:00"/>
        <d v="2013-05-30T00:00:00"/>
        <d v="2013-05-31T00:00:00"/>
        <d v="2013-06-01T00:00:00"/>
        <d v="2013-06-02T00:00:00"/>
        <d v="2013-06-03T00:00:00"/>
        <d v="2013-06-04T00:00:00"/>
        <d v="2013-06-05T00:00:00"/>
        <d v="2013-06-06T00:00:00"/>
        <d v="2013-06-07T00:00:00"/>
        <d v="2013-06-08T00:00:00"/>
        <d v="2013-06-09T00:00:00"/>
        <d v="2013-06-10T00:00:00"/>
        <d v="2013-06-11T00:00:00"/>
        <d v="2013-06-12T00:00:00"/>
        <d v="2013-06-13T00:00:00"/>
        <d v="2013-06-14T00:00:00"/>
        <d v="2013-06-15T00:00:00"/>
        <d v="2013-06-16T00:00:00"/>
        <d v="2013-06-17T00:00:00"/>
        <d v="2013-06-18T00:00:00"/>
        <d v="2013-06-19T00:00:00"/>
        <d v="2013-06-20T00:00:00"/>
        <d v="2013-06-21T00:00:00"/>
        <d v="2013-06-22T00:00:00"/>
        <d v="2013-06-23T00:00:00"/>
        <d v="2013-06-24T00:00:00"/>
        <d v="2013-06-25T00:00:00"/>
        <d v="2013-06-26T00:00:00"/>
        <d v="2013-06-27T00:00:00"/>
        <d v="2013-06-28T00:00:00"/>
        <d v="2013-06-29T00:00:00"/>
        <d v="2013-06-30T00:00:00"/>
        <d v="2013-07-01T00:00:00"/>
        <d v="2013-07-02T00:00:00"/>
        <d v="2013-07-03T00:00:00"/>
        <d v="2013-07-04T00:00:00"/>
        <d v="2013-07-05T00:00:00"/>
        <d v="2013-07-06T00:00:00"/>
        <d v="2013-07-07T00:00:00"/>
        <d v="2013-07-08T00:00:00"/>
        <d v="2013-07-09T00:00:00"/>
        <d v="2013-07-10T00:00:00"/>
        <d v="2013-07-11T00:00:00"/>
        <d v="2013-07-12T00:00:00"/>
        <d v="2013-07-13T00:00:00"/>
        <d v="2013-07-14T00:00:00"/>
        <d v="2013-07-15T00:00:00"/>
        <d v="2013-07-16T00:00:00"/>
        <d v="2013-07-17T00:00:00"/>
        <d v="2013-07-18T00:00:00"/>
        <d v="2013-07-19T00:00:00"/>
        <d v="2013-07-20T00:00:00"/>
        <d v="2013-07-21T00:00:00"/>
        <d v="2013-07-22T00:00:00"/>
        <d v="2013-07-23T00:00:00"/>
        <d v="2013-07-24T00:00:00"/>
        <d v="2013-07-25T00:00:00"/>
        <d v="2013-07-26T00:00:00"/>
        <d v="2013-07-27T00:00:00"/>
        <d v="2013-07-28T00:00:00"/>
        <d v="2013-07-29T00:00:00"/>
        <d v="2013-07-30T00:00:00"/>
        <d v="2013-07-31T00:00:00"/>
        <d v="2013-08-01T00:00:00"/>
        <d v="2013-08-02T00:00:00"/>
        <d v="2013-08-03T00:00:00"/>
        <d v="2013-08-04T00:00:00"/>
        <d v="2013-08-05T00:00:00"/>
        <d v="2013-08-06T00:00:00"/>
        <d v="2013-08-07T00:00:00"/>
        <d v="2013-08-08T00:00:00"/>
        <d v="2013-08-09T00:00:00"/>
        <d v="2013-08-10T00:00:00"/>
        <d v="2013-08-11T00:00:00"/>
        <d v="2013-08-12T00:00:00"/>
        <d v="2013-08-13T00:00:00"/>
        <d v="2013-08-14T00:00:00"/>
        <d v="2013-08-15T00:00:00"/>
        <d v="2013-08-16T00:00:00"/>
        <d v="2013-08-17T00:00:00"/>
        <d v="2013-08-18T00:00:00"/>
        <d v="2013-08-19T00:00:00"/>
        <d v="2013-08-20T00:00:00"/>
        <d v="2013-08-21T00:00:00"/>
        <d v="2013-08-22T00:00:00"/>
        <d v="2013-08-23T00:00:00"/>
        <d v="2013-08-24T00:00:00"/>
        <d v="2013-08-25T00:00:00"/>
        <d v="2013-08-26T00:00:00"/>
        <d v="2013-08-27T00:00:00"/>
        <d v="2013-08-28T00:00:00"/>
        <d v="2013-08-29T00:00:00"/>
        <d v="2013-08-30T00:00:00"/>
        <d v="2013-08-31T00:00:00"/>
        <d v="2013-09-01T00:00:00"/>
        <d v="2013-09-02T00:00:00"/>
        <d v="2013-09-03T00:00:00"/>
        <d v="2013-09-04T00:00:00"/>
        <d v="2013-09-05T00:00:00"/>
        <d v="2013-09-06T00:00:00"/>
        <d v="2013-09-07T00:00:00"/>
        <d v="2013-09-08T00:00:00"/>
        <d v="2013-09-09T00:00:00"/>
        <d v="2013-09-10T00:00:00"/>
        <d v="2013-09-11T00:00:00"/>
        <d v="2013-09-12T00:00:00"/>
        <d v="2013-09-13T00:00:00"/>
        <d v="2013-09-14T00:00:00"/>
        <d v="2013-09-15T00:00:00"/>
        <d v="2013-09-16T00:00:00"/>
        <d v="2013-09-17T00:00:00"/>
        <d v="2013-09-18T00:00:00"/>
        <d v="2013-09-19T00:00:00"/>
        <d v="2013-09-20T00:00:00"/>
        <d v="2013-09-21T00:00:00"/>
        <d v="2013-09-22T00:00:00"/>
        <d v="2013-09-23T00:00:00"/>
        <d v="2013-09-24T00:00:00"/>
        <d v="2013-09-25T00:00:00"/>
        <d v="2013-09-26T00:00:00"/>
        <d v="2013-09-27T00:00:00"/>
        <d v="2013-09-28T00:00:00"/>
        <d v="2013-09-29T00:00:00"/>
        <d v="2013-09-30T00:00:00"/>
        <d v="2013-10-01T00:00:00"/>
        <d v="2013-10-02T00:00:00"/>
        <d v="2013-10-03T00:00:00"/>
        <d v="2013-10-04T00:00:00"/>
        <d v="2013-10-05T00:00:00"/>
        <d v="2013-10-06T00:00:00"/>
        <d v="2013-10-07T00:00:00"/>
        <d v="2013-10-08T00:00:00"/>
        <d v="2013-10-09T00:00:00"/>
        <d v="2013-10-10T00:00:00"/>
        <d v="2013-10-11T00:00:00"/>
        <d v="2013-10-12T00:00:00"/>
        <d v="2013-10-13T00:00:00"/>
        <d v="2013-10-14T00:00:00"/>
        <d v="2013-10-15T00:00:00"/>
        <d v="2013-10-16T00:00:00"/>
        <d v="2013-10-17T00:00:00"/>
        <d v="2013-10-18T00:00:00"/>
        <d v="2013-10-19T00:00:00"/>
        <d v="2013-10-20T00:00:00"/>
        <d v="2013-10-21T00:00:00"/>
        <d v="2013-10-22T00:00:00"/>
        <d v="2013-10-23T00:00:00"/>
        <d v="2013-10-24T00:00:00"/>
        <d v="2013-10-25T00:00:00"/>
        <d v="2013-10-26T00:00:00"/>
        <d v="2013-10-27T00:00:00"/>
        <d v="2013-10-28T00:00:00"/>
        <d v="2013-10-29T00:00:00"/>
        <d v="2013-10-30T00:00:00"/>
        <d v="2013-10-31T00:00:00"/>
        <d v="2013-11-01T00:00:00"/>
        <d v="2013-11-02T00:00:00"/>
        <d v="2013-11-03T00:00:00"/>
        <d v="2013-11-04T00:00:00"/>
        <d v="2013-11-05T00:00:00"/>
        <d v="2013-11-06T00:00:00"/>
        <d v="2013-11-07T00:00:00"/>
        <d v="2013-11-08T00:00:00"/>
        <d v="2013-11-09T00:00:00"/>
        <d v="2013-11-10T00:00:00"/>
        <d v="2013-11-11T00:00:00"/>
        <d v="2013-11-12T00:00:00"/>
        <d v="2013-11-13T00:00:00"/>
        <d v="2013-11-14T00:00:00"/>
        <d v="2013-11-15T00:00:00"/>
        <d v="2013-11-16T00:00:00"/>
        <d v="2013-11-17T00:00:00"/>
        <d v="2013-11-18T00:00:00"/>
        <d v="2013-11-19T00:00:00"/>
        <d v="2013-11-20T00:00:00"/>
        <d v="2013-11-21T00:00:00"/>
        <d v="2013-11-22T00:00:00"/>
        <d v="2013-11-23T00:00:00"/>
        <d v="2013-11-24T00:00:00"/>
        <d v="2013-11-25T00:00:00"/>
        <d v="2013-11-26T00:00:00"/>
        <d v="2013-11-27T00:00:00"/>
        <d v="2013-11-28T00:00:00"/>
        <d v="2013-11-29T00:00:00"/>
        <d v="2013-11-30T00:00:00"/>
        <d v="2013-12-01T00:00:00"/>
        <d v="2013-12-02T00:00:00"/>
        <d v="2013-12-03T00:00:00"/>
        <d v="2013-12-04T00:00:00"/>
        <d v="2013-12-05T00:00:00"/>
        <d v="2013-12-06T00:00:00"/>
        <d v="2013-12-07T00:00:00"/>
        <d v="2013-12-08T00:00:00"/>
        <d v="2013-12-09T00:00:00"/>
        <d v="2013-12-10T00:00:00"/>
        <d v="2013-12-11T00:00:00"/>
        <d v="2013-12-12T00:00:00"/>
        <d v="2013-12-13T00:00:00"/>
        <d v="2013-12-14T00:00:00"/>
        <d v="2013-12-15T00:00:00"/>
        <d v="2013-12-16T00:00:00"/>
        <d v="2013-12-17T00:00:00"/>
        <d v="2013-12-18T00:00:00"/>
        <d v="2013-12-19T00:00:00"/>
        <d v="2013-12-20T00:00:00"/>
        <d v="2013-12-21T00:00:00"/>
        <d v="2013-12-22T00:00:00"/>
        <d v="2013-12-23T00:00:00"/>
        <d v="2013-12-24T00:00:00"/>
        <d v="2013-12-25T00:00:00"/>
        <d v="2013-12-26T00:00:00"/>
        <d v="2013-12-27T00:00:00"/>
        <d v="2013-12-28T00:00:00"/>
        <d v="2013-12-29T00:00:00"/>
        <d v="2013-12-30T00:00:00"/>
        <d v="2013-12-31T00:00:00"/>
        <d v="2014-01-01T00:00:00"/>
        <d v="2014-01-02T00:00:00"/>
        <d v="2014-01-03T00:00:00"/>
        <d v="2014-01-04T00:00:00"/>
        <d v="2014-01-05T00:00:00"/>
        <d v="2014-01-06T00:00:00"/>
        <d v="2014-01-07T00:00:00"/>
        <d v="2014-01-08T00:00:00"/>
        <d v="2014-01-09T00:00:00"/>
        <d v="2014-01-10T00:00:00"/>
        <d v="2014-01-11T00:00:00"/>
        <d v="2014-01-12T00:00:00"/>
        <d v="2014-01-13T00:00:00"/>
        <d v="2014-01-14T00:00:00"/>
        <d v="2014-01-15T00:00:00"/>
        <d v="2014-01-16T00:00:00"/>
        <d v="2014-01-17T00:00:00"/>
        <d v="2014-01-18T00:00:00"/>
        <d v="2014-01-19T00:00:00"/>
        <d v="2014-01-20T00:00:00"/>
        <d v="2014-01-21T00:00:00"/>
        <d v="2014-01-22T00:00:00"/>
        <d v="2014-01-23T00:00:00"/>
        <d v="2014-01-24T00:00:00"/>
        <d v="2014-01-25T00:00:00"/>
        <d v="2014-01-26T00:00:00"/>
        <d v="2014-01-27T00:00:00"/>
        <d v="2014-01-28T00:00:00"/>
        <d v="2014-01-29T00:00:00"/>
        <d v="2014-01-30T00:00:00"/>
        <d v="2014-01-31T00:00:00"/>
        <d v="2014-02-01T00:00:00"/>
        <d v="2014-02-02T00:00:00"/>
        <d v="2014-02-03T00:00:00"/>
        <d v="2014-02-04T00:00:00"/>
        <d v="2014-02-05T00:00:00"/>
        <d v="2014-02-06T00:00:00"/>
        <d v="2014-02-07T00:00:00"/>
        <d v="2014-02-08T00:00:00"/>
        <d v="2014-02-09T00:00:00"/>
        <d v="2014-02-10T00:00:00"/>
        <d v="2014-02-11T00:00:00"/>
        <d v="2014-02-12T00:00:00"/>
        <d v="2014-02-13T00:00:00"/>
        <d v="2014-02-14T00:00:00"/>
        <d v="2014-02-15T00:00:00"/>
        <d v="2014-02-16T00:00:00"/>
        <d v="2014-02-17T00:00:00"/>
        <d v="2014-02-18T00:00:00"/>
        <d v="2014-02-19T00:00:00"/>
        <d v="2014-02-20T00:00:00"/>
        <d v="2014-02-21T00:00:00"/>
        <d v="2014-02-22T00:00:00"/>
        <d v="2014-02-23T00:00:00"/>
        <d v="2014-02-24T00:00:00"/>
        <d v="2014-02-25T00:00:00"/>
        <d v="2014-02-26T00:00:00"/>
        <d v="2014-02-27T00:00:00"/>
        <d v="2014-02-28T00:00:00"/>
        <d v="2014-03-01T00:00:00"/>
        <d v="2014-03-02T00:00:00"/>
        <d v="2014-03-03T00:00:00"/>
        <d v="2014-03-04T00:00:00"/>
        <d v="2014-03-05T00:00:00"/>
        <d v="2014-03-06T00:00:00"/>
        <d v="2014-03-07T00:00:00"/>
        <d v="2014-03-08T00:00:00"/>
        <d v="2014-03-09T00:00:00"/>
        <d v="2014-03-10T00:00:00"/>
        <d v="2014-03-11T00:00:00"/>
        <d v="2014-03-12T00:00:00"/>
        <d v="2014-03-13T00:00:00"/>
        <d v="2014-03-14T00:00:00"/>
        <d v="2014-03-15T00:00:00"/>
        <d v="2014-03-16T00:00:00"/>
        <d v="2014-03-17T00:00:00"/>
        <d v="2014-03-18T00:00:00"/>
        <d v="2014-03-19T00:00:00"/>
        <d v="2014-03-20T00:00:00"/>
        <d v="2014-03-21T00:00:00"/>
        <d v="2014-03-22T00:00:00"/>
        <d v="2014-03-23T00:00:00"/>
        <d v="2014-03-24T00:00:00"/>
        <d v="2014-03-25T00:00:00"/>
        <d v="2014-03-26T00:00:00"/>
        <d v="2014-03-27T00:00:00"/>
        <d v="2014-03-28T00:00:00"/>
        <d v="2014-03-29T00:00:00"/>
        <d v="2014-03-30T00:00:00"/>
        <d v="2014-03-31T00:00:00"/>
        <d v="2014-04-01T00:00:00"/>
        <d v="2014-04-02T00:00:00"/>
        <d v="2014-04-03T00:00:00"/>
        <d v="2014-04-04T00:00:00"/>
        <d v="2014-04-05T00:00:00"/>
        <d v="2014-04-06T00:00:00"/>
        <d v="2014-04-07T00:00:00"/>
        <d v="2014-04-08T00:00:00"/>
        <d v="2014-04-09T00:00:00"/>
        <d v="2014-04-10T00:00:00"/>
        <d v="2014-04-11T00:00:00"/>
        <d v="2014-04-12T00:00:00"/>
        <d v="2014-04-13T00:00:00"/>
        <d v="2014-04-14T00:00:00"/>
        <d v="2014-04-15T00:00:00"/>
        <d v="2014-04-16T00:00:00"/>
        <d v="2014-04-17T00:00:00"/>
        <d v="2014-04-18T00:00:00"/>
        <d v="2014-04-19T00:00:00"/>
        <d v="2014-04-20T00:00:00"/>
        <d v="2014-04-21T00:00:00"/>
        <d v="2014-04-22T00:00:00"/>
        <d v="2014-04-23T00:00:00"/>
        <d v="2014-04-24T00:00:00"/>
        <d v="2014-04-25T00:00:00"/>
        <d v="2014-04-26T00:00:00"/>
        <d v="2014-04-27T00:00:00"/>
        <d v="2014-04-28T00:00:00"/>
        <d v="2014-04-29T00:00:00"/>
        <d v="2014-04-30T00:00:00"/>
        <d v="2014-05-01T00:00:00"/>
        <d v="2014-05-02T00:00:00"/>
        <d v="2014-05-03T00:00:00"/>
        <d v="2014-05-04T00:00:00"/>
        <d v="2014-05-05T00:00:00"/>
        <d v="2014-05-06T00:00:00"/>
        <d v="2014-05-07T00:00:00"/>
        <d v="2014-05-08T00:00:00"/>
        <d v="2014-05-09T00:00:00"/>
        <d v="2014-05-10T00:00:00"/>
        <d v="2014-05-11T00:00:00"/>
        <d v="2014-05-12T00:00:00"/>
        <d v="2014-05-13T00:00:00"/>
        <d v="2014-05-14T00:00:00"/>
        <d v="2014-05-15T00:00:00"/>
        <d v="2014-05-16T00:00:00"/>
        <d v="2014-05-17T00:00:00"/>
        <d v="2014-05-18T00:00:00"/>
        <d v="2014-05-19T00:00:00"/>
        <d v="2014-05-20T00:00:00"/>
        <d v="2014-05-21T00:00:00"/>
        <d v="2014-05-22T00:00:00"/>
        <d v="2014-05-23T00:00:00"/>
        <d v="2014-05-24T00:00:00"/>
        <d v="2014-05-25T00:00:00"/>
        <d v="2014-05-26T00:00:00"/>
        <d v="2014-05-27T00:00:00"/>
        <d v="2014-05-28T00:00:00"/>
        <d v="2014-05-29T00:00:00"/>
        <d v="2014-05-30T00:00:00"/>
        <d v="2014-05-31T00:00:00"/>
        <d v="2014-06-01T00:00:00"/>
        <d v="2014-06-02T00:00:00"/>
        <d v="2014-06-03T00:00:00"/>
        <d v="2014-06-04T00:00:00"/>
        <d v="2014-06-05T00:00:00"/>
        <d v="2014-06-06T00:00:00"/>
        <d v="2014-06-07T00:00:00"/>
        <d v="2014-06-08T00:00:00"/>
        <d v="2014-06-09T00:00:00"/>
        <d v="2014-06-10T00:00:00"/>
        <d v="2014-06-11T00:00:00"/>
        <d v="2014-06-12T00:00:00"/>
        <d v="2014-06-13T00:00:00"/>
        <d v="2014-06-14T00:00:00"/>
        <d v="2014-06-15T00:00:00"/>
        <d v="2014-06-16T00:00:00"/>
        <d v="2014-06-17T00:00:00"/>
        <d v="2014-06-18T00:00:00"/>
        <d v="2014-06-19T00:00:00"/>
        <d v="2014-06-20T00:00:00"/>
        <d v="2014-06-21T00:00:00"/>
        <d v="2014-06-22T00:00:00"/>
        <d v="2014-06-23T00:00:00"/>
        <d v="2014-06-24T00:00:00"/>
        <d v="2014-06-25T00:00:00"/>
        <d v="2014-06-26T00:00:00"/>
        <d v="2014-06-27T00:00:00"/>
        <d v="2014-06-28T00:00:00"/>
        <d v="2014-06-29T00:00:00"/>
        <d v="2014-06-30T00:00:00"/>
        <d v="2014-07-01T00:00:00"/>
        <d v="2014-07-02T00:00:00"/>
        <d v="2014-07-03T00:00:00"/>
        <d v="2014-07-04T00:00:00"/>
        <d v="2014-07-05T00:00:00"/>
        <d v="2014-07-06T00:00:00"/>
        <d v="2014-07-07T00:00:00"/>
        <d v="2014-07-08T00:00:00"/>
        <d v="2014-07-09T00:00:00"/>
        <d v="2014-07-10T00:00:00"/>
        <d v="2014-07-11T00:00:00"/>
        <d v="2014-07-12T00:00:00"/>
        <d v="2014-07-13T00:00:00"/>
        <d v="2014-07-14T00:00:00"/>
        <d v="2014-07-15T00:00:00"/>
        <d v="2014-07-16T00:00:00"/>
        <d v="2014-07-17T00:00:00"/>
        <d v="2014-07-18T00:00:00"/>
        <d v="2014-07-19T00:00:00"/>
        <d v="2014-07-20T00:00:00"/>
        <d v="2014-07-21T00:00:00"/>
        <d v="2014-07-22T00:00:00"/>
        <d v="2014-07-23T00:00:00"/>
        <d v="2014-07-24T00:00:00"/>
        <d v="2014-07-25T00:00:00"/>
        <d v="2014-07-26T00:00:00"/>
        <d v="2014-07-27T00:00:00"/>
        <d v="2014-07-28T00:00:00"/>
        <d v="2014-07-29T00:00:00"/>
        <d v="2014-07-30T00:00:00"/>
        <d v="2014-07-31T00:00:00"/>
        <d v="2014-08-01T00:00:00"/>
        <d v="2014-08-02T00:00:00"/>
        <d v="2014-08-03T00:00:00"/>
        <d v="2014-08-04T00:00:00"/>
        <d v="2014-08-05T00:00:00"/>
        <d v="2014-08-06T00:00:00"/>
        <d v="2014-08-07T00:00:00"/>
        <d v="2014-08-08T00:00:00"/>
        <d v="2014-08-09T00:00:00"/>
        <d v="2014-08-10T00:00:00"/>
        <d v="2014-08-11T00:00:00"/>
        <d v="2014-08-12T00:00:00"/>
        <d v="2014-08-13T00:00:00"/>
        <d v="2014-08-14T00:00:00"/>
        <d v="2014-08-15T00:00:00"/>
        <d v="2014-08-16T00:00:00"/>
        <d v="2014-08-17T00:00:00"/>
        <d v="2014-08-18T00:00:00"/>
        <d v="2014-08-19T00:00:00"/>
        <d v="2014-08-20T00:00:00"/>
        <d v="2014-08-21T00:00:00"/>
        <d v="2014-08-22T00:00:00"/>
        <d v="2014-08-23T00:00:00"/>
        <d v="2014-08-24T00:00:00"/>
        <d v="2014-08-25T00:00:00"/>
        <d v="2014-08-26T00:00:00"/>
        <d v="2014-08-27T00:00:00"/>
        <d v="2014-08-28T00:00:00"/>
        <d v="2014-08-29T00:00:00"/>
        <d v="2014-08-30T00:00:00"/>
        <d v="2014-08-31T00:00:00"/>
        <d v="2014-09-01T00:00:00"/>
        <d v="2014-09-02T00:00:00"/>
        <d v="2014-09-03T00:00:00"/>
        <d v="2014-09-04T00:00:00"/>
        <d v="2014-09-05T00:00:00"/>
        <d v="2014-09-06T00:00:00"/>
        <d v="2014-09-07T00:00:00"/>
        <d v="2014-09-08T00:00:00"/>
        <d v="2014-09-09T00:00:00"/>
        <d v="2014-09-10T00:00:00"/>
        <d v="2014-09-11T00:00:00"/>
        <d v="2014-09-12T00:00:00"/>
        <d v="2014-09-13T00:00:00"/>
        <d v="2014-09-14T00:00:00"/>
        <d v="2014-09-15T00:00:00"/>
        <d v="2014-09-16T00:00:00"/>
        <d v="2014-09-17T00:00:00"/>
        <d v="2014-09-18T00:00:00"/>
        <d v="2014-09-19T00:00:00"/>
        <d v="2014-09-20T00:00:00"/>
        <d v="2014-09-21T00:00:00"/>
        <d v="2014-09-22T00:00:00"/>
        <d v="2014-09-23T00:00:00"/>
        <d v="2014-09-24T00:00:00"/>
        <d v="2014-09-25T00:00:00"/>
        <d v="2014-09-26T00:00:00"/>
        <d v="2014-09-27T00:00:00"/>
        <d v="2014-09-28T00:00:00"/>
        <d v="2014-09-29T00:00:00"/>
        <d v="2014-09-30T00:00:00"/>
        <d v="2014-10-01T00:00:00"/>
        <d v="2014-10-02T00:00:00"/>
        <d v="2014-10-03T00:00:00"/>
        <d v="2014-10-04T00:00:00"/>
        <d v="2014-10-05T00:00:00"/>
        <d v="2014-10-06T00:00:00"/>
        <d v="2014-10-07T00:00:00"/>
        <d v="2014-10-08T00:00:00"/>
        <d v="2014-10-09T00:00:00"/>
        <d v="2014-10-10T00:00:00"/>
        <d v="2014-10-11T00:00:00"/>
        <d v="2014-10-12T00:00:00"/>
        <d v="2014-10-13T00:00:00"/>
        <d v="2014-10-14T00:00:00"/>
        <d v="2014-10-15T00:00:00"/>
        <d v="2014-10-16T00:00:00"/>
        <d v="2014-10-17T00:00:00"/>
        <d v="2014-10-18T00:00:00"/>
        <d v="2014-10-19T00:00:00"/>
        <d v="2014-10-20T00:00:00"/>
        <d v="2014-10-21T00:00:00"/>
        <d v="2014-10-22T00:00:00"/>
        <d v="2014-10-23T00:00:00"/>
        <d v="2014-10-24T00:00:00"/>
        <d v="2014-10-25T00:00:00"/>
        <d v="2014-10-26T00:00:00"/>
        <d v="2014-10-27T00:00:00"/>
        <d v="2014-10-28T00:00:00"/>
        <d v="2014-10-29T00:00:00"/>
        <d v="2014-10-30T00:00:00"/>
        <d v="2014-10-31T00:00:00"/>
        <d v="2014-11-01T00:00:00"/>
        <d v="2014-11-02T00:00:00"/>
        <d v="2014-11-03T00:00:00"/>
        <d v="2014-11-04T00:00:00"/>
        <d v="2014-11-05T00:00:00"/>
        <d v="2014-11-06T00:00:00"/>
        <d v="2014-11-07T00:00:00"/>
        <d v="2014-11-08T00:00:00"/>
        <d v="2014-11-09T00:00:00"/>
        <d v="2014-11-10T00:00:00"/>
        <d v="2014-11-11T00:00:00"/>
        <d v="2014-11-12T00:00:00"/>
        <d v="2014-11-13T00:00:00"/>
        <d v="2014-11-14T00:00:00"/>
        <d v="2014-11-15T00:00:00"/>
        <d v="2014-11-16T00:00:00"/>
        <d v="2014-11-17T00:00:00"/>
        <d v="2014-11-18T00:00:00"/>
        <d v="2014-11-19T00:00:00"/>
        <d v="2014-11-20T00:00:00"/>
        <d v="2014-11-21T00:00:00"/>
        <d v="2014-11-22T00:00:00"/>
        <d v="2014-11-23T00:00:00"/>
        <d v="2014-11-24T00:00:00"/>
        <d v="2014-11-25T00:00:00"/>
        <d v="2014-11-26T00:00:00"/>
        <d v="2014-11-27T00:00:00"/>
        <d v="2014-11-28T00:00:00"/>
        <d v="2014-11-29T00:00:00"/>
        <d v="2014-11-30T00:00:00"/>
        <d v="2014-12-01T00:00:00"/>
        <d v="2014-12-02T00:00:00"/>
        <d v="2014-12-03T00:00:00"/>
        <d v="2014-12-04T00:00:00"/>
        <d v="2014-12-05T00:00:00"/>
        <d v="2014-12-06T00:00:00"/>
        <d v="2014-12-07T00:00:00"/>
        <d v="2014-12-08T00:00:00"/>
        <d v="2014-12-09T00:00:00"/>
        <d v="2014-12-10T00:00:00"/>
        <d v="2014-12-11T00:00:00"/>
        <d v="2014-12-12T00:00:00"/>
        <d v="2014-12-13T00:00:00"/>
        <d v="2014-12-14T00:00:00"/>
        <d v="2014-12-15T00:00:00"/>
        <d v="2014-12-16T00:00:00"/>
        <d v="2014-12-17T00:00:00"/>
        <d v="2014-12-18T00:00:00"/>
        <d v="2014-12-19T00:00:00"/>
        <d v="2014-12-20T00:00:00"/>
        <d v="2014-12-21T00:00:00"/>
        <d v="2014-12-22T00:00:00"/>
        <d v="2014-12-23T00:00:00"/>
        <d v="2014-12-24T00:00:00"/>
        <d v="2014-12-25T00:00:00"/>
        <d v="2014-12-26T00:00:00"/>
        <d v="2014-12-27T00:00:00"/>
        <d v="2014-12-28T00:00:00"/>
        <d v="2014-12-29T00:00:00"/>
        <d v="2014-12-30T00:00:00"/>
        <d v="2014-12-31T00:00:00"/>
        <d v="2015-01-01T00:00:00"/>
        <d v="2015-01-02T00:00:00"/>
        <d v="2015-01-03T00:00:00"/>
        <d v="2015-01-04T00:00:00"/>
        <d v="2015-01-05T00:00:00"/>
        <d v="2015-01-06T00:00:00"/>
        <d v="2015-01-07T00:00:00"/>
        <d v="2015-01-08T00:00:00"/>
        <d v="2015-01-09T00:00:00"/>
        <d v="2015-01-10T00:00:00"/>
        <d v="2015-01-11T00:00:00"/>
        <d v="2015-01-12T00:00:00"/>
        <d v="2015-01-13T00:00:00"/>
        <d v="2015-01-14T00:00:00"/>
        <d v="2015-01-15T00:00:00"/>
        <d v="2015-01-16T00:00:00"/>
        <d v="2015-01-17T00:00:00"/>
        <d v="2015-01-18T00:00:00"/>
        <d v="2015-01-19T00:00:00"/>
        <d v="2015-01-20T00:00:00"/>
        <d v="2015-01-21T00:00:00"/>
        <d v="2015-01-22T00:00:00"/>
        <d v="2015-01-23T00:00:00"/>
        <d v="2015-01-24T00:00:00"/>
        <d v="2015-01-25T00:00:00"/>
        <d v="2015-01-26T00:00:00"/>
        <d v="2015-01-27T00:00:00"/>
        <d v="2015-01-28T00:00:00"/>
        <d v="2015-01-29T00:00:00"/>
        <d v="2015-01-30T00:00:00"/>
        <d v="2015-01-31T00:00:00"/>
        <d v="2015-02-01T00:00:00"/>
        <d v="2015-02-02T00:00:00"/>
        <d v="2015-02-03T00:00:00"/>
        <d v="2015-02-04T00:00:00"/>
        <d v="2015-02-05T00:00:00"/>
        <d v="2015-02-06T00:00:00"/>
        <d v="2015-02-07T00:00:00"/>
        <d v="2015-02-08T00:00:00"/>
        <d v="2015-02-09T00:00:00"/>
        <d v="2015-02-10T00:00:00"/>
        <d v="2015-02-11T00:00:00"/>
        <d v="2015-02-12T00:00:00"/>
        <d v="2015-02-13T00:00:00"/>
        <d v="2015-02-14T00:00:00"/>
        <d v="2015-02-15T00:00:00"/>
        <d v="2015-02-16T00:00:00"/>
        <d v="2015-02-17T00:00:00"/>
        <d v="2015-02-18T00:00:00"/>
        <d v="2015-02-19T00:00:00"/>
        <d v="2015-02-20T00:00:00"/>
        <d v="2015-02-21T00:00:00"/>
        <d v="2015-02-22T00:00:00"/>
        <d v="2015-02-23T00:00:00"/>
        <d v="2015-02-24T00:00:00"/>
        <d v="2015-02-25T00:00:00"/>
        <d v="2015-02-26T00:00:00"/>
        <d v="2015-02-27T00:00:00"/>
        <d v="2015-02-28T00:00:00"/>
        <d v="2015-03-01T00:00:00"/>
        <d v="2015-03-02T00:00:00"/>
        <d v="2015-03-03T00:00:00"/>
        <d v="2015-03-04T00:00:00"/>
        <d v="2015-03-05T00:00:00"/>
        <d v="2015-03-06T00:00:00"/>
        <d v="2015-03-07T00:00:00"/>
        <d v="2015-03-08T00:00:00"/>
        <d v="2015-03-09T00:00:00"/>
        <d v="2015-03-10T00:00:00"/>
        <d v="2015-03-11T00:00:00"/>
        <d v="2015-03-12T00:00:00"/>
        <d v="2015-03-13T00:00:00"/>
        <d v="2015-03-14T00:00:00"/>
        <d v="2015-03-15T00:00:00"/>
        <d v="2015-03-16T00:00:00"/>
        <d v="2015-03-17T00:00:00"/>
        <d v="2015-03-18T00:00:00"/>
        <d v="2015-03-19T00:00:00"/>
        <d v="2015-03-20T00:00:00"/>
        <d v="2015-03-21T00:00:00"/>
        <d v="2015-03-22T00:00:00"/>
        <d v="2015-03-23T00:00:00"/>
        <d v="2015-03-24T00:00:00"/>
        <d v="2015-03-25T00:00:00"/>
        <d v="2015-03-26T00:00:00"/>
        <d v="2015-03-27T00:00:00"/>
        <d v="2015-03-28T00:00:00"/>
        <d v="2015-03-29T00:00:00"/>
        <d v="2015-03-30T00:00:00"/>
        <d v="2015-03-31T00:00:00"/>
        <d v="2015-04-01T00:00:00"/>
        <d v="2015-04-02T00:00:00"/>
        <d v="2015-04-03T00:00:00"/>
        <d v="2015-04-04T00:00:00"/>
        <d v="2015-04-05T00:00:00"/>
        <d v="2015-04-06T00:00:00"/>
        <d v="2015-04-07T00:00:00"/>
        <d v="2015-04-08T00:00:00"/>
        <d v="2015-04-09T00:00:00"/>
        <d v="2015-04-10T00:00:00"/>
        <d v="2015-04-11T00:00:00"/>
        <d v="2015-04-12T00:00:00"/>
        <d v="2015-04-13T00:00:00"/>
        <d v="2015-04-14T00:00:00"/>
        <d v="2015-04-15T00:00:00"/>
        <d v="2015-04-16T00:00:00"/>
        <d v="2015-04-17T00:00:00"/>
        <d v="2015-04-18T00:00:00"/>
        <d v="2015-04-19T00:00:00"/>
        <d v="2015-04-20T00:00:00"/>
        <d v="2015-04-21T00:00:00"/>
        <d v="2015-04-22T00:00:00"/>
        <d v="2015-04-23T00:00:00"/>
        <d v="2015-04-24T00:00:00"/>
        <d v="2015-04-25T00:00:00"/>
        <d v="2015-04-26T00:00:00"/>
        <d v="2015-04-27T00:00:00"/>
        <d v="2015-04-28T00:00:00"/>
        <d v="2015-04-29T00:00:00"/>
        <d v="2015-04-30T00:00:00"/>
        <d v="2015-05-01T00:00:00"/>
        <d v="2015-05-02T00:00:00"/>
        <d v="2015-05-03T00:00:00"/>
        <d v="2015-05-04T00:00:00"/>
        <d v="2015-05-05T00:00:00"/>
        <d v="2015-05-06T00:00:00"/>
        <d v="2015-05-07T00:00:00"/>
        <d v="2015-05-08T00:00:00"/>
        <d v="2015-05-09T00:00:00"/>
        <d v="2015-05-10T00:00:00"/>
        <d v="2015-05-11T00:00:00"/>
        <d v="2015-05-12T00:00:00"/>
        <d v="2015-05-13T00:00:00"/>
        <d v="2015-05-14T00:00:00"/>
        <d v="2015-05-15T00:00:00"/>
        <d v="2015-05-16T00:00:00"/>
        <d v="2015-05-17T00:00:00"/>
        <d v="2015-05-18T00:00:00"/>
        <d v="2015-05-19T00:00:00"/>
        <d v="2015-05-20T00:00:00"/>
        <d v="2015-05-21T00:00:00"/>
        <d v="2015-05-22T00:00:00"/>
        <d v="2015-05-23T00:00:00"/>
        <d v="2015-05-24T00:00:00"/>
        <d v="2015-05-25T00:00:00"/>
        <d v="2015-05-26T00:00:00"/>
        <d v="2015-05-27T00:00:00"/>
        <d v="2015-05-28T00:00:00"/>
        <d v="2015-05-29T00:00:00"/>
        <d v="2015-05-30T00:00:00"/>
        <d v="2015-05-31T00:00:00"/>
        <d v="2015-06-01T00:00:00"/>
        <d v="2015-06-02T00:00:00"/>
        <d v="2015-06-03T00:00:00"/>
        <d v="2015-06-04T00:00:00"/>
        <d v="2015-06-05T00:00:00"/>
        <d v="2015-06-06T00:00:00"/>
        <d v="2015-06-07T00:00:00"/>
        <d v="2015-06-08T00:00:00"/>
        <d v="2015-06-09T00:00:00"/>
        <d v="2015-06-10T00:00:00"/>
        <d v="2015-06-11T00:00:00"/>
        <d v="2015-06-12T00:00:00"/>
        <d v="2015-06-13T00:00:00"/>
        <d v="2015-06-14T00:00:00"/>
        <d v="2015-06-15T00:00:00"/>
        <d v="2015-06-16T00:00:00"/>
        <d v="2015-06-17T00:00:00"/>
        <d v="2015-06-18T00:00:00"/>
        <d v="2015-06-19T00:00:00"/>
        <d v="2015-06-20T00:00:00"/>
        <d v="2015-06-21T00:00:00"/>
        <d v="2015-06-22T00:00:00"/>
        <d v="2015-06-23T00:00:00"/>
        <d v="2015-06-24T00:00:00"/>
        <d v="2015-06-25T00:00:00"/>
        <d v="2015-06-26T00:00:00"/>
        <d v="2015-06-27T00:00:00"/>
        <d v="2015-06-28T00:00:00"/>
        <d v="2015-06-29T00:00:00"/>
        <d v="2015-06-30T00:00:00"/>
        <d v="2015-07-01T00:00:00"/>
        <d v="2015-07-02T00:00:00"/>
        <d v="2015-07-03T00:00:00"/>
        <d v="2015-07-04T00:00:00"/>
        <d v="2015-07-05T00:00:00"/>
        <d v="2015-07-06T00:00:00"/>
        <d v="2015-07-07T00:00:00"/>
        <d v="2015-07-08T00:00:00"/>
        <d v="2015-07-09T00:00:00"/>
        <d v="2015-07-10T00:00:00"/>
        <d v="2015-07-11T00:00:00"/>
        <d v="2015-07-12T00:00:00"/>
        <d v="2015-07-13T00:00:00"/>
        <d v="2015-07-14T00:00:00"/>
        <d v="2015-07-15T00:00:00"/>
        <d v="2015-07-16T00:00:00"/>
        <d v="2015-07-17T00:00:00"/>
        <d v="2015-07-18T00:00:00"/>
        <d v="2015-07-19T00:00:00"/>
        <d v="2015-07-20T00:00:00"/>
        <d v="2015-07-21T00:00:00"/>
        <d v="2015-07-22T00:00:00"/>
        <d v="2015-07-23T00:00:00"/>
        <d v="2015-07-24T00:00:00"/>
        <d v="2015-07-25T00:00:00"/>
        <d v="2015-07-26T00:00:00"/>
        <d v="2015-07-27T00:00:00"/>
        <d v="2015-07-28T00:00:00"/>
        <d v="2015-07-29T00:00:00"/>
        <d v="2015-07-30T00:00:00"/>
        <d v="2015-07-31T00:00:00"/>
        <d v="2015-08-01T00:00:00"/>
        <d v="2015-08-02T00:00:00"/>
        <d v="2015-08-03T00:00:00"/>
        <d v="2015-08-04T00:00:00"/>
        <d v="2015-08-05T00:00:00"/>
        <d v="2015-08-06T00:00:00"/>
        <d v="2015-08-07T00:00:00"/>
        <d v="2015-08-08T00:00:00"/>
        <d v="2015-08-09T00:00:00"/>
        <d v="2015-08-10T00:00:00"/>
        <d v="2015-08-11T00:00:00"/>
        <d v="2015-08-12T00:00:00"/>
        <d v="2015-08-13T00:00:00"/>
        <d v="2015-08-14T00:00:00"/>
        <d v="2015-08-15T00:00:00"/>
        <d v="2015-08-16T00:00:00"/>
        <d v="2015-08-17T00:00:00"/>
        <d v="2015-08-18T00:00:00"/>
        <d v="2015-08-19T00:00:00"/>
        <d v="2015-08-20T00:00:00"/>
        <d v="2015-08-21T00:00:00"/>
        <d v="2015-08-22T00:00:00"/>
        <d v="2015-08-23T00:00:00"/>
        <d v="2015-08-24T00:00:00"/>
        <d v="2015-08-25T00:00:00"/>
        <d v="2015-08-26T00:00:00"/>
        <d v="2015-08-27T00:00:00"/>
        <d v="2015-08-28T00:00:00"/>
        <d v="2015-08-29T00:00:00"/>
        <d v="2015-08-30T00:00:00"/>
        <d v="2015-08-31T00:00:00"/>
        <d v="2015-09-01T00:00:00"/>
        <d v="2015-09-02T00:00:00"/>
        <d v="2015-09-03T00:00:00"/>
        <d v="2015-09-04T00:00:00"/>
        <d v="2015-09-05T00:00:00"/>
        <d v="2015-09-06T00:00:00"/>
        <d v="2015-09-07T00:00:00"/>
        <d v="2015-09-08T00:00:00"/>
        <d v="2015-09-09T00:00:00"/>
        <d v="2015-09-10T00:00:00"/>
        <d v="2015-09-11T00:00:00"/>
        <d v="2015-09-12T00:00:00"/>
        <d v="2015-09-13T00:00:00"/>
        <d v="2015-09-14T00:00:00"/>
        <d v="2015-09-15T00:00:00"/>
        <d v="2015-09-16T00:00:00"/>
        <d v="2015-09-17T00:00:00"/>
        <d v="2015-09-18T00:00:00"/>
        <d v="2015-09-19T00:00:00"/>
        <d v="2015-09-20T00:00:00"/>
        <d v="2015-09-21T00:00:00"/>
        <d v="2015-09-22T00:00:00"/>
        <d v="2015-09-23T00:00:00"/>
        <d v="2015-09-24T00:00:00"/>
        <d v="2015-09-25T00:00:00"/>
        <d v="2015-09-26T00:00:00"/>
        <d v="2015-09-27T00:00:00"/>
        <d v="2015-09-28T00:00:00"/>
        <d v="2015-09-29T00:00:00"/>
        <d v="2015-09-30T00:00:00"/>
        <d v="2015-10-01T00:00:00"/>
        <d v="2015-10-02T00:00:00"/>
        <d v="2015-10-03T00:00:00"/>
        <d v="2015-10-04T00:00:00"/>
        <d v="2015-10-05T00:00:00"/>
        <d v="2015-10-06T00:00:00"/>
        <d v="2015-10-07T00:00:00"/>
        <d v="2015-10-08T00:00:00"/>
        <d v="2015-10-09T00:00:00"/>
        <d v="2015-10-10T00:00:00"/>
        <d v="2015-10-11T00:00:00"/>
        <d v="2015-10-12T00:00:00"/>
        <d v="2015-10-13T00:00:00"/>
        <d v="2015-10-14T00:00:00"/>
        <d v="2015-10-15T00:00:00"/>
        <d v="2015-10-16T00:00:00"/>
        <d v="2015-10-17T00:00:00"/>
        <d v="2015-10-18T00:00:00"/>
        <d v="2015-10-19T00:00:00"/>
        <d v="2015-10-20T00:00:00"/>
        <d v="2015-10-21T00:00:00"/>
        <d v="2015-10-22T00:00:00"/>
        <d v="2015-10-23T00:00:00"/>
        <d v="2015-10-24T00:00:00"/>
        <d v="2015-10-25T00:00:00"/>
        <d v="2015-10-26T00:00:00"/>
        <d v="2015-10-27T00:00:00"/>
        <d v="2015-10-28T00:00:00"/>
        <d v="2015-10-29T00:00:00"/>
        <d v="2015-10-30T00:00:00"/>
        <d v="2015-10-31T00:00:00"/>
        <d v="2015-11-01T00:00:00"/>
        <d v="2015-11-02T00:00:00"/>
        <d v="2015-11-03T00:00:00"/>
        <d v="2015-11-04T00:00:00"/>
        <d v="2015-11-05T00:00:00"/>
        <d v="2015-11-06T00:00:00"/>
        <d v="2015-11-07T00:00:00"/>
        <d v="2015-11-08T00:00:00"/>
        <d v="2015-11-09T00:00:00"/>
        <d v="2015-11-10T00:00:00"/>
        <d v="2015-11-11T00:00:00"/>
        <d v="2015-11-12T00:00:00"/>
        <d v="2015-11-13T00:00:00"/>
        <d v="2015-11-14T00:00:00"/>
        <d v="2015-11-15T00:00:00"/>
        <d v="2015-11-16T00:00:00"/>
        <d v="2015-11-17T00:00:00"/>
        <d v="2015-11-18T00:00:00"/>
        <d v="2015-11-19T00:00:00"/>
        <d v="2015-11-20T00:00:00"/>
        <d v="2015-11-21T00:00:00"/>
        <d v="2015-11-22T00:00:00"/>
        <d v="2015-11-23T00:00:00"/>
        <d v="2015-11-24T00:00:00"/>
        <d v="2015-11-25T00:00:00"/>
        <d v="2015-11-26T00:00:00"/>
        <d v="2015-11-27T00:00:00"/>
        <d v="2015-11-28T00:00:00"/>
        <d v="2015-11-29T00:00:00"/>
        <d v="2015-11-30T00:00:00"/>
        <d v="2015-12-01T00:00:00"/>
        <d v="2015-12-02T00:00:00"/>
        <d v="2015-12-03T00:00:00"/>
        <d v="2015-12-04T00:00:00"/>
        <d v="2015-12-05T00:00:00"/>
        <d v="2015-12-06T00:00:00"/>
        <d v="2015-12-07T00:00:00"/>
        <d v="2015-12-08T00:00:00"/>
        <d v="2015-12-09T00:00:00"/>
        <d v="2015-12-10T00:00:00"/>
        <d v="2015-12-11T00:00:00"/>
        <d v="2015-12-12T00:00:00"/>
        <d v="2015-12-13T00:00:00"/>
        <d v="2015-12-14T00:00:00"/>
        <d v="2015-12-15T00:00:00"/>
        <d v="2015-12-16T00:00:00"/>
        <d v="2015-12-17T00:00:00"/>
        <d v="2015-12-18T00:00:00"/>
        <d v="2015-12-19T00:00:00"/>
        <d v="2015-12-20T00:00:00"/>
        <d v="2015-12-21T00:00:00"/>
        <d v="2015-12-22T00:00:00"/>
        <d v="2015-12-23T00:00:00"/>
        <d v="2015-12-24T00:00:00"/>
        <d v="2015-12-25T00:00:00"/>
        <d v="2015-12-26T00:00:00"/>
        <d v="2015-12-27T00:00:00"/>
        <d v="2015-12-28T00:00:00"/>
        <d v="2015-12-29T00:00:00"/>
        <d v="2015-12-30T00:00:00"/>
        <d v="2015-12-31T00:00:00"/>
        <d v="2016-01-01T00:00:00"/>
        <d v="2016-01-02T00:00:00"/>
        <d v="2016-01-03T00:00:00"/>
        <d v="2016-01-04T00:00:00"/>
        <d v="2016-01-05T00:00:00"/>
        <d v="2016-01-06T00:00:00"/>
        <d v="2016-01-07T00:00:00"/>
        <d v="2016-01-08T00:00:00"/>
        <d v="2016-01-09T00:00:00"/>
        <d v="2016-01-10T00:00:00"/>
        <d v="2016-01-11T00:00:00"/>
        <d v="2016-01-12T00:00:00"/>
        <d v="2016-01-13T00:00:00"/>
        <d v="2016-01-14T00:00:00"/>
        <d v="2016-01-15T00:00:00"/>
        <d v="2016-01-16T00:00:00"/>
        <d v="2016-01-17T00:00:00"/>
        <d v="2016-01-18T00:00:00"/>
        <d v="2016-01-19T00:00:00"/>
        <d v="2016-01-20T00:00:00"/>
        <d v="2016-01-21T00:00:00"/>
        <d v="2016-01-22T00:00:00"/>
        <d v="2016-01-23T00:00:00"/>
        <d v="2016-01-24T00:00:00"/>
        <d v="2016-01-25T00:00:00"/>
        <d v="2016-01-26T00:00:00"/>
        <d v="2016-01-27T00:00:00"/>
        <d v="2016-01-28T00:00:00"/>
        <d v="2016-01-29T00:00:00"/>
        <d v="2016-01-30T00:00:00"/>
        <d v="2016-01-31T00:00:00"/>
        <d v="2016-02-01T00:00:00"/>
        <d v="2016-02-02T00:00:00"/>
        <d v="2016-02-03T00:00:00"/>
        <d v="2016-02-04T00:00:00"/>
        <d v="2016-02-05T00:00:00"/>
        <d v="2016-02-06T00:00:00"/>
        <d v="2016-02-07T00:00:00"/>
        <d v="2016-02-08T00:00:00"/>
        <d v="2016-02-09T00:00:00"/>
        <d v="2016-02-10T00:00:00"/>
        <d v="2016-02-11T00:00:00"/>
        <d v="2016-02-12T00:00:00"/>
        <d v="2016-02-13T00:00:00"/>
        <d v="2016-02-14T00:00:00"/>
        <d v="2016-02-15T00:00:00"/>
        <d v="2016-02-16T00:00:00"/>
        <d v="2016-02-17T00:00:00"/>
        <d v="2016-02-18T00:00:00"/>
        <d v="2016-02-19T00:00:00"/>
        <d v="2016-02-20T00:00:00"/>
        <d v="2016-02-21T00:00:00"/>
        <d v="2016-02-22T00:00:00"/>
        <d v="2016-02-23T00:00:00"/>
        <d v="2016-02-24T00:00:00"/>
        <d v="2016-02-25T00:00:00"/>
        <d v="2016-02-26T00:00:00"/>
        <d v="2016-02-27T00:00:00"/>
        <d v="2016-02-28T00:00:00"/>
        <d v="2016-02-29T00:00:00"/>
        <d v="2016-03-01T00:00:00"/>
        <d v="2016-03-02T00:00:00"/>
        <d v="2016-03-03T00:00:00"/>
        <d v="2016-03-04T00:00:00"/>
        <d v="2016-03-05T00:00:00"/>
        <d v="2016-03-06T00:00:00"/>
        <d v="2016-03-07T00:00:00"/>
        <d v="2016-03-08T00:00:00"/>
        <d v="2016-03-09T00:00:00"/>
        <d v="2016-03-10T00:00:00"/>
        <d v="2016-03-11T00:00:00"/>
        <d v="2016-03-12T00:00:00"/>
        <d v="2016-03-13T00:00:00"/>
        <d v="2016-03-14T00:00:00"/>
        <d v="2016-03-15T00:00:00"/>
        <d v="2016-03-16T00:00:00"/>
        <d v="2016-03-17T00:00:00"/>
        <d v="2016-03-18T00:00:00"/>
        <d v="2016-03-19T00:00:00"/>
        <d v="2016-03-20T00:00:00"/>
        <d v="2016-03-21T00:00:00"/>
        <d v="2016-03-22T00:00:00"/>
        <d v="2016-03-23T00:00:00"/>
        <d v="2016-03-24T00:00:00"/>
        <d v="2016-03-25T00:00:00"/>
        <d v="2016-03-26T00:00:00"/>
        <d v="2016-03-27T00:00:00"/>
        <d v="2016-03-28T00:00:00"/>
        <d v="2016-03-29T00:00:00"/>
        <d v="2016-03-30T00:00:00"/>
        <d v="2016-03-31T00:00:00"/>
        <d v="2016-04-01T00:00:00"/>
        <d v="2016-04-02T00:00:00"/>
        <d v="2016-04-03T00:00:00"/>
        <d v="2016-04-04T00:00:00"/>
        <d v="2016-04-05T00:00:00"/>
        <d v="2016-04-06T00:00:00"/>
        <d v="2016-04-07T00:00:00"/>
        <d v="2016-04-08T00:00:00"/>
        <d v="2016-04-09T00:00:00"/>
        <d v="2016-04-10T00:00:00"/>
        <d v="2016-04-11T00:00:00"/>
        <d v="2016-04-12T00:00:00"/>
        <d v="2016-04-13T00:00:00"/>
        <d v="2016-04-14T00:00:00"/>
        <d v="2016-04-15T00:00:00"/>
        <d v="2016-04-16T00:00:00"/>
        <d v="2016-04-17T00:00:00"/>
        <d v="2016-04-18T00:00:00"/>
        <d v="2016-04-19T00:00:00"/>
        <d v="2016-04-20T00:00:00"/>
        <d v="2016-04-21T00:00:00"/>
        <d v="2016-04-22T00:00:00"/>
        <d v="2016-04-23T00:00:00"/>
        <d v="2016-04-24T00:00:00"/>
        <d v="2016-04-25T00:00:00"/>
        <d v="2016-04-26T00:00:00"/>
        <d v="2016-04-27T00:00:00"/>
        <d v="2016-04-28T00:00:00"/>
        <d v="2016-04-29T00:00:00"/>
        <d v="2016-04-30T00:00:00"/>
        <d v="2016-05-01T00:00:00"/>
        <d v="2016-05-02T00:00:00"/>
        <d v="2016-05-03T00:00:00"/>
        <d v="2016-05-04T00:00:00"/>
        <d v="2016-05-05T00:00:00"/>
        <d v="2016-05-06T00:00:00"/>
        <d v="2016-05-07T00:00:00"/>
        <d v="2016-05-08T00:00:00"/>
        <d v="2016-05-09T00:00:00"/>
        <d v="2016-05-10T00:00:00"/>
        <d v="2016-05-11T00:00:00"/>
        <d v="2016-05-12T00:00:00"/>
        <d v="2016-05-13T00:00:00"/>
        <d v="2016-05-14T00:00:00"/>
        <d v="2016-05-15T00:00:00"/>
        <d v="2016-05-16T00:00:00"/>
        <d v="2016-05-17T00:00:00"/>
        <d v="2016-05-18T00:00:00"/>
        <d v="2016-05-19T00:00:00"/>
        <d v="2016-05-20T00:00:00"/>
        <d v="2016-05-21T00:00:00"/>
        <d v="2016-05-22T00:00:00"/>
        <d v="2016-05-23T00:00:00"/>
        <d v="2016-05-24T00:00:00"/>
        <d v="2016-05-25T00:00:00"/>
        <d v="2016-05-26T00:00:00"/>
        <d v="2016-05-27T00:00:00"/>
        <d v="2016-05-28T00:00:00"/>
        <d v="2016-05-29T00:00:00"/>
        <d v="2016-05-30T00:00:00"/>
        <d v="2016-05-31T00:00:00"/>
        <d v="2016-06-01T00:00:00"/>
        <d v="2016-06-02T00:00:00"/>
        <d v="2016-06-03T00:00:00"/>
        <d v="2016-06-04T00:00:00"/>
        <d v="2016-06-05T00:00:00"/>
        <d v="2016-06-06T00:00:00"/>
        <d v="2016-06-07T00:00:00"/>
        <d v="2016-06-08T00:00:00"/>
        <d v="2016-06-09T00:00:00"/>
        <d v="2016-06-10T00:00:00"/>
        <d v="2016-06-11T00:00:00"/>
        <d v="2016-06-12T00:00:00"/>
        <d v="2016-06-13T00:00:00"/>
        <d v="2016-06-14T00:00:00"/>
        <d v="2016-06-15T00:00:00"/>
        <d v="2016-06-16T00:00:00"/>
        <d v="2016-06-17T00:00:00"/>
        <d v="2016-06-18T00:00:00"/>
        <d v="2016-06-19T00:00:00"/>
        <d v="2016-06-20T00:00:00"/>
        <d v="2016-06-21T00:00:00"/>
        <d v="2016-06-22T00:00:00"/>
        <d v="2016-06-23T00:00:00"/>
        <d v="2016-06-24T00:00:00"/>
        <d v="2016-06-25T00:00:00"/>
        <d v="2016-06-26T00:00:00"/>
        <d v="2016-06-27T00:00:00"/>
        <d v="2016-06-28T00:00:00"/>
        <d v="2016-06-29T00:00:00"/>
        <d v="2016-06-30T00:00:00"/>
        <d v="2016-07-01T00:00:00"/>
        <d v="2016-07-02T00:00:00"/>
        <d v="2016-07-03T00:00:00"/>
        <d v="2016-07-04T00:00:00"/>
        <d v="2016-07-05T00:00:00"/>
        <d v="2016-07-06T00:00:00"/>
        <d v="2016-07-07T00:00:00"/>
        <d v="2016-07-08T00:00:00"/>
        <d v="2016-07-09T00:00:00"/>
        <d v="2016-07-10T00:00:00"/>
        <d v="2016-07-11T00:00:00"/>
        <d v="2016-07-12T00:00:00"/>
        <d v="2016-07-13T00:00:00"/>
        <d v="2016-07-14T00:00:00"/>
        <d v="2016-07-15T00:00:00"/>
        <d v="2016-07-16T00:00:00"/>
        <d v="2016-07-17T00:00:00"/>
        <d v="2016-07-18T00:00:00"/>
        <d v="2016-07-19T00:00:00"/>
        <d v="2016-07-20T00:00:00"/>
        <d v="2016-07-21T00:00:00"/>
        <d v="2016-07-22T00:00:00"/>
        <d v="2016-07-23T00:00:00"/>
        <d v="2016-07-24T00:00:00"/>
        <d v="2016-07-25T00:00:00"/>
        <d v="2016-07-26T00:00:00"/>
        <d v="2016-07-27T00:00:00"/>
        <d v="2016-07-28T00:00:00"/>
        <d v="2016-07-29T00:00:00"/>
        <d v="2016-07-30T00:00:00"/>
        <d v="2016-07-31T00:00:00"/>
        <d v="2016-08-01T00:00:00"/>
        <d v="2016-08-02T00:00:00"/>
        <d v="2016-08-03T00:00:00"/>
        <d v="2016-08-04T00:00:00"/>
        <d v="2016-08-05T00:00:00"/>
        <d v="2016-08-06T00:00:00"/>
        <d v="2016-08-07T00:00:00"/>
        <d v="2016-08-08T00:00:00"/>
        <d v="2016-08-09T00:00:00"/>
        <d v="2016-08-10T00:00:00"/>
        <d v="2016-08-11T00:00:00"/>
        <d v="2016-08-12T00:00:00"/>
        <d v="2016-08-13T00:00:00"/>
        <d v="2016-08-14T00:00:00"/>
        <d v="2016-08-15T00:00:00"/>
        <d v="2016-08-16T00:00:00"/>
        <d v="2016-08-17T00:00:00"/>
        <d v="2016-08-18T00:00:00"/>
        <d v="2016-08-19T00:00:00"/>
        <d v="2016-08-20T00:00:00"/>
        <d v="2016-08-21T00:00:00"/>
        <d v="2016-08-22T00:00:00"/>
        <d v="2016-08-23T00:00:00"/>
        <d v="2016-08-24T00:00:00"/>
        <d v="2016-08-25T00:00:00"/>
        <d v="2016-08-26T00:00:00"/>
        <d v="2016-08-27T00:00:00"/>
        <d v="2016-08-28T00:00:00"/>
        <d v="2016-08-29T00:00:00"/>
        <d v="2016-08-30T00:00:00"/>
        <d v="2016-08-31T00:00:00"/>
        <d v="2016-09-01T00:00:00"/>
        <d v="2016-09-02T00:00:00"/>
        <d v="2016-09-03T00:00:00"/>
        <d v="2016-09-04T00:00:00"/>
        <d v="2016-09-05T00:00:00"/>
        <d v="2016-09-06T00:00:00"/>
        <d v="2016-09-07T00:00:00"/>
        <d v="2016-09-08T00:00:00"/>
        <d v="2016-09-09T00:00:00"/>
        <d v="2016-09-10T00:00:00"/>
        <d v="2016-09-11T00:00:00"/>
        <d v="2016-09-12T00:00:00"/>
        <d v="2016-09-13T00:00:00"/>
        <d v="2016-09-14T00:00:00"/>
        <d v="2016-09-15T00:00:00"/>
        <d v="2016-09-16T00:00:00"/>
        <d v="2016-09-17T00:00:00"/>
        <d v="2016-09-18T00:00:00"/>
        <d v="2016-09-19T00:00:00"/>
        <d v="2016-09-20T00:00:00"/>
        <d v="2016-09-21T00:00:00"/>
        <d v="2016-09-22T00:00:00"/>
        <d v="2016-09-23T00:00:00"/>
        <d v="2016-09-24T00:00:00"/>
        <d v="2016-09-25T00:00:00"/>
        <d v="2016-09-26T00:00:00"/>
        <d v="2016-09-27T00:00:00"/>
        <d v="2016-09-28T00:00:00"/>
        <d v="2016-09-29T00:00:00"/>
        <d v="2016-09-30T00:00:00"/>
        <d v="2016-10-01T00:00:00"/>
        <d v="2016-10-02T00:00:00"/>
        <d v="2016-10-03T00:00:00"/>
        <d v="2016-10-04T00:00:00"/>
        <d v="2016-10-05T00:00:00"/>
        <d v="2016-10-06T00:00:00"/>
        <d v="2016-10-07T00:00:00"/>
        <d v="2016-10-08T00:00:00"/>
        <d v="2016-10-09T00:00:00"/>
        <d v="2016-10-10T00:00:00"/>
        <d v="2016-10-11T00:00:00"/>
        <d v="2016-10-12T00:00:00"/>
        <d v="2016-10-13T00:00:00"/>
        <d v="2016-10-14T00:00:00"/>
        <d v="2016-10-15T00:00:00"/>
        <d v="2016-10-16T00:00:00"/>
        <d v="2016-10-17T00:00:00"/>
        <d v="2016-10-18T00:00:00"/>
        <d v="2016-10-19T00:00:00"/>
        <d v="2016-10-20T00:00:00"/>
        <d v="2016-10-21T00:00:00"/>
        <d v="2016-10-22T00:00:00"/>
        <d v="2016-10-23T00:00:00"/>
        <d v="2016-10-24T00:00:00"/>
        <d v="2016-10-25T00:00:00"/>
        <d v="2016-10-26T00:00:00"/>
        <d v="2016-10-27T00:00:00"/>
        <d v="2016-10-28T00:00:00"/>
        <d v="2016-10-29T00:00:00"/>
        <d v="2016-10-30T00:00:00"/>
        <d v="2016-10-31T00:00:00"/>
        <d v="2016-11-01T00:00:00"/>
        <d v="2016-11-02T00:00:00"/>
        <d v="2016-11-03T00:00:00"/>
        <d v="2016-11-04T00:00:00"/>
        <d v="2016-11-05T00:00:00"/>
        <d v="2016-11-06T00:00:00"/>
        <d v="2016-11-07T00:00:00"/>
        <d v="2016-11-08T00:00:00"/>
        <d v="2016-11-09T00:00:00"/>
        <d v="2016-11-10T00:00:00"/>
        <d v="2016-11-11T00:00:00"/>
        <d v="2016-11-12T00:00:00"/>
        <d v="2016-11-13T00:00:00"/>
        <d v="2016-11-14T00:00:00"/>
        <d v="2016-11-15T00:00:00"/>
        <d v="2016-11-16T00:00:00"/>
        <d v="2016-11-17T00:00:00"/>
        <d v="2016-11-18T00:00:00"/>
        <d v="2016-11-19T00:00:00"/>
        <d v="2016-11-20T00:00:00"/>
        <d v="2016-11-21T00:00:00"/>
        <d v="2016-11-22T00:00:00"/>
        <d v="2016-11-23T00:00:00"/>
        <d v="2016-11-24T00:00:00"/>
        <d v="2016-11-25T00:00:00"/>
        <d v="2016-11-26T00:00:00"/>
        <d v="2016-11-27T00:00:00"/>
        <d v="2016-11-28T00:00:00"/>
        <d v="2016-11-29T00:00:00"/>
        <d v="2016-11-30T00:00:00"/>
        <d v="2016-12-01T00:00:00"/>
        <d v="2016-12-02T00:00:00"/>
        <d v="2016-12-03T00:00:00"/>
        <d v="2016-12-04T00:00:00"/>
        <d v="2016-12-05T00:00:00"/>
        <d v="2016-12-06T00:00:00"/>
        <d v="2016-12-07T00:00:00"/>
        <d v="2016-12-08T00:00:00"/>
        <d v="2016-12-09T00:00:00"/>
        <d v="2016-12-10T00:00:00"/>
        <d v="2016-12-11T00:00:00"/>
        <d v="2016-12-12T00:00:00"/>
        <d v="2016-12-13T00:00:00"/>
        <d v="2016-12-14T00:00:00"/>
        <d v="2016-12-15T00:00:00"/>
        <d v="2016-12-16T00:00:00"/>
        <d v="2016-12-17T00:00:00"/>
        <d v="2016-12-18T00:00:00"/>
        <d v="2016-12-19T00:00:00"/>
        <d v="2016-12-20T00:00:00"/>
        <d v="2016-12-21T00:00:00"/>
        <d v="2016-12-22T00:00:00"/>
        <d v="2016-12-23T00:00:00"/>
        <d v="2016-12-24T00:00:00"/>
        <d v="2016-12-25T00:00:00"/>
        <d v="2016-12-26T00:00:00"/>
        <d v="2016-12-27T00:00:00"/>
        <d v="2016-12-28T00:00:00"/>
        <d v="2016-12-29T00:00:00"/>
        <d v="2016-12-30T00:00:00"/>
        <d v="2016-12-31T00:00:00"/>
        <d v="2017-01-01T00:00:00"/>
        <d v="2017-01-02T00:00:00"/>
        <d v="2017-01-03T00:00:00"/>
        <d v="2017-01-04T00:00:00"/>
        <d v="2017-01-05T00:00:00"/>
        <d v="2017-01-06T00:00:00"/>
        <d v="2017-01-07T00:00:00"/>
        <d v="2017-01-08T00:00:00"/>
        <d v="2017-01-09T00:00:00"/>
        <d v="2017-01-10T00:00:00"/>
        <d v="2017-01-11T00:00:00"/>
        <d v="2017-01-12T00:00:00"/>
        <d v="2017-01-13T00:00:00"/>
        <d v="2017-01-14T00:00:00"/>
        <d v="2017-01-15T00:00:00"/>
        <d v="2017-01-16T00:00:00"/>
        <d v="2017-01-17T00:00:00"/>
        <d v="2017-01-18T00:00:00"/>
        <d v="2017-01-19T00:00:00"/>
        <d v="2017-01-20T00:00:00"/>
        <d v="2017-01-21T00:00:00"/>
        <d v="2017-01-22T00:00:00"/>
        <d v="2017-01-23T00:00:00"/>
        <d v="2017-01-24T00:00:00"/>
        <d v="2017-01-25T00:00:00"/>
        <d v="2017-01-26T00:00:00"/>
        <d v="2017-01-27T00:00:00"/>
        <d v="2017-01-28T00:00:00"/>
        <d v="2017-01-29T00:00:00"/>
        <d v="2017-01-30T00:00:00"/>
        <d v="2017-01-31T00:00:00"/>
        <d v="2017-02-01T00:00:00"/>
        <d v="2017-02-02T00:00:00"/>
        <d v="2017-02-03T00:00:00"/>
        <d v="2017-02-04T00:00:00"/>
        <d v="2017-02-05T00:00:00"/>
        <d v="2017-02-06T00:00:00"/>
        <d v="2017-02-07T00:00:00"/>
        <d v="2017-02-08T00:00:00"/>
        <d v="2017-02-09T00:00:00"/>
        <d v="2017-02-10T00:00:00"/>
        <d v="2017-02-11T00:00:00"/>
        <d v="2017-02-12T00:00:00"/>
        <d v="2017-02-13T00:00:00"/>
        <d v="2017-02-14T00:00:00"/>
        <d v="2017-02-15T00:00:00"/>
        <d v="2017-02-16T00:00:00"/>
        <d v="2017-02-17T00:00:00"/>
        <d v="2017-02-18T00:00:00"/>
        <d v="2017-02-19T00:00:00"/>
        <d v="2017-02-20T00:00:00"/>
        <d v="2017-02-21T00:00:00"/>
        <d v="2017-02-22T00:00:00"/>
        <d v="2017-02-23T00:00:00"/>
        <d v="2017-02-24T00:00:00"/>
        <d v="2017-02-25T00:00:00"/>
        <d v="2017-02-26T00:00:00"/>
        <d v="2017-02-27T00:00:00"/>
        <d v="2017-02-28T00:00:00"/>
        <d v="2017-03-01T00:00:00"/>
        <d v="2017-03-02T00:00:00"/>
        <d v="2017-03-03T00:00:00"/>
        <d v="2017-03-04T00:00:00"/>
        <d v="2017-03-05T00:00:00"/>
        <d v="2017-03-06T00:00:00"/>
        <d v="2017-03-07T00:00:00"/>
        <d v="2017-03-08T00:00:00"/>
        <d v="2017-03-09T00:00:00"/>
        <d v="2017-03-10T00:00:00"/>
        <d v="2017-03-11T00:00:00"/>
        <d v="2017-03-12T00:00:00"/>
        <d v="2017-03-13T00:00:00"/>
        <d v="2017-03-14T00:00:00"/>
        <d v="2017-03-15T00:00:00"/>
        <d v="2017-03-16T00:00:00"/>
        <d v="2017-03-17T00:00:00"/>
        <d v="2017-03-18T00:00:00"/>
        <d v="2017-03-19T00:00:00"/>
        <d v="2017-03-20T00:00:00"/>
        <d v="2017-03-21T00:00:00"/>
        <d v="2017-03-22T00:00:00"/>
        <d v="2017-03-23T00:00:00"/>
        <d v="2017-03-24T00:00:00"/>
        <d v="2017-03-25T00:00:00"/>
        <d v="2017-03-26T00:00:00"/>
        <d v="2017-03-27T00:00:00"/>
        <d v="2017-03-28T00:00:00"/>
        <d v="2017-03-29T00:00:00"/>
        <d v="2017-03-30T00:00:00"/>
        <d v="2017-03-31T00:00:00"/>
        <d v="2017-04-01T00:00:00"/>
        <d v="2017-04-02T00:00:00"/>
        <d v="2017-04-03T00:00:00"/>
        <d v="2017-04-04T00:00:00"/>
        <d v="2017-04-05T00:00:00"/>
        <d v="2017-04-06T00:00:00"/>
        <d v="2017-04-07T00:00:00"/>
        <d v="2017-04-08T00:00:00"/>
        <d v="2017-04-09T00:00:00"/>
        <d v="2017-04-10T00:00:00"/>
        <d v="2017-04-11T00:00:00"/>
        <d v="2017-04-12T00:00:00"/>
        <d v="2017-04-13T00:00:00"/>
        <d v="2017-04-14T00:00:00"/>
        <d v="2017-04-15T00:00:00"/>
        <d v="2017-04-16T00:00:00"/>
        <d v="2017-04-17T00:00:00"/>
        <d v="2017-04-18T00:00:00"/>
        <d v="2017-04-19T00:00:00"/>
        <d v="2017-04-20T00:00:00"/>
        <d v="2017-04-21T00:00:00"/>
        <d v="2017-04-22T00:00:00"/>
        <d v="2017-04-23T00:00:00"/>
        <d v="2017-04-24T00:00:00"/>
        <d v="2017-04-25T00:00:00"/>
        <d v="2017-04-26T00:00:00"/>
        <d v="2017-04-27T00:00:00"/>
        <d v="2017-04-28T00:00:00"/>
        <d v="2017-04-29T00:00:00"/>
        <d v="2017-04-30T00:00:00"/>
        <d v="2017-05-01T00:00:00"/>
        <d v="2017-05-02T00:00:00"/>
        <d v="2017-05-03T00:00:00"/>
        <d v="2017-05-04T00:00:00"/>
        <d v="2017-05-05T00:00:00"/>
        <d v="2017-05-06T00:00:00"/>
        <d v="2017-05-07T00:00:00"/>
        <d v="2017-05-08T00:00:00"/>
        <d v="2017-05-09T00:00:00"/>
        <d v="2017-05-10T00:00:00"/>
        <d v="2017-05-11T00:00:00"/>
        <d v="2017-05-12T00:00:00"/>
        <d v="2017-05-13T00:00:00"/>
        <d v="2017-05-14T00:00:00"/>
        <d v="2017-05-15T00:00:00"/>
        <d v="2017-05-16T00:00:00"/>
        <d v="2017-05-17T00:00:00"/>
        <d v="2017-05-18T00:00:00"/>
        <d v="2017-05-19T00:00:00"/>
        <d v="2017-05-20T00:00:00"/>
        <d v="2017-05-21T00:00:00"/>
        <d v="2017-05-22T00:00:00"/>
        <d v="2017-05-23T00:00:00"/>
        <d v="2017-05-24T00:00:00"/>
        <d v="2017-05-25T00:00:00"/>
        <d v="2017-05-26T00:00:00"/>
        <d v="2017-05-27T00:00:00"/>
        <d v="2017-05-28T00:00:00"/>
        <d v="2017-05-29T00:00:00"/>
        <d v="2017-05-30T00:00:00"/>
        <d v="2017-05-31T00:00:00"/>
        <d v="2017-06-01T00:00:00"/>
        <d v="2017-06-02T00:00:00"/>
        <d v="2017-06-03T00:00:00"/>
        <d v="2017-06-04T00:00:00"/>
        <d v="2017-06-05T00:00:00"/>
        <d v="2017-06-06T00:00:00"/>
        <d v="2017-06-07T00:00:00"/>
        <d v="2017-06-08T00:00:00"/>
        <d v="2017-06-09T00:00:00"/>
        <d v="2017-06-10T00:00:00"/>
        <d v="2017-06-11T00:00:00"/>
        <d v="2017-06-12T00:00:00"/>
        <d v="2017-06-13T00:00:00"/>
        <d v="2017-06-14T00:00:00"/>
        <d v="2017-06-15T00:00:00"/>
        <d v="2017-06-16T00:00:00"/>
        <d v="2017-06-17T00:00:00"/>
        <d v="2017-06-18T00:00:00"/>
        <d v="2017-06-19T00:00:00"/>
        <d v="2017-06-20T00:00:00"/>
        <d v="2017-06-21T00:00:00"/>
        <d v="2017-06-22T00:00:00"/>
        <d v="2017-06-23T00:00:00"/>
        <d v="2017-06-24T00:00:00"/>
        <d v="2017-06-25T00:00:00"/>
        <d v="2017-06-26T00:00:00"/>
        <d v="2017-06-27T00:00:00"/>
        <d v="2017-06-28T00:00:00"/>
        <d v="2017-06-29T00:00:00"/>
        <d v="2017-06-30T00:00:00"/>
        <d v="2017-07-01T00:00:00"/>
        <d v="2017-07-02T00:00:00"/>
        <d v="2017-07-03T00:00:00"/>
        <d v="2017-07-04T00:00:00"/>
        <d v="2017-07-05T00:00:00"/>
        <d v="2017-07-06T00:00:00"/>
        <d v="2017-07-07T00:00:00"/>
        <d v="2017-07-08T00:00:00"/>
        <d v="2017-07-09T00:00:00"/>
        <d v="2017-07-10T00:00:00"/>
        <d v="2017-07-11T00:00:00"/>
        <d v="2017-07-12T00:00:00"/>
        <d v="2017-07-13T00:00:00"/>
        <d v="2017-07-14T00:00:00"/>
        <d v="2017-07-15T00:00:00"/>
        <d v="2017-07-16T00:00:00"/>
        <d v="2017-07-17T00:00:00"/>
        <d v="2017-07-18T00:00:00"/>
        <d v="2017-07-19T00:00:00"/>
        <d v="2017-07-20T00:00:00"/>
        <d v="2017-07-21T00:00:00"/>
        <d v="2017-07-22T00:00:00"/>
        <d v="2017-07-23T00:00:00"/>
        <d v="2017-07-24T00:00:00"/>
        <d v="2017-07-25T00:00:00"/>
        <d v="2017-07-26T00:00:00"/>
        <d v="2017-07-27T00:00:00"/>
        <d v="2017-07-28T00:00:00"/>
        <d v="2017-07-29T00:00:00"/>
        <d v="2017-07-30T00:00:00"/>
        <d v="2017-07-31T00:00:00"/>
        <d v="2017-08-01T00:00:00"/>
        <d v="2017-08-02T00:00:00"/>
        <d v="2017-08-03T00:00:00"/>
        <d v="2017-08-04T00:00:00"/>
        <d v="2017-08-05T00:00:00"/>
        <d v="2017-08-06T00:00:00"/>
        <d v="2017-08-07T00:00:00"/>
        <d v="2017-08-08T00:00:00"/>
        <d v="2017-08-09T00:00:00"/>
        <d v="2017-08-10T00:00:00"/>
        <d v="2017-08-11T00:00:00"/>
        <d v="2017-08-12T00:00:00"/>
        <d v="2017-08-13T00:00:00"/>
        <d v="2017-08-14T00:00:00"/>
        <d v="2017-08-15T00:00:00"/>
        <d v="2017-08-16T00:00:00"/>
        <d v="2017-08-17T00:00:00"/>
        <d v="2017-08-18T00:00:00"/>
        <d v="2017-08-19T00:00:00"/>
        <d v="2017-08-20T00:00:00"/>
        <d v="2017-08-21T00:00:00"/>
        <d v="2017-08-22T00:00:00"/>
        <d v="2017-08-23T00:00:00"/>
        <d v="2017-08-24T00:00:00"/>
        <d v="2017-08-25T00:00:00"/>
        <d v="2017-08-26T00:00:00"/>
        <d v="2017-08-27T00:00:00"/>
        <d v="2017-08-28T00:00:00"/>
        <d v="2017-08-29T00:00:00"/>
        <d v="2017-08-30T00:00:00"/>
        <d v="2017-08-31T00:00:00"/>
        <d v="2017-09-01T00:00:00"/>
        <d v="2017-09-02T00:00:00"/>
        <d v="2017-09-03T00:00:00"/>
        <d v="2017-09-04T00:00:00"/>
        <d v="2017-09-05T00:00:00"/>
        <d v="2017-09-06T00:00:00"/>
        <d v="2017-09-07T00:00:00"/>
        <d v="2017-09-08T00:00:00"/>
        <d v="2017-09-09T00:00:00"/>
        <d v="2017-09-10T00:00:00"/>
        <d v="2017-09-11T00:00:00"/>
        <d v="2017-09-12T00:00:00"/>
        <d v="2017-09-13T00:00:00"/>
        <d v="2017-09-14T00:00:00"/>
        <d v="2017-09-15T00:00:00"/>
        <d v="2017-09-16T00:00:00"/>
        <d v="2017-09-17T00:00:00"/>
        <d v="2017-09-18T00:00:00"/>
        <d v="2017-09-19T00:00:00"/>
        <d v="2017-09-20T00:00:00"/>
        <d v="2017-09-21T00:00:00"/>
        <d v="2017-09-22T00:00:00"/>
        <d v="2017-09-23T00:00:00"/>
        <d v="2017-09-24T00:00:00"/>
        <d v="2017-09-25T00:00:00"/>
        <d v="2017-09-26T00:00:00"/>
        <d v="2017-09-27T00:00:00"/>
        <d v="2017-09-28T00:00:00"/>
        <d v="2017-09-29T00:00:00"/>
        <d v="2017-09-30T00:00:00"/>
        <d v="2017-10-01T00:00:00"/>
        <d v="2017-10-02T00:00:00"/>
        <d v="2017-10-03T00:00:00"/>
        <d v="2017-10-04T00:00:00"/>
        <d v="2017-10-05T00:00:00"/>
        <d v="2017-10-06T00:00:00"/>
        <d v="2017-10-07T00:00:00"/>
        <d v="2017-10-08T00:00:00"/>
        <d v="2017-10-09T00:00:00"/>
        <d v="2017-10-10T00:00:00"/>
        <d v="2017-10-11T00:00:00"/>
        <d v="2017-10-12T00:00:00"/>
        <d v="2017-10-13T00:00:00"/>
        <d v="2017-10-14T00:00:00"/>
        <d v="2017-10-15T00:00:00"/>
        <d v="2017-10-16T00:00:00"/>
        <d v="2017-10-17T00:00:00"/>
        <d v="2017-10-18T00:00:00"/>
        <d v="2017-10-19T00:00:00"/>
        <d v="2017-10-20T00:00:00"/>
        <d v="2017-10-21T00:00:00"/>
        <d v="2017-10-22T00:00:00"/>
        <d v="2017-10-23T00:00:00"/>
        <d v="2017-10-24T00:00:00"/>
        <d v="2017-10-25T00:00:00"/>
        <d v="2017-10-26T00:00:00"/>
        <d v="2017-10-27T00:00:00"/>
        <d v="2017-10-28T00:00:00"/>
        <d v="2017-10-29T00:00:00"/>
        <d v="2017-10-30T00:00:00"/>
        <d v="2017-10-31T00:00:00"/>
        <d v="2017-11-01T00:00:00"/>
        <d v="2017-11-02T00:00:00"/>
        <d v="2017-11-03T00:00:00"/>
        <d v="2017-11-04T00:00:00"/>
        <d v="2017-11-05T00:00:00"/>
        <d v="2017-11-06T00:00:00"/>
        <d v="2017-11-07T00:00:00"/>
        <d v="2017-11-08T00:00:00"/>
        <d v="2017-11-09T00:00:00"/>
        <d v="2017-11-10T00:00:00"/>
        <d v="2017-11-11T00:00:00"/>
        <d v="2017-11-12T00:00:00"/>
        <d v="2017-11-13T00:00:00"/>
        <d v="2017-11-14T00:00:00"/>
        <d v="2017-11-15T00:00:00"/>
        <d v="2017-11-16T00:00:00"/>
        <d v="2017-11-17T00:00:00"/>
        <d v="2017-11-18T00:00:00"/>
        <d v="2017-11-19T00:00:00"/>
        <d v="2017-11-20T00:00:00"/>
        <d v="2017-11-21T00:00:00"/>
        <d v="2017-11-22T00:00:00"/>
        <d v="2017-11-23T00:00:00"/>
        <d v="2017-11-24T00:00:00"/>
        <d v="2017-11-25T00:00:00"/>
        <d v="2017-11-26T00:00:00"/>
        <d v="2017-11-27T00:00:00"/>
        <d v="2017-11-28T00:00:00"/>
        <d v="2017-11-29T00:00:00"/>
        <d v="2017-11-30T00:00:00"/>
        <d v="2017-12-01T00:00:00"/>
        <d v="2017-12-02T00:00:00"/>
        <d v="2017-12-03T00:00:00"/>
        <d v="2017-12-04T00:00:00"/>
        <d v="2017-12-05T00:00:00"/>
        <d v="2017-12-06T00:00:00"/>
        <d v="2017-12-07T00:00:00"/>
        <d v="2017-12-08T00:00:00"/>
        <d v="2017-12-09T00:00:00"/>
        <d v="2017-12-10T00:00:00"/>
        <d v="2017-12-11T00:00:00"/>
        <d v="2017-12-12T00:00:00"/>
        <d v="2017-12-13T00:00:00"/>
        <d v="2017-12-14T00:00:00"/>
        <d v="2017-12-15T00:00:00"/>
        <d v="2017-12-16T00:00:00"/>
        <d v="2017-12-17T00:00:00"/>
        <d v="2017-12-18T00:00:00"/>
        <d v="2017-12-19T00:00:00"/>
        <d v="2017-12-20T00:00:00"/>
        <d v="2017-12-21T00:00:00"/>
        <d v="2017-12-22T00:00:00"/>
        <d v="2017-12-23T00:00:00"/>
        <d v="2017-12-24T00:00:00"/>
        <d v="2017-12-25T00:00:00"/>
        <d v="2017-12-26T00:00:00"/>
        <d v="2017-12-27T00:00:00"/>
        <d v="2017-12-28T00:00:00"/>
        <d v="2017-12-29T00:00:00"/>
        <d v="2017-12-30T00:00:00"/>
        <d v="2017-12-31T00:00:00"/>
        <d v="2018-01-01T00:00:00"/>
        <d v="2018-01-02T00:00:00"/>
        <d v="2018-01-03T00:00:00"/>
        <d v="2018-01-04T00:00:00"/>
        <d v="2018-01-05T00:00:00"/>
        <d v="2018-01-06T00:00:00"/>
        <d v="2018-01-07T00:00:00"/>
        <d v="2018-01-08T00:00:00"/>
        <d v="2018-01-09T00:00:00"/>
        <d v="2018-01-10T00:00:00"/>
        <d v="2018-01-11T00:00:00"/>
        <d v="2018-01-12T00:00:00"/>
        <d v="2018-01-13T00:00:00"/>
        <d v="2018-01-14T00:00:00"/>
        <d v="2018-01-15T00:00:00"/>
        <d v="2018-01-16T00:00:00"/>
        <d v="2018-01-17T00:00:00"/>
        <d v="2018-01-18T00:00:00"/>
        <d v="2018-01-19T00:00:00"/>
        <d v="2018-01-20T00:00:00"/>
        <d v="2018-01-21T00:00:00"/>
        <d v="2018-01-22T00:00:00"/>
        <d v="2018-01-23T00:00:00"/>
        <d v="2018-01-24T00:00:00"/>
        <d v="2018-01-25T00:00:00"/>
        <d v="2018-01-26T00:00:00"/>
        <d v="2018-01-27T00:00:00"/>
        <d v="2018-01-28T00:00:00"/>
        <d v="2018-01-29T00:00:00"/>
        <d v="2018-01-30T00:00:00"/>
        <d v="2018-01-31T00:00:00"/>
        <d v="2018-02-01T00:00:00"/>
        <d v="2018-02-02T00:00:00"/>
        <d v="2018-02-03T00:00:00"/>
        <d v="2018-02-04T00:00:00"/>
        <d v="2018-02-05T00:00:00"/>
        <d v="2018-02-06T00:00:00"/>
        <d v="2018-02-07T00:00:00"/>
        <d v="2018-02-08T00:00:00"/>
        <d v="2018-02-09T00:00:00"/>
        <d v="2018-02-10T00:00:00"/>
        <d v="2018-02-11T00:00:00"/>
        <d v="2018-02-12T00:00:00"/>
        <d v="2018-02-13T00:00:00"/>
        <d v="2018-02-14T00:00:00"/>
        <d v="2018-02-15T00:00:00"/>
        <d v="2018-02-16T00:00:00"/>
        <d v="2018-02-17T00:00:00"/>
        <d v="2018-02-18T00:00:00"/>
        <d v="2018-02-19T00:00:00"/>
        <d v="2018-02-20T00:00:00"/>
        <d v="2018-02-21T00:00:00"/>
        <d v="2018-02-22T00:00:00"/>
        <d v="2018-02-23T00:00:00"/>
        <d v="2018-02-24T00:00:00"/>
        <d v="2018-02-25T00:00:00"/>
        <d v="2018-02-26T00:00:00"/>
        <d v="2018-02-27T00:00:00"/>
        <d v="2018-02-28T00:00:00"/>
        <d v="2018-03-01T00:00:00"/>
        <d v="2018-03-02T00:00:00"/>
        <d v="2018-03-03T00:00:00"/>
        <d v="2018-03-04T00:00:00"/>
        <d v="2018-03-05T00:00:00"/>
        <d v="2018-03-06T00:00:00"/>
        <d v="2018-03-07T00:00:00"/>
        <d v="2018-03-08T00:00:00"/>
        <d v="2018-03-09T00:00:00"/>
        <d v="2018-03-10T00:00:00"/>
        <d v="2018-03-11T00:00:00"/>
        <d v="2018-03-12T00:00:00"/>
        <d v="2018-03-13T00:00:00"/>
        <d v="2018-03-14T00:00:00"/>
        <d v="2018-03-15T00:00:00"/>
        <d v="2018-03-16T00:00:00"/>
        <d v="2018-03-17T00:00:00"/>
        <d v="2018-03-18T00:00:00"/>
        <d v="2018-03-19T00:00:00"/>
        <d v="2018-03-20T00:00:00"/>
        <d v="2018-03-21T00:00:00"/>
        <d v="2018-03-22T00:00:00"/>
        <d v="2018-03-23T00:00:00"/>
        <d v="2018-03-24T00:00:00"/>
        <d v="2018-03-25T00:00:00"/>
        <d v="2018-03-26T00:00:00"/>
        <d v="2018-03-27T00:00:00"/>
        <d v="2018-03-28T00:00:00"/>
        <d v="2018-03-29T00:00:00"/>
        <d v="2018-03-30T00:00:00"/>
        <d v="2018-03-31T00:00:00"/>
        <d v="2018-04-01T00:00:00"/>
        <d v="2018-04-02T00:00:00"/>
        <d v="2018-04-03T00:00:00"/>
        <d v="2018-04-04T00:00:00"/>
        <d v="2018-04-05T00:00:00"/>
        <d v="2018-04-06T00:00:00"/>
        <d v="2018-04-07T00:00:00"/>
        <d v="2018-04-08T00:00:00"/>
        <d v="2018-04-09T00:00:00"/>
        <d v="2018-04-10T00:00:00"/>
        <d v="2018-04-11T00:00:00"/>
        <d v="2018-04-12T00:00:00"/>
        <d v="2018-04-13T00:00:00"/>
        <d v="2018-04-14T00:00:00"/>
        <d v="2018-04-15T00:00:00"/>
        <d v="2018-04-16T00:00:00"/>
        <d v="2018-04-17T00:00:00"/>
        <d v="2018-04-18T00:00:00"/>
        <d v="2018-04-19T00:00:00"/>
        <d v="2018-04-20T00:00:00"/>
        <d v="2018-04-21T00:00:00"/>
        <d v="2018-04-22T00:00:00"/>
        <d v="2018-04-23T00:00:00"/>
        <d v="2018-04-24T00:00:00"/>
        <d v="2018-04-25T00:00:00"/>
        <d v="2018-04-26T00:00:00"/>
        <d v="2018-04-27T00:00:00"/>
        <d v="2018-04-28T00:00:00"/>
        <d v="2018-04-29T00:00:00"/>
        <d v="2018-04-30T00:00:00"/>
        <d v="2018-05-01T00:00:00"/>
        <d v="2018-05-02T00:00:00"/>
        <d v="2018-05-03T00:00:00"/>
        <d v="2018-05-04T00:00:00"/>
        <d v="2018-05-05T00:00:00"/>
        <d v="2018-05-06T00:00:00"/>
        <d v="2018-05-07T00:00:00"/>
        <d v="2018-05-08T00:00:00"/>
        <d v="2018-05-09T00:00:00"/>
        <d v="2018-05-10T00:00:00"/>
        <d v="2018-05-11T00:00:00"/>
        <d v="2018-05-12T00:00:00"/>
        <d v="2018-05-13T00:00:00"/>
        <d v="2018-05-14T00:00:00"/>
        <d v="2018-05-15T00:00:00"/>
        <d v="2018-05-16T00:00:00"/>
        <d v="2018-05-17T00:00:00"/>
        <d v="2018-05-18T00:00:00"/>
        <d v="2018-05-19T00:00:00"/>
        <d v="2018-05-20T00:00:00"/>
        <d v="2018-05-21T00:00:00"/>
        <d v="2018-05-22T00:00:00"/>
        <d v="2018-05-23T00:00:00"/>
        <d v="2018-05-24T00:00:00"/>
        <d v="2018-05-25T00:00:00"/>
        <d v="2018-05-26T00:00:00"/>
        <d v="2018-05-27T00:00:00"/>
        <d v="2018-05-28T00:00:00"/>
        <d v="2018-05-29T00:00:00"/>
        <d v="2018-05-30T00:00:00"/>
        <d v="2018-05-31T00:00:00"/>
        <d v="2018-06-01T00:00:00"/>
        <d v="2018-06-02T00:00:00"/>
        <d v="2018-06-03T00:00:00"/>
        <d v="2018-06-04T00:00:00"/>
        <d v="2018-06-05T00:00:00"/>
        <d v="2018-06-06T00:00:00"/>
        <d v="2018-06-07T00:00:00"/>
        <d v="2018-06-08T00:00:00"/>
        <d v="2018-06-09T00:00:00"/>
        <d v="2018-06-10T00:00:00"/>
        <d v="2018-06-11T00:00:00"/>
        <d v="2018-06-12T00:00:00"/>
        <d v="2018-06-13T00:00:00"/>
        <d v="2018-06-14T00:00:00"/>
        <d v="2018-06-15T00:00:00"/>
        <d v="2018-06-16T00:00:00"/>
        <d v="2018-06-17T00:00:00"/>
        <d v="2018-06-18T00:00:00"/>
        <d v="2018-06-19T00:00:00"/>
        <d v="2018-06-20T00:00:00"/>
        <d v="2018-06-21T00:00:00"/>
        <d v="2018-06-22T00:00:00"/>
        <d v="2018-06-23T00:00:00"/>
        <d v="2018-06-24T00:00:00"/>
        <d v="2018-06-25T00:00:00"/>
        <d v="2018-06-26T00:00:00"/>
        <d v="2018-06-27T00:00:00"/>
        <d v="2018-06-28T00:00:00"/>
        <d v="2018-06-29T00:00:00"/>
        <d v="2018-06-30T00:00:00"/>
        <d v="2018-07-01T00:00:00"/>
        <d v="2018-07-02T00:00:00"/>
        <d v="2018-07-03T00:00:00"/>
        <d v="2018-07-04T00:00:00"/>
        <d v="2018-07-05T00:00:00"/>
        <d v="2018-07-06T00:00:00"/>
        <d v="2018-07-07T00:00:00"/>
        <d v="2018-07-08T00:00:00"/>
        <d v="2018-07-09T00:00:00"/>
        <d v="2018-07-10T00:00:00"/>
        <d v="2018-07-11T00:00:00"/>
        <d v="2018-07-12T00:00:00"/>
        <d v="2018-07-13T00:00:00"/>
        <d v="2018-07-14T00:00:00"/>
        <d v="2018-07-15T00:00:00"/>
        <d v="2018-07-16T00:00:00"/>
        <d v="2018-07-17T00:00:00"/>
        <d v="2018-07-18T00:00:00"/>
        <d v="2018-07-19T00:00:00"/>
        <d v="2018-07-20T00:00:00"/>
        <d v="2018-07-21T00:00:00"/>
        <d v="2018-07-22T00:00:00"/>
        <d v="2018-07-23T00:00:00"/>
        <d v="2018-07-24T00:00:00"/>
        <d v="2018-07-25T00:00:00"/>
        <d v="2018-07-26T00:00:00"/>
        <d v="2018-07-27T00:00:00"/>
        <d v="2018-07-28T00:00:00"/>
        <d v="2018-07-29T00:00:00"/>
        <d v="2018-07-30T00:00:00"/>
        <d v="2018-07-31T00:00:00"/>
        <d v="2018-08-01T00:00:00"/>
        <d v="2018-08-02T00:00:00"/>
        <d v="2018-08-03T00:00:00"/>
        <d v="2018-08-04T00:00:00"/>
        <d v="2018-08-05T00:00:00"/>
        <d v="2018-08-06T00:00:00"/>
        <d v="2018-08-07T00:00:00"/>
        <d v="2018-08-08T00:00:00"/>
        <d v="2018-08-09T00:00:00"/>
        <d v="2018-08-10T00:00:00"/>
        <d v="2018-08-11T00:00:00"/>
        <d v="2018-08-12T00:00:00"/>
        <d v="2018-08-13T00:00:00"/>
        <d v="2018-08-14T00:00:00"/>
        <d v="2018-08-15T00:00:00"/>
        <d v="2018-08-16T00:00:00"/>
        <d v="2018-08-17T00:00:00"/>
        <d v="2018-08-18T00:00:00"/>
        <d v="2018-08-19T00:00:00"/>
        <d v="2018-08-20T00:00:00"/>
        <d v="2018-08-21T00:00:00"/>
        <d v="2018-08-22T00:00:00"/>
        <d v="2018-08-23T00:00:00"/>
        <d v="2018-08-24T00:00:00"/>
        <d v="2018-08-25T00:00:00"/>
        <d v="2018-08-26T00:00:00"/>
        <d v="2018-08-27T00:00:00"/>
        <d v="2018-08-28T00:00:00"/>
        <d v="2018-08-29T00:00:00"/>
        <d v="2018-08-30T00:00:00"/>
        <d v="2018-08-31T00:00:00"/>
        <d v="2018-09-01T00:00:00"/>
        <d v="2018-09-02T00:00:00"/>
        <d v="2018-09-03T00:00:00"/>
        <d v="2018-09-04T00:00:00"/>
        <d v="2018-09-05T00:00:00"/>
        <d v="2018-09-06T00:00:00"/>
        <d v="2018-09-07T00:00:00"/>
        <d v="2018-09-08T00:00:00"/>
        <d v="2018-09-09T00:00:00"/>
        <d v="2018-09-10T00:00:00"/>
        <d v="2018-09-11T00:00:00"/>
        <d v="2018-09-12T00:00:00"/>
        <d v="2018-09-13T00:00:00"/>
        <d v="2018-09-14T00:00:00"/>
        <d v="2018-09-15T00:00:00"/>
        <d v="2018-09-16T00:00:00"/>
        <d v="2018-09-17T00:00:00"/>
        <d v="2018-09-18T00:00:00"/>
        <d v="2018-09-19T00:00:00"/>
        <d v="2018-09-20T00:00:00"/>
        <d v="2018-09-21T00:00:00"/>
        <d v="2018-09-22T00:00:00"/>
        <d v="2018-09-23T00:00:00"/>
        <d v="2018-09-24T00:00:00"/>
        <d v="2018-09-25T00:00:00"/>
        <d v="2018-09-26T00:00:00"/>
        <d v="2018-09-27T00:00:00"/>
        <d v="2018-09-28T00:00:00"/>
        <d v="2018-09-29T00:00:00"/>
        <d v="2018-09-30T00:00:00"/>
        <d v="2018-10-01T00:00:00"/>
        <d v="2018-10-02T00:00:00"/>
        <d v="2018-10-03T00:00:00"/>
        <d v="2018-10-04T00:00:00"/>
        <d v="2018-10-05T00:00:00"/>
        <d v="2018-10-06T00:00:00"/>
        <d v="2018-10-07T00:00:00"/>
        <d v="2018-10-08T00:00:00"/>
        <d v="2018-10-09T00:00:00"/>
        <d v="2018-10-10T00:00:00"/>
        <d v="2018-10-11T00:00:00"/>
        <d v="2018-10-12T00:00:00"/>
        <d v="2018-10-13T00:00:00"/>
        <d v="2018-10-14T00:00:00"/>
        <d v="2018-10-15T00:00:00"/>
        <d v="2018-10-16T00:00:00"/>
        <d v="2018-10-17T00:00:00"/>
        <d v="2018-10-18T00:00:00"/>
        <d v="2018-10-19T00:00:00"/>
        <d v="2018-10-20T00:00:00"/>
        <d v="2018-10-21T00:00:00"/>
        <d v="2018-10-22T00:00:00"/>
        <d v="2018-10-23T00:00:00"/>
        <d v="2018-10-24T00:00:00"/>
        <d v="2018-10-25T00:00:00"/>
        <d v="2018-10-26T00:00:00"/>
        <d v="2018-10-27T00:00:00"/>
        <d v="2018-10-28T00:00:00"/>
        <d v="2018-10-29T00:00:00"/>
        <d v="2018-10-30T00:00:00"/>
        <d v="2018-10-31T00:00:00"/>
        <d v="2018-11-01T00:00:00"/>
        <d v="2018-11-02T00:00:00"/>
        <d v="2018-11-03T00:00:00"/>
        <d v="2018-11-04T00:00:00"/>
        <d v="2018-11-05T00:00:00"/>
        <d v="2018-11-06T00:00:00"/>
        <d v="2018-11-07T00:00:00"/>
        <d v="2018-11-08T00:00:00"/>
        <d v="2018-11-09T00:00:00"/>
        <d v="2018-11-10T00:00:00"/>
        <d v="2018-11-11T00:00:00"/>
        <d v="2018-11-12T00:00:00"/>
        <d v="2018-11-13T00:00:00"/>
        <d v="2018-11-14T00:00:00"/>
        <d v="2018-11-15T00:00:00"/>
        <d v="2018-11-16T00:00:00"/>
        <d v="2018-11-17T00:00:00"/>
        <d v="2018-11-18T00:00:00"/>
        <d v="2018-11-19T00:00:00"/>
        <d v="2018-11-20T00:00:00"/>
        <d v="2018-11-21T00:00:00"/>
        <d v="2018-11-22T00:00:00"/>
        <d v="2018-11-23T00:00:00"/>
        <d v="2018-11-24T00:00:00"/>
        <d v="2018-11-25T00:00:00"/>
        <d v="2018-11-26T00:00:00"/>
        <d v="2018-11-27T00:00:00"/>
        <d v="2018-11-28T00:00:00"/>
        <d v="2018-11-29T00:00:00"/>
        <d v="2018-11-30T00:00:00"/>
        <d v="2018-12-01T00:00:00"/>
        <d v="2018-12-02T00:00:00"/>
        <d v="2018-12-03T00:00:00"/>
        <d v="2018-12-04T00:00:00"/>
        <d v="2018-12-05T00:00:00"/>
        <d v="2018-12-06T00:00:00"/>
        <d v="2018-12-07T00:00:00"/>
        <d v="2018-12-08T00:00:00"/>
        <d v="2018-12-09T00:00:00"/>
        <d v="2018-12-10T00:00:00"/>
        <d v="2018-12-11T00:00:00"/>
        <d v="2018-12-12T00:00:00"/>
        <d v="2018-12-13T00:00:00"/>
        <d v="2018-12-14T00:00:00"/>
        <d v="2018-12-15T00:00:00"/>
        <d v="2018-12-16T00:00:00"/>
        <d v="2018-12-17T00:00:00"/>
        <d v="2018-12-18T00:00:00"/>
        <d v="2018-12-19T00:00:00"/>
        <d v="2018-12-20T00:00:00"/>
        <d v="2018-12-21T00:00:00"/>
        <d v="2018-12-22T00:00:00"/>
        <d v="2018-12-23T00:00:00"/>
        <d v="2018-12-24T00:00:00"/>
        <d v="2018-12-25T00:00:00"/>
        <d v="2018-12-26T00:00:00"/>
        <d v="2018-12-27T00:00:00"/>
        <d v="2018-12-28T00:00:00"/>
        <d v="2018-12-29T00:00:00"/>
        <d v="2018-12-30T00:00:00"/>
        <d v="2018-12-31T00:00:00"/>
        <d v="2019-01-01T00:00:00"/>
        <d v="2019-01-02T00:00:00"/>
        <d v="2019-01-03T00:00:00"/>
        <d v="2019-01-04T00:00:00"/>
        <d v="2019-01-05T00:00:00"/>
        <d v="2019-01-06T00:00:00"/>
        <d v="2019-01-07T00:00:00"/>
        <d v="2019-01-08T00:00:00"/>
        <d v="2019-01-09T00:00:00"/>
        <d v="2019-01-10T00:00:00"/>
        <d v="2019-01-11T00:00:00"/>
        <d v="2019-01-12T00:00:00"/>
        <d v="2019-01-13T00:00:00"/>
        <d v="2019-01-14T00:00:00"/>
        <d v="2019-01-15T00:00:00"/>
        <d v="2019-01-16T00:00:00"/>
        <d v="2019-01-17T00:00:00"/>
        <d v="2019-01-18T00:00:00"/>
        <d v="2019-01-19T00:00:00"/>
        <d v="2019-01-20T00:00:00"/>
        <d v="2019-01-21T00:00:00"/>
        <d v="2019-01-22T00:00:00"/>
        <d v="2019-01-23T00:00:00"/>
        <d v="2019-01-24T00:00:00"/>
        <d v="2019-01-25T00:00:00"/>
        <d v="2019-01-26T00:00:00"/>
        <d v="2019-01-27T00:00:00"/>
        <d v="2019-01-28T00:00:00"/>
        <d v="2019-01-29T00:00:00"/>
        <d v="2019-01-30T00:00:00"/>
        <d v="2019-01-31T00:00:00"/>
        <d v="2019-02-01T00:00:00"/>
        <d v="2019-02-02T00:00:00"/>
        <d v="2019-02-03T00:00:00"/>
        <d v="2019-02-04T00:00:00"/>
        <d v="2019-02-05T00:00:00"/>
        <d v="2019-02-06T00:00:00"/>
        <d v="2019-02-07T00:00:00"/>
        <d v="2019-02-08T00:00:00"/>
        <d v="2019-02-09T00:00:00"/>
        <d v="2019-02-10T00:00:00"/>
        <d v="2019-02-11T00:00:00"/>
        <d v="2019-02-12T00:00:00"/>
        <d v="2019-02-13T00:00:00"/>
        <d v="2019-02-14T00:00:00"/>
        <d v="2019-02-15T00:00:00"/>
        <d v="2019-02-16T00:00:00"/>
        <d v="2019-02-17T00:00:00"/>
        <d v="2019-02-18T00:00:00"/>
        <d v="2019-02-19T00:00:00"/>
        <d v="2019-02-20T00:00:00"/>
        <d v="2019-02-21T00:00:00"/>
        <d v="2019-02-22T00:00:00"/>
        <d v="2019-02-23T00:00:00"/>
        <d v="2019-02-24T00:00:00"/>
        <d v="2019-02-25T00:00:00"/>
        <d v="2019-02-26T00:00:00"/>
        <d v="2019-02-27T00:00:00"/>
        <d v="2019-02-28T00:00:00"/>
        <d v="2019-03-01T00:00:00"/>
        <d v="2019-03-02T00:00:00"/>
        <d v="2019-03-03T00:00:00"/>
        <d v="2019-03-04T00:00:00"/>
        <d v="2019-03-05T00:00:00"/>
        <d v="2019-03-06T00:00:00"/>
        <d v="2019-03-07T00:00:00"/>
        <d v="2019-03-08T00:00:00"/>
        <d v="2019-03-09T00:00:00"/>
        <d v="2019-03-10T00:00:00"/>
        <d v="2019-03-11T00:00:00"/>
        <d v="2019-03-12T00:00:00"/>
        <d v="2019-03-13T00:00:00"/>
        <d v="2019-03-14T00:00:00"/>
        <d v="2019-03-15T00:00:00"/>
        <d v="2019-03-16T00:00:00"/>
        <d v="2019-03-17T00:00:00"/>
        <d v="2019-03-18T00:00:00"/>
        <d v="2019-03-19T00:00:00"/>
        <d v="2019-03-20T00:00:00"/>
        <d v="2019-03-21T00:00:00"/>
        <d v="2019-03-22T00:00:00"/>
        <d v="2019-03-23T00:00:00"/>
        <d v="2019-03-24T00:00:00"/>
        <d v="2019-03-25T00:00:00"/>
        <d v="2019-03-26T00:00:00"/>
        <d v="2019-03-27T00:00:00"/>
        <d v="2019-03-28T00:00:00"/>
        <d v="2019-03-29T00:00:00"/>
        <d v="2019-03-30T00:00:00"/>
        <d v="2019-03-31T00:00:00"/>
        <d v="2019-04-01T00:00:00"/>
        <d v="2019-04-02T00:00:00"/>
        <d v="2019-04-03T00:00:00"/>
        <d v="2019-04-04T00:00:00"/>
        <d v="2019-04-05T00:00:00"/>
        <d v="2019-04-06T00:00:00"/>
        <d v="2019-04-07T00:00:00"/>
        <d v="2019-04-08T00:00:00"/>
        <d v="2019-04-09T00:00:00"/>
        <d v="2019-04-10T00:00:00"/>
        <d v="2019-04-11T00:00:00"/>
        <d v="2019-04-12T00:00:00"/>
        <d v="2019-04-13T00:00:00"/>
        <d v="2019-04-14T00:00:00"/>
        <d v="2019-04-15T00:00:00"/>
        <d v="2019-04-16T00:00:00"/>
        <d v="2019-04-17T00:00:00"/>
        <d v="2019-04-18T00:00:00"/>
        <d v="2019-04-19T00:00:00"/>
        <d v="2019-04-20T00:00:00"/>
        <d v="2019-04-21T00:00:00"/>
        <d v="2019-04-22T00:00:00"/>
        <d v="2019-04-23T00:00:00"/>
        <d v="2019-04-24T00:00:00"/>
        <d v="2019-04-25T00:00:00"/>
        <d v="2019-04-26T00:00:00"/>
        <d v="2019-04-27T00:00:00"/>
        <d v="2019-04-28T00:00:00"/>
        <d v="2019-04-29T00:00:00"/>
        <d v="2019-04-30T00:00:00"/>
        <d v="2019-05-01T00:00:00"/>
        <d v="2019-05-02T00:00:00"/>
        <d v="2019-05-03T00:00:00"/>
        <d v="2019-05-04T00:00:00"/>
        <d v="2019-05-05T00:00:00"/>
        <d v="2019-05-06T00:00:00"/>
        <d v="2019-05-07T00:00:00"/>
        <d v="2019-05-08T00:00:00"/>
        <d v="2019-05-09T00:00:00"/>
        <d v="2019-05-10T00:00:00"/>
        <d v="2019-05-11T00:00:00"/>
        <d v="2019-05-12T00:00:00"/>
        <d v="2019-05-13T00:00:00"/>
        <d v="2019-05-14T00:00:00"/>
        <d v="2019-05-15T00:00:00"/>
        <d v="2019-05-16T00:00:00"/>
        <d v="2019-05-17T00:00:00"/>
        <d v="2019-05-18T00:00:00"/>
        <d v="2019-05-19T00:00:00"/>
        <d v="2019-05-20T00:00:00"/>
        <d v="2019-05-21T00:00:00"/>
        <d v="2019-05-22T00:00:00"/>
        <d v="2019-05-23T00:00:00"/>
        <d v="2019-05-24T00:00:00"/>
        <d v="2019-05-25T00:00:00"/>
        <d v="2019-05-26T00:00:00"/>
        <d v="2019-05-27T00:00:00"/>
        <d v="2019-05-28T00:00:00"/>
        <d v="2019-05-29T00:00:00"/>
        <d v="2019-05-30T00:00:00"/>
        <d v="2019-05-31T00:00:00"/>
        <d v="2019-06-01T00:00:00"/>
        <d v="2019-06-02T00:00:00"/>
        <d v="2019-06-03T00:00:00"/>
        <d v="2019-06-04T00:00:00"/>
        <d v="2019-06-05T00:00:00"/>
        <d v="2019-06-06T00:00:00"/>
        <d v="2019-06-07T00:00:00"/>
        <d v="2019-06-08T00:00:00"/>
        <d v="2019-06-09T00:00:00"/>
        <d v="2019-06-10T00:00:00"/>
        <d v="2019-06-11T00:00:00"/>
        <d v="2019-06-12T00:00:00"/>
        <d v="2019-06-13T00:00:00"/>
        <d v="2019-06-14T00:00:00"/>
        <d v="2019-06-15T00:00:00"/>
        <d v="2019-06-16T00:00:00"/>
        <d v="2019-06-17T00:00:00"/>
        <d v="2019-06-18T00:00:00"/>
        <d v="2019-06-19T00:00:00"/>
        <d v="2019-06-20T00:00:00"/>
        <d v="2019-06-21T00:00:00"/>
        <d v="2019-06-22T00:00:00"/>
        <d v="2019-06-23T00:00:00"/>
        <d v="2019-06-24T00:00:00"/>
        <d v="2019-06-25T00:00:00"/>
        <d v="2019-06-26T00:00:00"/>
        <d v="2019-06-27T00:00:00"/>
        <d v="2019-06-28T00:00:00"/>
        <d v="2019-06-29T00:00:00"/>
        <d v="2019-06-30T00:00:00"/>
        <d v="2019-07-01T00:00:00"/>
        <d v="2019-07-02T00:00:00"/>
        <d v="2019-07-03T00:00:00"/>
        <d v="2019-07-04T00:00:00"/>
        <d v="2019-07-05T00:00:00"/>
        <d v="2019-07-06T00:00:00"/>
        <d v="2019-07-07T00:00:00"/>
        <d v="2019-07-08T00:00:00"/>
        <d v="2019-07-09T00:00:00"/>
        <d v="2019-07-10T00:00:00"/>
        <d v="2019-07-11T00:00:00"/>
        <d v="2019-07-12T00:00:00"/>
        <d v="2019-07-13T00:00:00"/>
        <d v="2019-07-14T00:00:00"/>
        <d v="2019-07-15T00:00:00"/>
        <d v="2019-07-16T00:00:00"/>
        <d v="2019-07-17T00:00:00"/>
        <d v="2019-07-18T00:00:00"/>
        <d v="2019-07-19T00:00:00"/>
        <d v="2019-07-20T00:00:00"/>
        <d v="2019-07-21T00:00:00"/>
        <d v="2019-07-22T00:00:00"/>
        <d v="2019-07-23T00:00:00"/>
        <d v="2019-07-24T00:00:00"/>
        <d v="2019-07-25T00:00:00"/>
        <d v="2019-07-26T00:00:00"/>
        <d v="2019-07-27T00:00:00"/>
        <d v="2019-07-28T00:00:00"/>
        <d v="2019-07-29T00:00:00"/>
        <d v="2019-07-30T00:00:00"/>
        <d v="2019-07-31T00:00:00"/>
        <d v="2019-08-01T00:00:00"/>
        <d v="2019-08-02T00:00:00"/>
        <d v="2019-08-03T00:00:00"/>
        <d v="2019-08-04T00:00:00"/>
        <d v="2019-08-05T00:00:00"/>
        <d v="2019-08-06T00:00:00"/>
        <d v="2019-08-07T00:00:00"/>
        <d v="2019-08-08T00:00:00"/>
        <d v="2019-08-09T00:00:00"/>
        <d v="2019-08-10T00:00:00"/>
        <d v="2019-08-11T00:00:00"/>
        <d v="2019-08-12T00:00:00"/>
        <d v="2019-08-13T00:00:00"/>
        <d v="2019-08-14T00:00:00"/>
        <d v="2019-08-15T00:00:00"/>
        <d v="2019-08-16T00:00:00"/>
        <d v="2019-08-17T00:00:00"/>
        <d v="2019-08-18T00:00:00"/>
        <d v="2019-08-19T00:00:00"/>
        <d v="2019-08-20T00:00:00"/>
        <d v="2019-08-21T00:00:00"/>
        <d v="2019-08-22T00:00:00"/>
        <d v="2019-08-23T00:00:00"/>
        <d v="2019-08-24T00:00:00"/>
        <d v="2019-08-25T00:00:00"/>
        <d v="2019-08-26T00:00:00"/>
        <d v="2019-08-27T00:00:00"/>
        <d v="2019-08-28T00:00:00"/>
        <d v="2019-08-29T00:00:00"/>
        <d v="2019-08-30T00:00:00"/>
        <d v="2019-08-31T00:00:00"/>
        <d v="2019-09-01T00:00:00"/>
        <d v="2019-09-02T00:00:00"/>
        <d v="2019-09-03T00:00:00"/>
        <d v="2019-09-04T00:00:00"/>
        <d v="2019-09-05T00:00:00"/>
        <d v="2019-09-06T00:00:00"/>
        <d v="2019-09-07T00:00:00"/>
        <d v="2019-09-08T00:00:00"/>
        <d v="2019-09-09T00:00:00"/>
        <d v="2019-09-10T00:00:00"/>
        <d v="2019-09-11T00:00:00"/>
        <d v="2019-09-12T00:00:00"/>
        <d v="2019-09-13T00:00:00"/>
        <d v="2019-09-14T00:00:00"/>
        <d v="2019-09-15T00:00:00"/>
        <d v="2019-09-16T00:00:00"/>
        <d v="2019-09-17T00:00:00"/>
        <d v="2019-09-18T00:00:00"/>
        <d v="2019-09-19T00:00:00"/>
        <d v="2019-09-20T00:00:00"/>
        <d v="2019-09-21T00:00:00"/>
        <d v="2019-09-22T00:00:00"/>
        <d v="2019-09-23T00:00:00"/>
        <d v="2019-09-24T00:00:00"/>
        <d v="2019-09-25T00:00:00"/>
        <d v="2019-09-26T00:00:00"/>
        <d v="2019-09-27T00:00:00"/>
        <d v="2019-09-28T00:00:00"/>
        <d v="2019-09-29T00:00:00"/>
        <d v="2019-09-30T00:00:00"/>
        <d v="2019-10-01T00:00:00"/>
        <d v="2019-10-02T00:00:00"/>
        <d v="2019-10-03T00:00:00"/>
        <d v="2019-10-04T00:00:00"/>
        <d v="2019-10-05T00:00:00"/>
        <d v="2019-10-06T00:00:00"/>
        <d v="2019-10-07T00:00:00"/>
        <d v="2019-10-08T00:00:00"/>
        <d v="2019-10-09T00:00:00"/>
        <d v="2019-10-10T00:00:00"/>
        <d v="2019-10-11T00:00:00"/>
        <d v="2019-10-12T00:00:00"/>
        <d v="2019-10-13T00:00:00"/>
        <d v="2019-10-14T00:00:00"/>
        <d v="2019-10-15T00:00:00"/>
        <d v="2019-10-16T00:00:00"/>
        <d v="2019-10-17T00:00:00"/>
        <d v="2019-10-18T00:00:00"/>
        <d v="2019-10-19T00:00:00"/>
        <d v="2019-10-20T00:00:00"/>
        <d v="2019-10-21T00:00:00"/>
        <d v="2019-10-22T00:00:00"/>
        <d v="2019-10-23T00:00:00"/>
        <d v="2019-10-24T00:00:00"/>
        <d v="2019-10-25T00:00:00"/>
        <d v="2019-10-26T00:00:00"/>
        <d v="2019-10-27T00:00:00"/>
        <d v="2019-10-28T00:00:00"/>
        <d v="2019-10-29T00:00:00"/>
        <d v="2019-10-30T00:00:00"/>
        <d v="2019-10-31T00:00:00"/>
        <d v="2019-11-01T00:00:00"/>
        <d v="2019-11-02T00:00:00"/>
        <d v="2019-11-03T00:00:00"/>
        <d v="2019-11-04T00:00:00"/>
        <d v="2019-11-05T00:00:00"/>
        <d v="2019-11-06T00:00:00"/>
        <d v="2019-11-07T00:00:00"/>
        <d v="2019-11-08T00:00:00"/>
        <d v="2019-11-09T00:00:00"/>
        <d v="2019-11-10T00:00:00"/>
        <d v="2019-11-11T00:00:00"/>
        <d v="2019-11-12T00:00:00"/>
        <d v="2019-11-13T00:00:00"/>
        <d v="2019-11-14T00:00:00"/>
        <d v="2019-11-15T00:00:00"/>
        <d v="2019-11-16T00:00:00"/>
        <d v="2019-11-17T00:00:00"/>
        <d v="2019-11-18T00:00:00"/>
        <d v="2019-11-19T00:00:00"/>
        <d v="2019-11-20T00:00:00"/>
        <d v="2019-11-21T00:00:00"/>
        <d v="2019-11-22T00:00:00"/>
        <d v="2019-11-23T00:00:00"/>
        <d v="2019-11-24T00:00:00"/>
        <d v="2019-11-25T00:00:00"/>
        <d v="2019-11-26T00:00:00"/>
        <d v="2019-11-27T00:00:00"/>
        <d v="2019-11-28T00:00:00"/>
        <d v="2019-11-29T00:00:00"/>
        <d v="2019-11-30T00:00:00"/>
        <d v="2019-12-01T00:00:00"/>
        <d v="2019-12-02T00:00:00"/>
        <d v="2019-12-03T00:00:00"/>
        <d v="2019-12-04T00:00:00"/>
        <d v="2019-12-05T00:00:00"/>
        <d v="2019-12-06T00:00:00"/>
        <d v="2019-12-07T00:00:00"/>
        <d v="2019-12-08T00:00:00"/>
        <d v="2019-12-09T00:00:00"/>
        <d v="2019-12-10T00:00:00"/>
        <d v="2019-12-11T00:00:00"/>
        <d v="2019-12-12T00:00:00"/>
        <d v="2019-12-13T00:00:00"/>
        <d v="2019-12-14T00:00:00"/>
        <d v="2019-12-15T00:00:00"/>
        <d v="2019-12-16T00:00:00"/>
        <d v="2019-12-17T00:00:00"/>
        <d v="2019-12-18T00:00:00"/>
        <d v="2019-12-19T00:00:00"/>
        <d v="2019-12-20T00:00:00"/>
        <d v="2019-12-21T00:00:00"/>
        <d v="2019-12-22T00:00:00"/>
        <d v="2019-12-23T00:00:00"/>
        <d v="2019-12-24T00:00:00"/>
        <d v="2019-12-25T00:00:00"/>
        <d v="2019-12-26T00:00:00"/>
        <d v="2019-12-27T00:00:00"/>
        <d v="2019-12-28T00:00:00"/>
        <d v="2019-12-29T00:00:00"/>
        <d v="2019-12-30T00:00:00"/>
        <d v="2019-12-31T00:00:00"/>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2-29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6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05T00:00:00"/>
        <d v="2021-04-06T00:00:00"/>
        <d v="2021-04-07T00:00:00"/>
        <d v="2021-04-08T00:00:00"/>
        <d v="2021-04-09T00:00:00"/>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d v="2021-05-11T00:00:00"/>
        <d v="2021-05-12T00:00:00"/>
        <d v="2021-05-13T00:00:00"/>
        <d v="2021-05-14T00:00:00"/>
        <d v="2021-05-15T00:00:00"/>
        <d v="2021-05-16T00:00:00"/>
        <d v="2021-05-17T00:00:00"/>
        <d v="2021-05-18T00:00:00"/>
        <d v="2021-05-19T00:00:00"/>
        <d v="2021-05-20T00:00:00"/>
        <d v="2021-05-21T00:00:00"/>
        <d v="2021-05-22T00:00:00"/>
        <d v="2021-05-23T00:00:00"/>
        <d v="2021-05-24T00:00:00"/>
        <d v="2021-05-25T00:00:00"/>
        <d v="2021-05-26T00:00:00"/>
        <d v="2021-05-27T00:00:00"/>
        <d v="2021-05-28T00:00:00"/>
        <d v="2021-05-29T00:00:00"/>
        <d v="2021-05-30T00:00:00"/>
        <d v="2021-05-31T00:00:00"/>
        <d v="2021-06-01T00:00:00"/>
        <d v="2021-06-02T00:00:00"/>
        <d v="2021-06-03T00:00:00"/>
        <d v="2021-06-04T00:00:00"/>
        <d v="2021-06-05T00:00:00"/>
        <d v="2021-06-06T00:00:00"/>
        <d v="2021-06-07T00:00:00"/>
        <d v="2021-06-08T00:00:00"/>
        <d v="2021-06-09T00:00:00"/>
        <d v="2021-06-10T00:00:00"/>
        <d v="2021-06-11T00:00:00"/>
        <d v="2021-06-12T00:00:00"/>
        <d v="2021-06-13T00:00:00"/>
        <d v="2021-06-14T00:00:00"/>
        <d v="2021-06-15T00:00:00"/>
        <d v="2021-06-16T00:00:00"/>
        <d v="2021-06-17T00:00:00"/>
        <d v="2021-06-18T00:00:00"/>
        <d v="2021-06-19T00:00:00"/>
        <d v="2021-06-20T00:00:00"/>
        <d v="2021-06-21T00:00:00"/>
        <d v="2021-06-22T00:00:00"/>
        <d v="2021-06-23T00:00:00"/>
        <d v="2021-06-24T00:00:00"/>
        <d v="2021-06-25T00:00:00"/>
        <d v="2021-06-26T00:00:00"/>
        <d v="2021-06-27T00:00:00"/>
        <d v="2021-06-28T00:00:00"/>
        <d v="2021-06-29T00:00:00"/>
        <d v="2021-06-30T00:00:00"/>
        <d v="2021-07-01T00:00:00"/>
        <d v="2021-07-02T00:00:00"/>
        <d v="2021-07-03T00:00:00"/>
        <d v="2021-07-04T00:00:00"/>
        <d v="2021-07-05T00:00:00"/>
        <d v="2021-07-06T00:00:00"/>
        <d v="2021-07-07T00:00:00"/>
        <d v="2021-07-08T00:00:00"/>
        <d v="2021-07-09T00:00:00"/>
        <d v="2021-07-10T00:00:00"/>
        <d v="2021-07-11T00:00:00"/>
        <d v="2021-07-12T00:00:00"/>
        <d v="2021-07-13T00:00:00"/>
        <d v="2021-07-14T00:00:00"/>
        <d v="2021-07-15T00:00:00"/>
        <d v="2021-07-16T00:00:00"/>
        <d v="2021-07-17T00:00:00"/>
        <d v="2021-07-18T00:00:00"/>
        <d v="2021-07-19T00:00:00"/>
        <d v="2021-07-20T00:00:00"/>
        <d v="2021-07-21T00:00:00"/>
        <d v="2021-07-22T00:00:00"/>
        <d v="2021-07-23T00:00:00"/>
        <d v="2021-07-24T00:00:00"/>
        <d v="2021-07-25T00:00:00"/>
        <d v="2021-07-26T00:00:00"/>
        <d v="2021-07-27T00:00:00"/>
        <d v="2021-07-28T00:00:00"/>
        <d v="2021-07-29T00:00:00"/>
        <d v="2021-07-30T00:00:00"/>
        <d v="2021-07-31T00:00:00"/>
        <d v="2021-08-01T00:00:00"/>
        <d v="2021-08-02T00:00:00"/>
        <d v="2021-08-03T00:00:00"/>
        <d v="2021-08-04T00:00:00"/>
        <d v="2021-08-05T00:00:00"/>
        <d v="2021-08-06T00:00:00"/>
        <d v="2021-08-07T00:00:00"/>
        <d v="2021-08-08T00:00:00"/>
        <d v="2021-08-09T00:00:00"/>
        <d v="2021-08-10T00:00:00"/>
        <d v="2021-08-11T00:00:00"/>
        <d v="2021-08-12T00:00:00"/>
        <d v="2021-08-13T00:00:00"/>
        <d v="2021-08-14T00:00:00"/>
        <d v="2021-08-15T00:00:00"/>
        <d v="2021-08-16T00:00:00"/>
        <d v="2021-08-17T00:00:00"/>
        <d v="2021-08-18T00:00:00"/>
        <d v="2021-08-19T00:00:00"/>
        <d v="2021-08-20T00:00:00"/>
        <d v="2021-08-21T00:00:00"/>
        <d v="2021-08-22T00:00:00"/>
        <d v="2021-08-23T00:00:00"/>
        <d v="2021-08-24T00:00:00"/>
        <d v="2021-08-25T00:00:00"/>
        <d v="2021-08-26T00:00:00"/>
        <d v="2021-08-27T00:00:00"/>
        <d v="2021-08-28T00:00:00"/>
        <d v="2021-08-29T00:00:00"/>
        <d v="2021-08-30T00:00:00"/>
        <d v="2021-08-31T00:00:00"/>
        <d v="2021-09-01T00:00:00"/>
        <d v="2021-09-02T00:00:00"/>
        <d v="2021-09-03T00:00:00"/>
        <d v="2021-09-04T00:00:00"/>
        <d v="2021-09-05T00:00:00"/>
        <d v="2021-09-06T00:00:00"/>
        <d v="2021-09-07T00:00:00"/>
        <d v="2021-09-08T00:00:00"/>
        <d v="2021-09-09T00:00:00"/>
        <d v="2021-09-10T00:00:00"/>
        <d v="2021-09-11T00:00:00"/>
        <d v="2021-09-12T00:00:00"/>
        <d v="2021-09-13T00:00:00"/>
        <d v="2021-09-14T00:00:00"/>
        <d v="2021-09-15T00:00:00"/>
        <d v="2021-09-16T00:00:00"/>
        <d v="2021-09-17T00:00:00"/>
        <d v="2021-09-18T00:00:00"/>
        <d v="2021-09-19T00:00:00"/>
        <d v="2021-09-20T00:00:00"/>
        <d v="2021-09-21T00:00:00"/>
        <d v="2021-09-22T00:00:00"/>
        <d v="2021-09-23T00:00:00"/>
        <d v="2021-09-24T00:00:00"/>
        <d v="2021-09-25T00:00:00"/>
        <d v="2021-09-26T00:00:00"/>
        <d v="2021-09-27T00:00:00"/>
        <d v="2021-09-28T00:00:00"/>
        <d v="2021-09-29T00:00:00"/>
        <d v="2021-09-30T00:00:00"/>
        <d v="2021-10-01T00:00:00"/>
        <d v="2021-10-02T00:00:00"/>
        <d v="2021-10-03T00:00:00"/>
        <d v="2021-10-04T00:00:00"/>
        <d v="2021-10-05T00:00:00"/>
        <d v="2021-10-06T00:00:00"/>
        <d v="2021-10-07T00:00:00"/>
        <d v="2021-10-08T00:00:00"/>
        <d v="2021-10-09T00:00:00"/>
        <d v="2021-10-10T00:00:00"/>
        <d v="2021-10-11T00:00:00"/>
        <d v="2021-10-12T00:00:00"/>
        <d v="2021-10-13T00:00:00"/>
        <d v="2021-10-14T00:00:00"/>
        <d v="2021-10-15T00:00:00"/>
        <d v="2021-10-16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d v="2022-01-01T00:00:00"/>
        <d v="2022-01-02T00:00:00"/>
        <d v="2022-01-03T00:00:00"/>
        <d v="2022-01-04T00:00:00"/>
        <d v="2022-01-05T00:00:00"/>
        <d v="2022-01-06T00:00:00"/>
        <d v="2022-01-07T00:00:00"/>
        <d v="2022-01-08T00:00:00"/>
        <d v="2022-01-09T00:00:00"/>
        <d v="2022-01-10T00:00:00"/>
        <d v="2022-01-11T00:00:00"/>
        <d v="2022-01-12T00:00:00"/>
        <d v="2022-01-13T00:00:00"/>
        <d v="2022-01-14T00:00:00"/>
        <d v="2022-01-15T00:00:00"/>
        <d v="2022-01-16T00:00:00"/>
        <d v="2022-01-17T00:00:00"/>
        <d v="2022-01-18T00:00:00"/>
        <d v="2022-01-19T00:00:00"/>
        <d v="2022-01-20T00:00:00"/>
        <d v="2022-01-21T00:00:00"/>
        <d v="2022-01-22T00:00:00"/>
        <d v="2022-01-23T00:00:00"/>
        <d v="2022-01-24T00:00:00"/>
        <d v="2022-01-25T00:00:00"/>
        <d v="2022-01-26T00:00:00"/>
        <d v="2022-01-27T00:00:00"/>
        <d v="2022-01-28T00:00:00"/>
        <d v="2022-01-29T00:00:00"/>
        <d v="2022-01-30T00:00:00"/>
        <d v="2022-01-31T00:00:00"/>
        <d v="2022-02-01T00:00:00"/>
        <d v="2022-02-02T00:00:00"/>
        <d v="2022-02-03T00:00:00"/>
        <d v="2022-02-04T00:00:00"/>
        <d v="2022-02-05T00:00:00"/>
        <d v="2022-02-06T00:00:00"/>
        <d v="2022-02-07T00:00:00"/>
        <d v="2022-02-08T00:00:00"/>
        <d v="2022-02-09T00:00:00"/>
        <d v="2022-02-10T00:00:00"/>
        <d v="2022-02-11T00:00:00"/>
        <d v="2022-02-12T00:00:00"/>
        <d v="2022-02-13T00:00:00"/>
        <d v="2022-02-14T00:00:00"/>
        <d v="2022-02-15T00:00:00"/>
        <d v="2022-02-16T00:00:00"/>
        <d v="2022-02-17T00:00:00"/>
        <d v="2022-02-18T00:00:00"/>
        <d v="2022-02-19T00:00:00"/>
        <d v="2022-02-20T00:00:00"/>
        <d v="2022-02-21T00:00:00"/>
        <d v="2022-02-22T00:00:00"/>
        <d v="2022-02-23T00:00:00"/>
        <d v="2022-02-24T00:00:00"/>
        <d v="2022-02-25T00:00:00"/>
        <d v="2022-02-26T00:00:00"/>
        <d v="2022-02-27T00:00:00"/>
        <d v="2022-02-28T00:00:00"/>
        <d v="2022-03-01T00:00:00"/>
        <d v="2022-03-02T00:00:00"/>
        <d v="2022-03-03T00:00:00"/>
        <d v="2022-03-04T00:00:00"/>
        <d v="2022-03-05T00:00:00"/>
        <d v="2022-03-06T00:00:00"/>
        <d v="2022-03-07T00:00:00"/>
        <d v="2022-03-08T00:00:00"/>
        <d v="2022-03-09T00:00:00"/>
        <d v="2022-03-10T00:00:00"/>
        <d v="2022-03-11T00:00:00"/>
        <d v="2022-03-12T00:00:00"/>
        <d v="2022-03-13T00:00:00"/>
        <d v="2022-03-14T00:00:00"/>
        <d v="2022-03-15T00:00:00"/>
        <d v="2022-03-16T00:00:00"/>
        <d v="2022-03-17T00:00:00"/>
        <d v="2022-03-18T00:00:00"/>
        <d v="2022-03-19T00:00:00"/>
        <d v="2022-03-20T00:00:00"/>
        <d v="2022-03-21T00:00:00"/>
        <d v="2022-03-22T00:00:00"/>
        <d v="2022-03-23T00:00:00"/>
        <d v="2022-03-24T00:00:00"/>
        <d v="2022-03-25T00:00:00"/>
        <d v="2022-03-26T00:00:00"/>
        <d v="2022-03-27T00:00:00"/>
        <d v="2022-03-28T00:00:00"/>
        <d v="2022-03-29T00:00:00"/>
        <d v="2022-03-30T00:00:00"/>
        <d v="2022-03-31T00:00:00"/>
        <d v="2022-04-01T00:00:00"/>
        <d v="2022-04-02T00:00:00"/>
        <d v="2022-04-03T00:00:00"/>
        <d v="2022-04-04T00:00:00"/>
        <d v="2022-04-05T00:00:00"/>
        <d v="2022-04-06T00:00:00"/>
        <d v="2022-04-07T00:00:00"/>
        <d v="2022-04-08T00:00:00"/>
        <d v="2022-04-09T00:00:00"/>
        <d v="2022-04-10T00:00:00"/>
        <d v="2022-04-11T00:00:00"/>
        <d v="2022-04-12T00:00:00"/>
        <d v="2022-04-13T00:00:00"/>
        <d v="2022-04-14T00:00:00"/>
        <d v="2022-04-15T00:00:00"/>
        <d v="2022-04-16T00:00:00"/>
        <d v="2022-04-17T00:00:00"/>
        <d v="2022-04-18T00:00:00"/>
        <d v="2022-04-19T00:00:00"/>
        <d v="2022-04-20T00:00:00"/>
        <d v="2022-04-21T00:00:00"/>
        <d v="2022-04-22T00:00:00"/>
        <d v="2022-04-23T00:00:00"/>
        <d v="2022-04-24T00:00:00"/>
        <d v="2022-04-25T00:00:00"/>
        <d v="2022-04-26T00:00:00"/>
        <d v="2022-04-27T00:00:00"/>
        <d v="2022-04-28T00:00:00"/>
        <d v="2022-04-29T00:00:00"/>
        <d v="2022-04-30T00:00:00"/>
        <d v="2022-05-01T00:00:00"/>
        <d v="2022-05-02T00:00:00"/>
        <d v="2022-05-03T00:00:00"/>
        <d v="2022-05-04T00:00:00"/>
        <d v="2022-05-05T00:00:00"/>
        <d v="2022-05-06T00:00:00"/>
        <d v="2022-05-07T00:00:00"/>
        <d v="2022-05-08T00:00:00"/>
        <d v="2022-05-09T00:00:00"/>
        <d v="2022-05-10T00:00:00"/>
        <d v="2022-05-11T00:00:00"/>
        <d v="2022-05-12T00:00:00"/>
        <d v="2022-05-13T00:00:00"/>
        <d v="2022-05-14T00:00:00"/>
        <d v="2022-05-15T00:00:00"/>
        <d v="2022-05-16T00:00:00"/>
        <d v="2022-05-17T00:00:00"/>
        <d v="2022-05-18T00:00:00"/>
        <d v="2022-05-19T00:00:00"/>
        <d v="2022-05-20T00:00:00"/>
        <d v="2022-05-21T00:00:00"/>
        <d v="2022-05-22T00:00:00"/>
        <d v="2022-05-23T00:00:00"/>
        <d v="2022-05-24T00:00:00"/>
        <d v="2022-05-25T00:00:00"/>
        <d v="2022-05-26T00:00:00"/>
        <d v="2022-05-27T00:00:00"/>
        <d v="2022-05-28T00:00:00"/>
        <d v="2022-05-29T00:00:00"/>
        <d v="2022-05-30T00:00:00"/>
        <d v="2022-05-31T00:00:00"/>
        <d v="2022-06-01T00:00:00"/>
        <d v="2022-06-02T00:00:00"/>
        <d v="2022-06-03T00:00:00"/>
        <d v="2022-06-04T00:00:00"/>
        <d v="2022-06-05T00:00:00"/>
        <d v="2022-06-06T00:00:00"/>
        <d v="2022-06-07T00:00:00"/>
        <d v="2022-06-08T00:00:00"/>
        <d v="2022-06-09T00:00:00"/>
        <d v="2022-06-10T00:00:00"/>
        <d v="2022-06-11T00:00:00"/>
        <d v="2022-06-12T00:00:00"/>
        <d v="2022-06-13T00:00:00"/>
        <d v="2022-06-14T00:00:00"/>
        <d v="2022-06-15T00:00:00"/>
        <d v="2022-06-16T00:00:00"/>
        <d v="2022-06-17T00:00:00"/>
        <d v="2022-06-18T00:00:00"/>
        <d v="2022-06-19T00:00:00"/>
        <d v="2022-06-20T00:00:00"/>
        <d v="2022-06-21T00:00:00"/>
        <d v="2022-06-22T00:00:00"/>
        <d v="2022-06-23T00:00:00"/>
        <d v="2022-06-24T00:00:00"/>
        <d v="2022-06-25T00:00:00"/>
        <d v="2022-06-26T00:00:00"/>
        <d v="2022-06-27T00:00:00"/>
        <d v="2022-06-28T00:00:00"/>
        <d v="2022-06-29T00:00:00"/>
        <d v="2022-06-30T00:00:00"/>
        <d v="2022-07-01T00:00:00"/>
        <d v="2022-07-02T00:00:00"/>
        <d v="2022-07-03T00:00:00"/>
        <d v="2022-07-04T00:00:00"/>
        <d v="2022-07-05T00:00:00"/>
        <d v="2022-07-06T00:00:00"/>
        <d v="2022-07-07T00:00:00"/>
        <d v="2022-07-08T00:00:00"/>
        <d v="2022-07-09T00:00:00"/>
        <d v="2022-07-10T00:00:00"/>
        <d v="2022-07-11T00:00:00"/>
        <d v="2022-07-12T00:00:00"/>
        <d v="2022-07-13T00:00:00"/>
        <d v="2022-07-14T00:00:00"/>
        <d v="2022-07-15T00:00:00"/>
        <d v="2022-07-16T00:00:00"/>
        <d v="2022-07-17T00:00:00"/>
        <d v="2022-07-18T00:00:00"/>
        <d v="2022-07-19T00:00:00"/>
        <d v="2022-07-20T00:00:00"/>
        <d v="2022-07-21T00:00:00"/>
        <d v="2022-07-22T00:00:00"/>
        <d v="2022-07-23T00:00:00"/>
        <d v="2022-07-24T00:00:00"/>
        <d v="2022-07-25T00:00:00"/>
        <d v="2022-07-26T00:00:00"/>
        <d v="2022-07-27T00:00:00"/>
        <d v="2022-07-28T00:00:00"/>
        <d v="2022-07-29T00:00:00"/>
        <d v="2022-07-30T00:00:00"/>
        <d v="2022-07-31T00:00:00"/>
        <d v="2022-08-01T00:00:00"/>
        <d v="2022-08-02T00:00:00"/>
        <d v="2022-08-03T00:00:00"/>
        <d v="2022-08-04T00:00:00"/>
        <d v="2022-08-05T00:00:00"/>
        <d v="2022-08-06T00:00:00"/>
        <d v="2022-08-07T00:00:00"/>
        <d v="2022-08-08T00:00:00"/>
        <d v="2022-08-09T00:00:00"/>
        <d v="2022-08-10T00:00:00"/>
        <d v="2022-08-11T00:00:00"/>
        <d v="2022-08-12T00:00:00"/>
        <d v="2022-08-13T00:00:00"/>
        <d v="2022-08-14T00:00:00"/>
        <d v="2022-08-15T00:00:00"/>
        <d v="2022-08-16T00:00:00"/>
        <d v="2022-08-17T00:00:00"/>
        <d v="2022-08-18T00:00:00"/>
        <d v="2022-08-19T00:00:00"/>
        <d v="2022-08-20T00:00:00"/>
        <d v="2022-08-21T00:00:00"/>
        <d v="2022-08-22T00:00:00"/>
        <d v="2022-08-23T00:00:00"/>
        <d v="2022-08-24T00:00:00"/>
        <d v="2022-08-25T00:00:00"/>
        <d v="2022-08-26T00:00:00"/>
        <d v="2022-08-27T00:00:00"/>
        <d v="2022-08-28T00:00:00"/>
        <d v="2022-08-29T00:00:00"/>
        <d v="2022-08-30T00:00:00"/>
        <d v="2022-08-31T00:00:00"/>
        <d v="2022-09-01T00:00:00"/>
        <d v="2022-09-02T00:00:00"/>
        <d v="2022-09-03T00:00:00"/>
        <d v="2022-09-04T00:00:00"/>
        <d v="2022-09-05T00:00:00"/>
        <d v="2022-09-06T00:00:00"/>
        <d v="2022-09-07T00:00:00"/>
        <d v="2022-09-08T00:00:00"/>
        <d v="2022-09-09T00:00:00"/>
        <d v="2022-09-10T00:00:00"/>
        <d v="2022-09-11T00:00:00"/>
        <d v="2022-09-12T00:00:00"/>
        <d v="2022-09-13T00:00:00"/>
        <d v="2022-09-14T00:00:00"/>
        <d v="2022-09-15T00:00:00"/>
        <d v="2022-09-16T00:00:00"/>
        <d v="2022-09-17T00:00:00"/>
        <d v="2022-09-18T00:00:00"/>
        <d v="2022-09-19T00:00:00"/>
        <d v="2022-09-20T00:00:00"/>
        <d v="2022-09-21T00:00:00"/>
        <d v="2022-09-22T00:00:00"/>
        <d v="2022-09-23T00:00:00"/>
        <d v="2022-09-24T00:00:00"/>
        <d v="2022-09-25T00:00:00"/>
        <d v="2022-09-26T00:00:00"/>
        <d v="2022-09-27T00:00:00"/>
        <d v="2022-09-28T00:00:00"/>
        <d v="2022-09-29T00:00:00"/>
        <d v="2022-09-30T00:00:00"/>
        <d v="2022-10-01T00:00:00"/>
        <d v="2022-10-02T00:00:00"/>
        <d v="2022-10-03T00:00:00"/>
        <d v="2022-10-04T00:00:00"/>
        <d v="2022-10-05T00:00:00"/>
        <d v="2022-10-06T00:00:00"/>
        <d v="2022-10-07T00:00:00"/>
        <d v="2022-10-08T00:00:00"/>
        <d v="2022-10-09T00:00:00"/>
        <d v="2022-10-10T00:00:00"/>
        <d v="2022-10-11T00:00:00"/>
        <d v="2022-10-12T00:00:00"/>
        <d v="2022-10-13T00:00:00"/>
        <d v="2022-10-14T00:00:00"/>
        <d v="2022-10-15T00:00:00"/>
        <d v="2022-10-16T00:00:00"/>
        <d v="2022-10-17T00:00:00"/>
        <d v="2022-10-18T00:00:00"/>
        <d v="2022-10-19T00:00:00"/>
        <d v="2022-10-20T00:00:00"/>
        <d v="2022-10-21T00:00:00"/>
        <d v="2022-10-22T00:00:00"/>
        <d v="2022-10-23T00:00:00"/>
        <d v="2022-10-24T00:00:00"/>
        <d v="2022-10-25T00:00:00"/>
        <d v="2022-10-26T00:00:00"/>
        <d v="2022-10-27T00:00:00"/>
        <d v="2022-10-28T00:00:00"/>
        <d v="2022-10-29T00:00:00"/>
        <d v="2022-10-30T00:00:00"/>
        <d v="2022-10-31T00:00:00"/>
        <d v="2022-11-01T00:00:00"/>
        <d v="2022-11-02T00:00:00"/>
        <d v="2022-11-03T00:00:00"/>
        <d v="2022-11-04T00:00:00"/>
        <d v="2022-11-05T00:00:00"/>
        <d v="2022-11-06T00:00:00"/>
        <d v="2022-11-07T00:00:00"/>
        <d v="2022-11-08T00:00:00"/>
        <d v="2022-11-09T00:00:00"/>
        <d v="2022-11-10T00:00:00"/>
        <d v="2022-11-11T00:00:00"/>
        <d v="2022-11-12T00:00:00"/>
        <d v="2022-11-13T00:00:00"/>
        <d v="2022-11-14T00:00:00"/>
        <d v="2022-11-15T00:00:00"/>
        <d v="2022-11-16T00:00:00"/>
        <d v="2022-11-17T00:00:00"/>
        <d v="2022-11-18T00:00:00"/>
        <d v="2022-11-19T00:00:00"/>
        <d v="2022-11-20T00:00:00"/>
        <d v="2022-11-21T00:00:00"/>
        <d v="2022-11-22T00:00:00"/>
        <d v="2022-11-23T00:00:00"/>
        <d v="2022-11-24T00:00:00"/>
        <d v="2022-11-25T00:00:00"/>
        <d v="2022-11-26T00:00:00"/>
        <d v="2022-11-27T00:00:00"/>
        <d v="2022-11-28T00:00:00"/>
        <d v="2022-11-29T00:00:00"/>
        <d v="2022-11-30T00:00:00"/>
        <d v="2022-12-01T00:00:00"/>
        <d v="2022-12-02T00:00:00"/>
        <d v="2022-12-03T00:00:00"/>
        <d v="2022-12-04T00:00:00"/>
        <d v="2022-12-05T00:00:00"/>
        <d v="2022-12-06T00:00:00"/>
        <d v="2022-12-07T00:00:00"/>
        <d v="2022-12-08T00:00:00"/>
        <d v="2022-12-09T00:00:00"/>
        <d v="2022-12-10T00:00:00"/>
        <d v="2022-12-11T00:00:00"/>
        <d v="2022-12-12T00:00:00"/>
        <d v="2022-12-13T00:00:00"/>
        <d v="2022-12-14T00:00:00"/>
        <d v="2022-12-15T00:00:00"/>
        <d v="2022-12-16T00:00:00"/>
        <d v="2022-12-17T00:00:00"/>
        <d v="2022-12-18T00:00:00"/>
        <d v="2022-12-19T00:00:00"/>
        <d v="2022-12-20T00:00:00"/>
        <d v="2022-12-21T00:00:00"/>
        <d v="2022-12-22T00:00:00"/>
        <d v="2022-12-23T00:00:00"/>
        <d v="2022-12-24T00:00:00"/>
        <d v="2022-12-25T00:00:00"/>
        <d v="2022-12-26T00:00:00"/>
        <d v="2022-12-27T00:00:00"/>
        <d v="2022-12-28T00:00:00"/>
        <d v="2022-12-29T00:00:00"/>
        <d v="2022-12-30T00:00:00"/>
        <d v="2022-12-31T00:00:00"/>
        <d v="2023-01-01T00:00:00"/>
        <d v="2023-01-02T00:00:00"/>
        <d v="2023-01-03T00:00:00"/>
        <d v="2023-01-04T00:00:00"/>
        <d v="2023-01-05T00:00:00"/>
        <d v="2023-01-06T00:00:00"/>
        <d v="2023-01-07T00:00:00"/>
        <d v="2023-01-08T00:00:00"/>
        <d v="2023-01-09T00:00:00"/>
        <d v="2023-01-10T00:00:00"/>
        <d v="2023-01-11T00:00:00"/>
        <d v="2023-01-12T00:00:00"/>
        <d v="2023-01-13T00:00:00"/>
        <d v="2023-01-14T00:00:00"/>
        <d v="2023-01-15T00:00:00"/>
        <d v="2023-01-16T00:00:00"/>
        <d v="2023-01-17T00:00:00"/>
        <d v="2023-01-18T00:00:00"/>
        <d v="2023-01-19T00:00:00"/>
        <d v="2023-01-20T00:00:00"/>
        <d v="2023-01-21T00:00:00"/>
        <d v="2023-01-22T00:00:00"/>
        <d v="2023-01-23T00:00:00"/>
        <d v="2023-01-24T00:00:00"/>
        <d v="2023-01-25T00:00:00"/>
        <d v="2023-01-26T00:00:00"/>
        <d v="2023-01-27T00:00:00"/>
        <d v="2023-01-28T00:00:00"/>
        <d v="2023-01-29T00:00:00"/>
        <d v="2023-01-30T00:00:00"/>
        <d v="2023-01-31T00:00:00"/>
        <d v="2023-02-01T00:00:00"/>
        <d v="2023-02-02T00:00:00"/>
        <d v="2023-02-03T00:00:00"/>
        <d v="2023-02-04T00:00:00"/>
        <d v="2023-02-05T00:00:00"/>
        <d v="2023-02-06T00:00:00"/>
        <d v="2023-02-07T00:00:00"/>
        <d v="2023-02-08T00:00:00"/>
        <d v="2023-02-09T00:00:00"/>
        <d v="2023-02-10T00:00:00"/>
        <d v="2023-02-11T00:00:00"/>
        <d v="2023-02-12T00:00:00"/>
        <d v="2023-02-13T00:00:00"/>
        <d v="2023-02-14T00:00:00"/>
        <d v="2023-02-15T00:00:00"/>
        <d v="2023-02-16T00:00:00"/>
        <d v="2023-02-17T00:00:00"/>
        <d v="2023-02-18T00:00:00"/>
        <d v="2023-02-19T00:00:00"/>
        <d v="2023-02-20T00:00:00"/>
        <d v="2023-02-21T00:00:00"/>
        <d v="2023-02-22T00:00:00"/>
        <d v="2023-02-23T00:00:00"/>
        <d v="2023-02-24T00:00:00"/>
        <d v="2023-02-25T00:00:00"/>
        <d v="2023-02-26T00:00:00"/>
        <d v="2023-02-27T00:00:00"/>
        <d v="2023-02-28T00:00:00"/>
        <d v="2023-03-01T00:00:00"/>
        <d v="2023-03-02T00:00:00"/>
        <d v="2023-03-03T00:00:00"/>
        <d v="2023-03-04T00:00:00"/>
        <d v="2023-03-05T00:00:00"/>
        <d v="2023-03-06T00:00:00"/>
        <d v="2023-03-07T00:00:00"/>
        <d v="2023-03-08T00:00:00"/>
        <d v="2023-03-09T00:00:00"/>
        <d v="2023-03-10T00:00:00"/>
        <d v="2023-03-11T00:00:00"/>
        <d v="2023-03-12T00:00:00"/>
        <d v="2023-03-13T00:00:00"/>
        <d v="2023-03-14T00:00:00"/>
        <d v="2023-03-15T00:00:00"/>
        <d v="2023-03-16T00:00:00"/>
        <d v="2023-03-17T00:00:00"/>
        <d v="2023-03-18T00:00:00"/>
        <d v="2023-03-19T00:00:00"/>
        <d v="2023-03-20T00:00:00"/>
        <d v="2023-03-21T00:00:00"/>
        <d v="2023-03-22T00:00:00"/>
        <d v="2023-03-23T00:00:00"/>
        <d v="2023-03-24T00:00:00"/>
        <d v="2023-03-25T00:00:00"/>
        <d v="2023-03-26T00:00:00"/>
        <d v="2023-03-27T00:00:00"/>
        <d v="2023-03-28T00:00:00"/>
        <d v="2023-03-29T00:00:00"/>
        <d v="2023-03-30T00:00:00"/>
        <d v="2023-03-31T00:00:00"/>
        <d v="2023-04-01T00:00:00"/>
        <d v="2023-04-02T00:00:00"/>
        <d v="2023-04-03T00:00:00"/>
        <d v="2023-04-04T00:00:00"/>
        <d v="2023-04-05T00:00:00"/>
        <d v="2023-04-06T00:00:00"/>
        <d v="2023-04-07T00:00:00"/>
        <d v="2023-04-08T00:00:00"/>
        <d v="2023-04-09T00:00:00"/>
        <d v="2023-04-10T00:00:00"/>
        <d v="2023-04-11T00:00:00"/>
        <d v="2023-04-12T00:00:00"/>
        <d v="2023-04-13T00:00:00"/>
        <d v="2023-04-14T00:00:00"/>
        <d v="2023-04-15T00:00:00"/>
        <d v="2023-04-16T00:00:00"/>
        <d v="2023-04-17T00:00:00"/>
        <d v="2023-04-18T00:00:00"/>
        <d v="2023-04-19T00:00:00"/>
        <d v="2023-04-20T00:00:00"/>
        <d v="2023-04-21T00:00:00"/>
        <d v="2023-04-22T00:00:00"/>
        <d v="2023-04-23T00:00:00"/>
        <d v="2023-04-24T00:00:00"/>
        <d v="2023-04-25T00:00:00"/>
        <d v="2023-04-26T00:00:00"/>
        <d v="2023-04-27T00:00:00"/>
        <d v="2023-04-28T00:00:00"/>
        <d v="2023-04-29T00:00:00"/>
        <d v="2023-04-30T00:00:00"/>
        <d v="2023-05-01T00:00:00"/>
        <d v="2023-05-02T00:00:00"/>
        <d v="2023-05-03T00:00:00"/>
        <d v="2023-05-04T00:00:00"/>
        <d v="2023-05-05T00:00:00"/>
        <d v="2023-05-06T00:00:00"/>
        <d v="2023-05-07T00:00:00"/>
        <d v="2023-05-08T00:00:00"/>
        <d v="2023-05-09T00:00:00"/>
        <d v="2023-05-10T00:00:00"/>
        <d v="2023-05-11T00:00:00"/>
        <d v="2023-05-12T00:00:00"/>
        <d v="2023-05-13T00:00:00"/>
        <d v="2023-05-14T00:00:00"/>
        <d v="2023-05-15T00:00:00"/>
        <d v="2023-05-16T00:00:00"/>
        <d v="2023-05-17T00:00:00"/>
        <d v="2023-05-18T00:00:00"/>
        <d v="2023-05-19T00:00:00"/>
        <d v="2023-05-20T00:00:00"/>
        <d v="2023-05-21T00:00:00"/>
        <d v="2023-05-22T00:00:00"/>
        <d v="2023-05-23T00:00:00"/>
        <d v="2023-05-24T00:00:00"/>
        <d v="2023-05-25T00:00:00"/>
        <d v="2023-05-26T00:00:00"/>
        <d v="2023-05-27T00:00:00"/>
        <d v="2023-05-28T00:00:00"/>
        <d v="2023-05-29T00:00:00"/>
        <d v="2023-05-30T00:00:00"/>
        <d v="2023-05-31T00:00:00"/>
        <d v="2023-06-01T00:00:00"/>
        <d v="2023-06-02T00:00:00"/>
        <d v="2023-06-03T00:00:00"/>
        <d v="2023-06-04T00:00:00"/>
        <d v="2023-06-05T00:00:00"/>
        <d v="2023-06-06T00:00:00"/>
        <d v="2023-06-07T00:00:00"/>
        <d v="2023-06-08T00:00:00"/>
        <d v="2023-06-09T00:00:00"/>
        <d v="2023-06-10T00:00:00"/>
        <d v="2023-06-11T00:00:00"/>
        <d v="2023-06-12T00:00:00"/>
        <d v="2023-06-13T00:00:00"/>
        <d v="2023-06-14T00:00:00"/>
        <d v="2023-06-15T00:00:00"/>
        <d v="2023-06-16T00:00:00"/>
        <d v="2023-06-17T00:00:00"/>
        <d v="2023-06-18T00:00:00"/>
        <d v="2023-06-19T00:00:00"/>
        <d v="2023-06-20T00:00:00"/>
        <d v="2023-06-21T00:00:00"/>
        <d v="2023-06-22T00:00:00"/>
        <d v="2023-06-23T00:00:00"/>
        <d v="2023-06-24T00:00:00"/>
        <d v="2023-06-25T00:00:00"/>
        <d v="2023-06-26T00:00:00"/>
        <d v="2023-06-27T00:00:00"/>
        <d v="2023-06-28T00:00:00"/>
        <d v="2023-06-29T00:00:00"/>
        <d v="2023-06-30T00:00:00"/>
        <d v="2023-07-01T00:00:00"/>
        <d v="2023-07-02T00:00:00"/>
        <d v="2023-07-03T00:00:00"/>
        <d v="2023-07-04T00:00:00"/>
        <d v="2023-07-05T00:00:00"/>
        <d v="2023-07-06T00:00:00"/>
        <d v="2023-07-07T00:00:00"/>
        <d v="2023-07-08T00:00:00"/>
        <d v="2023-07-09T00:00:00"/>
        <d v="2023-07-10T00:00:00"/>
        <d v="2023-07-11T00:00:00"/>
        <d v="2023-07-12T00:00:00"/>
        <d v="2023-07-13T00:00:00"/>
        <d v="2023-07-14T00:00:00"/>
        <d v="2023-07-15T00:00:00"/>
        <d v="2023-07-16T00:00:00"/>
        <d v="2023-07-17T00:00:00"/>
        <d v="2023-07-18T00:00:00"/>
        <d v="2023-07-19T00:00:00"/>
        <d v="2023-07-20T00:00:00"/>
        <d v="2023-07-21T00:00:00"/>
        <d v="2023-07-22T00:00:00"/>
        <d v="2023-07-23T00:00:00"/>
        <d v="2023-07-24T00:00:00"/>
        <d v="2023-07-25T00:00:00"/>
        <d v="2023-07-26T00:00:00"/>
        <d v="2023-07-27T00:00:00"/>
        <d v="2023-07-28T00:00:00"/>
        <d v="2023-07-29T00:00:00"/>
        <d v="2023-07-30T00:00:00"/>
        <d v="2023-07-31T00:00:00"/>
        <d v="2023-08-01T00:00:00"/>
        <d v="2023-08-02T00:00:00"/>
        <d v="2023-08-03T00:00:00"/>
        <d v="2023-08-04T00:00:00"/>
        <d v="2023-08-05T00:00:00"/>
        <d v="2023-08-06T00:00:00"/>
        <d v="2023-08-07T00:00:00"/>
        <d v="2023-08-08T00:00:00"/>
        <d v="2023-08-09T00:00:00"/>
        <d v="2023-08-10T00:00:00"/>
        <d v="2023-08-11T00:00:00"/>
        <d v="2023-08-12T00:00:00"/>
        <d v="2023-08-13T00:00:00"/>
        <d v="2023-08-14T00:00:00"/>
        <d v="2023-08-15T00:00:00"/>
        <d v="2023-08-16T00:00:00"/>
        <d v="2023-08-17T00:00:00"/>
        <d v="2023-08-18T00:00:00"/>
        <d v="2023-08-19T00:00:00"/>
        <d v="2023-08-20T00:00:00"/>
        <d v="2023-08-21T00:00:00"/>
        <d v="2023-08-22T00:00:00"/>
        <d v="2023-08-23T00:00:00"/>
        <d v="2023-08-24T00:00:00"/>
        <d v="2023-08-25T00:00:00"/>
        <d v="2023-08-26T00:00:00"/>
        <d v="2023-08-27T00:00:00"/>
        <d v="2023-08-28T00:00:00"/>
        <d v="2023-08-29T00:00:00"/>
        <d v="2023-08-30T00:00:00"/>
        <d v="2023-08-31T00:00:00"/>
        <d v="2023-09-01T00:00:00"/>
        <d v="2023-09-02T00:00:00"/>
        <d v="2023-09-03T00:00:00"/>
        <d v="2023-09-04T00:00:00"/>
        <d v="2023-09-05T00:00:00"/>
        <d v="2023-09-06T00:00:00"/>
        <d v="2023-09-07T00:00:00"/>
        <d v="2023-09-08T00:00:00"/>
        <d v="2023-09-09T00:00:00"/>
        <d v="2023-09-10T00:00:00"/>
        <d v="2023-09-11T00:00:00"/>
        <d v="2023-09-12T00:00:00"/>
        <d v="2023-09-13T00:00:00"/>
        <d v="2023-09-14T00:00:00"/>
        <d v="2023-09-15T00:00:00"/>
        <d v="2023-09-16T00:00:00"/>
        <d v="2023-09-17T00:00:00"/>
        <d v="2023-09-18T00:00:00"/>
        <d v="2023-09-19T00:00:00"/>
        <d v="2023-09-20T00:00:00"/>
        <d v="2023-09-21T00:00:00"/>
        <d v="2023-09-22T00:00:00"/>
        <d v="2023-09-23T00:00:00"/>
        <d v="2023-09-24T00:00:00"/>
        <d v="2023-09-25T00:00:00"/>
        <d v="2023-09-26T00:00:00"/>
        <d v="2023-09-27T00:00:00"/>
        <d v="2023-09-28T00:00:00"/>
        <d v="2023-09-29T00:00:00"/>
        <d v="2023-09-30T00:00:00"/>
        <d v="2023-10-01T00:00:00"/>
        <d v="2023-10-02T00:00:00"/>
        <d v="2023-10-03T00:00:00"/>
        <d v="2023-10-04T00:00:00"/>
        <d v="2023-10-05T00:00:00"/>
        <d v="2023-10-06T00:00:00"/>
        <d v="2023-10-07T00:00:00"/>
        <d v="2023-10-08T00:00:00"/>
        <d v="2023-10-09T00:00:00"/>
        <d v="2023-10-10T00:00:00"/>
        <d v="2023-10-11T00:00:00"/>
        <d v="2023-10-12T00:00:00"/>
        <d v="2023-10-13T00:00:00"/>
        <d v="2023-10-14T00:00:00"/>
        <d v="2023-10-15T00:00:00"/>
        <d v="2023-10-16T00:00:00"/>
        <d v="2023-10-17T00:00:00"/>
        <d v="2023-10-18T00:00:00"/>
        <d v="2023-10-19T00:00:00"/>
        <d v="2023-10-20T00:00:00"/>
        <d v="2023-10-21T00:00:00"/>
        <d v="2023-10-22T00:00:00"/>
        <d v="2023-10-23T00:00:00"/>
        <d v="2023-10-24T00:00:00"/>
        <d v="2023-10-25T00:00:00"/>
        <d v="2023-10-26T00:00:00"/>
        <d v="2023-10-27T00:00:00"/>
        <d v="2023-10-28T00:00:00"/>
        <d v="2023-10-29T00:00:00"/>
        <d v="2023-10-30T00:00:00"/>
        <d v="2023-10-31T00:00:00"/>
        <d v="2023-11-01T00:00:00"/>
        <d v="2023-11-02T00:00:00"/>
        <d v="2023-11-03T00:00:00"/>
        <d v="2023-11-04T00:00:00"/>
        <d v="2023-11-05T00:00:00"/>
        <d v="2023-11-06T00:00:00"/>
        <d v="2023-11-07T00:00:00"/>
        <d v="2023-11-08T00:00:00"/>
        <d v="2023-11-09T00:00:00"/>
        <d v="2023-11-10T00:00:00"/>
        <d v="2023-11-11T00:00:00"/>
        <d v="2023-11-12T00:00:00"/>
        <d v="2023-11-13T00:00:00"/>
        <d v="2023-11-14T00:00:00"/>
        <d v="2023-11-15T00:00:00"/>
        <d v="2023-11-16T00:00:00"/>
        <d v="2023-11-17T00:00:00"/>
        <d v="2023-11-18T00:00:00"/>
        <d v="2023-11-19T00:00:00"/>
        <d v="2023-11-20T00:00:00"/>
        <d v="2023-11-21T00:00:00"/>
        <d v="2023-11-22T00:00:00"/>
        <d v="2023-11-23T00:00:00"/>
        <d v="2023-11-24T00:00:00"/>
        <d v="2023-11-25T00:00:00"/>
        <d v="2023-11-26T00:00:00"/>
        <d v="2023-11-27T00:00:00"/>
        <d v="2023-11-28T00:00:00"/>
        <d v="2023-11-29T00:00:00"/>
        <d v="2023-11-30T00:00:00"/>
        <d v="2023-12-01T00:00:00"/>
        <d v="2023-12-02T00:00:00"/>
        <d v="2023-12-03T00:00:00"/>
        <d v="2023-12-04T00:00:00"/>
        <d v="2023-12-05T00:00:00"/>
        <d v="2023-12-06T00:00:00"/>
        <d v="2023-12-07T00:00:00"/>
        <d v="2023-12-08T00:00:00"/>
        <d v="2023-12-09T00:00:00"/>
        <d v="2023-12-10T00:00:00"/>
        <d v="2023-12-11T00:00:00"/>
        <d v="2023-12-12T00:00:00"/>
        <d v="2023-12-13T00:00:00"/>
        <d v="2023-12-14T00:00:00"/>
        <d v="2023-12-15T00:00:00"/>
        <d v="2023-12-16T00:00:00"/>
        <d v="2023-12-17T00:00:00"/>
        <d v="2023-12-18T00:00:00"/>
        <d v="2023-12-19T00:00:00"/>
        <d v="2023-12-20T00:00:00"/>
        <d v="2023-12-21T00:00:00"/>
        <d v="2023-12-22T00:00:00"/>
        <d v="2023-12-23T00:00:00"/>
        <d v="2023-12-24T00:00:00"/>
        <d v="2023-12-25T00:00:00"/>
        <d v="2023-12-26T00:00:00"/>
        <d v="2023-12-27T00:00:00"/>
        <d v="2023-12-28T00:00:00"/>
        <d v="2023-12-29T00:00:00"/>
        <d v="2023-12-30T00:00:00"/>
        <d v="2023-12-31T00:00:00"/>
        <d v="2024-01-01T00:00:00"/>
        <d v="2024-01-02T00:00:00"/>
        <d v="2024-01-03T00:00:00"/>
        <d v="2024-01-04T00:00:00"/>
        <d v="2024-01-05T00:00:00"/>
        <d v="2024-01-06T00:00:00"/>
        <d v="2024-01-07T00:00:00"/>
        <d v="2024-01-08T00:00:00"/>
        <d v="2024-01-09T00:00:00"/>
        <d v="2024-01-10T00:00:00"/>
        <d v="2024-01-11T00:00:00"/>
        <d v="2024-01-12T00:00:00"/>
        <d v="2024-01-13T00:00:00"/>
        <d v="2024-01-14T00:00:00"/>
        <d v="2024-01-15T00:00:00"/>
        <d v="2024-01-16T00:00:00"/>
        <d v="2024-01-17T00:00:00"/>
        <d v="2024-01-18T00:00:00"/>
        <d v="2024-01-19T00:00:00"/>
        <d v="2024-01-20T00:00:00"/>
        <d v="2024-01-21T00:00:00"/>
        <d v="2024-01-22T00:00:00"/>
        <d v="2024-01-23T00:00:00"/>
        <d v="2024-01-24T00:00:00"/>
        <d v="2024-01-25T00:00:00"/>
        <d v="2024-01-26T00:00:00"/>
        <d v="2024-01-27T00:00:00"/>
        <d v="2024-01-28T00:00:00"/>
        <d v="2024-01-29T00:00:00"/>
        <d v="2024-01-30T00:00:00"/>
        <d v="2024-01-31T00:00:00"/>
        <d v="2024-02-01T00:00:00"/>
        <d v="2024-02-02T00:00:00"/>
        <d v="2024-02-03T00:00:00"/>
        <d v="2024-02-04T00:00:00"/>
        <d v="2024-02-05T00:00:00"/>
        <d v="2024-02-06T00:00:00"/>
        <d v="2024-02-07T00:00:00"/>
        <d v="2024-02-08T00:00:00"/>
        <d v="2024-02-09T00:00:00"/>
        <d v="2024-02-10T00:00:00"/>
        <d v="2024-02-11T00:00:00"/>
        <d v="2024-02-12T00:00:00"/>
        <d v="2024-02-13T00:00:00"/>
        <d v="2024-02-14T00:00:00"/>
        <d v="2024-02-15T00:00:00"/>
        <d v="2024-02-16T00:00:00"/>
        <d v="2024-02-17T00:00:00"/>
        <d v="2024-02-18T00:00:00"/>
        <d v="2024-02-19T00:00:00"/>
        <d v="2024-02-20T00:00:00"/>
        <d v="2024-02-21T00:00:00"/>
        <d v="2024-02-22T00:00:00"/>
        <d v="2024-02-23T00:00:00"/>
        <d v="2024-02-24T00:00:00"/>
        <d v="2024-02-25T00:00:00"/>
        <d v="2024-02-26T00:00:00"/>
        <d v="2024-02-27T00:00:00"/>
        <d v="2024-02-28T00:00:00"/>
        <d v="2024-02-29T00:00:00"/>
        <d v="2024-03-01T00:00:00"/>
        <d v="2024-03-02T00:00:00"/>
        <d v="2024-03-03T00:00:00"/>
        <d v="2024-03-04T00:00:00"/>
        <d v="2024-03-05T00:00:00"/>
        <d v="2024-03-06T00:00:00"/>
        <d v="2024-03-07T00:00:00"/>
        <d v="2024-03-08T00:00:00"/>
        <d v="2024-03-09T00:00:00"/>
        <d v="2024-03-10T00:00:00"/>
        <d v="2024-03-11T00:00:00"/>
        <d v="2024-03-12T00:00:00"/>
        <d v="2024-03-13T00:00:00"/>
        <d v="2024-03-14T00:00:00"/>
        <d v="2024-03-15T00:00:00"/>
        <d v="2024-03-16T00:00:00"/>
        <d v="2024-03-17T00:00:00"/>
        <d v="2024-03-18T00:00:00"/>
        <d v="2024-03-19T00:00:00"/>
        <d v="2024-03-20T00:00:00"/>
        <d v="2024-03-21T00:00:00"/>
        <d v="2024-03-22T00:00:00"/>
        <d v="2024-03-23T00:00:00"/>
        <d v="2024-03-24T00:00:00"/>
        <d v="2024-03-25T00:00:00"/>
        <d v="2024-03-26T00:00:00"/>
        <d v="2024-03-27T00:00:00"/>
        <d v="2024-03-28T00:00:00"/>
        <d v="2024-03-29T00:00:00"/>
        <d v="2024-03-30T00:00:00"/>
        <d v="2024-03-31T00:00:00"/>
        <d v="2024-04-01T00:00:00"/>
        <d v="2024-04-02T00:00:00"/>
        <d v="2024-04-03T00:00:00"/>
        <d v="2024-04-04T00:00:00"/>
        <d v="2024-04-05T00:00:00"/>
        <d v="2024-04-06T00:00:00"/>
        <d v="2024-04-07T00:00:00"/>
        <d v="2024-04-08T00:00:00"/>
        <d v="2024-04-09T00:00:00"/>
        <d v="2024-04-10T00:00:00"/>
        <d v="2024-04-11T00:00:00"/>
        <d v="2024-04-12T00:00:00"/>
        <d v="2024-04-13T00:00:00"/>
        <d v="2024-04-14T00:00:00"/>
        <d v="2024-04-15T00:00:00"/>
        <d v="2024-04-16T00:00:00"/>
        <d v="2024-04-17T00:00:00"/>
        <d v="2024-04-18T00:00:00"/>
        <d v="2024-04-19T00:00:00"/>
        <d v="2024-04-20T00:00:00"/>
        <d v="2024-04-21T00:00:00"/>
        <d v="2024-04-22T00:00:00"/>
        <d v="2024-04-23T00:00:00"/>
        <d v="2024-04-24T00:00:00"/>
        <d v="2024-04-25T00:00:00"/>
        <d v="2024-04-26T00:00:00"/>
        <d v="2024-04-27T00:00:00"/>
        <d v="2024-04-28T00:00:00"/>
        <d v="2024-04-29T00:00:00"/>
        <d v="2024-04-30T00:00:00"/>
        <d v="2024-05-01T00:00:00"/>
        <d v="2024-05-02T00:00:00"/>
        <d v="2024-05-03T00:00:00"/>
        <d v="2024-05-04T00:00:00"/>
        <d v="2024-05-05T00:00:00"/>
        <d v="2024-05-06T00:00:00"/>
        <d v="2024-05-07T00:00:00"/>
        <d v="2024-05-08T00:00:00"/>
        <d v="2024-05-09T00:00:00"/>
        <d v="2024-05-10T00:00:00"/>
        <d v="2024-05-11T00:00:00"/>
        <d v="2024-05-12T00:00:00"/>
        <d v="2024-05-13T00:00:00"/>
        <d v="2024-05-14T00:00:00"/>
        <d v="2024-05-15T00:00:00"/>
        <d v="2024-05-16T00:00:00"/>
        <d v="2024-05-17T00:00:00"/>
        <d v="2024-05-18T00:00:00"/>
        <d v="2024-05-19T00:00:00"/>
        <d v="2024-05-20T00:00:00"/>
        <d v="2024-05-21T00:00:00"/>
        <d v="2024-05-22T00:00:00"/>
        <d v="2024-05-23T00:00:00"/>
        <d v="2024-05-24T00:00:00"/>
        <d v="2024-05-25T00:00:00"/>
        <d v="2024-05-26T00:00:00"/>
        <d v="2024-05-27T00:00:00"/>
        <d v="2024-05-28T00:00:00"/>
        <d v="2024-05-29T00:00:00"/>
        <d v="2024-05-30T00:00:00"/>
        <d v="2024-05-31T00:00:00"/>
        <d v="2024-06-01T00:00:00"/>
        <d v="2024-06-02T00:00:00"/>
        <d v="2024-06-03T00:00:00"/>
        <d v="2024-06-04T00:00:00"/>
        <d v="2024-06-05T00:00:00"/>
        <d v="2024-06-06T00:00:00"/>
        <d v="2024-06-07T00:00:00"/>
        <d v="2024-06-08T00:00:00"/>
        <d v="2024-06-09T00:00:00"/>
        <d v="2024-06-10T00:00:00"/>
        <d v="2024-06-11T00:00:00"/>
        <d v="2024-06-12T00:00:00"/>
        <d v="2024-06-13T00:00:00"/>
        <d v="2024-06-14T00:00:00"/>
        <d v="2024-06-15T00:00:00"/>
        <d v="2024-06-16T00:00:00"/>
        <d v="2024-06-17T00:00:00"/>
        <d v="2024-06-18T00:00:00"/>
        <d v="2024-06-19T00:00:00"/>
        <d v="2024-06-20T00:00:00"/>
        <d v="2024-06-21T00:00:00"/>
        <d v="2024-06-22T00:00:00"/>
        <d v="2024-06-23T00:00:00"/>
        <d v="2024-06-24T00:00:00"/>
        <d v="2024-06-25T00:00:00"/>
        <d v="2024-06-26T00:00:00"/>
        <d v="2024-06-27T00:00:00"/>
        <d v="2024-06-28T00:00:00"/>
        <d v="2024-06-29T00:00:00"/>
        <d v="2024-06-30T00:00:00"/>
        <d v="2024-07-01T00:00:00"/>
        <d v="2024-07-02T00:00:00"/>
        <d v="2024-07-03T00:00:00"/>
        <d v="2024-07-04T00:00:00"/>
        <d v="2024-07-05T00:00:00"/>
        <d v="2024-07-06T00:00:00"/>
        <d v="2024-07-07T00:00:00"/>
        <d v="2024-07-08T00:00:00"/>
        <d v="2024-07-09T00:00:00"/>
        <d v="2024-07-10T00:00:00"/>
        <d v="2024-07-11T00:00:00"/>
        <d v="2024-07-12T00:00:00"/>
        <d v="2024-07-13T00:00:00"/>
        <d v="2024-07-14T00:00:00"/>
        <d v="2024-07-15T00:00:00"/>
        <d v="2024-07-16T00:00:00"/>
        <d v="2024-07-17T00:00:00"/>
        <d v="2024-07-18T00:00:00"/>
        <d v="2024-07-19T00:00:00"/>
        <d v="2024-07-20T00:00:00"/>
        <d v="2024-07-21T00:00:00"/>
        <d v="2024-07-22T00:00:00"/>
        <d v="2024-07-23T00:00:00"/>
        <d v="2024-07-24T00:00:00"/>
        <d v="2024-07-25T00:00:00"/>
        <d v="2024-07-26T00:00:00"/>
        <d v="2024-07-27T00:00:00"/>
        <d v="2024-07-28T00:00:00"/>
        <d v="2024-07-29T00:00:00"/>
        <d v="2024-07-30T00:00:00"/>
        <d v="2024-07-31T00:00:00"/>
        <d v="2024-08-01T00:00:00"/>
        <d v="2024-08-02T00:00:00"/>
        <d v="2024-08-03T00:00:00"/>
        <d v="2024-08-04T00:00:00"/>
        <d v="2024-08-05T00:00:00"/>
        <d v="2024-08-06T00:00:00"/>
        <d v="2024-08-07T00:00:00"/>
        <d v="2024-08-08T00:00:00"/>
        <d v="2024-08-09T00:00:00"/>
        <d v="2024-08-10T00:00:00"/>
        <d v="2024-08-11T00:00:00"/>
        <d v="2024-08-12T00:00:00"/>
        <d v="2024-08-13T00:00:00"/>
        <d v="2024-08-14T00:00:00"/>
        <d v="2024-08-15T00:00:00"/>
        <d v="2024-08-16T00:00:00"/>
        <d v="2024-08-17T00:00:00"/>
        <d v="2024-08-18T00:00:00"/>
        <d v="2024-08-19T00:00:00"/>
        <d v="2024-08-20T00:00:00"/>
        <d v="2024-08-21T00:00:00"/>
        <d v="2024-08-22T00:00:00"/>
        <d v="2024-08-23T00:00:00"/>
        <d v="2024-08-24T00:00:00"/>
        <d v="2024-08-25T00:00:00"/>
        <d v="2024-08-26T00:00:00"/>
        <d v="2024-08-27T00:00:00"/>
        <d v="2024-08-28T00:00:00"/>
        <d v="2024-08-29T00:00:00"/>
        <d v="2024-08-30T00:00:00"/>
        <d v="2024-08-31T00:00:00"/>
        <d v="2024-09-01T00:00:00"/>
        <d v="2024-09-02T00:00:00"/>
        <d v="2024-09-03T00:00:00"/>
        <d v="2024-09-04T00:00:00"/>
        <d v="2024-09-05T00:00:00"/>
        <d v="2024-09-06T00:00:00"/>
        <d v="2024-09-07T00:00:00"/>
        <d v="2024-09-08T00:00:00"/>
        <d v="2024-09-09T00:00:00"/>
        <d v="2024-09-10T00:00:00"/>
        <d v="2024-09-11T00:00:00"/>
        <d v="2024-09-12T00:00:00"/>
        <d v="2024-09-13T00:00:00"/>
        <d v="2024-09-14T00:00:00"/>
        <d v="2024-09-15T00:00:00"/>
        <d v="2024-09-16T00:00:00"/>
        <d v="2024-09-17T00:00:00"/>
        <d v="2024-09-18T00:00:00"/>
        <d v="2024-09-19T00:00:00"/>
        <d v="2024-09-20T00:00:00"/>
        <d v="2024-09-21T00:00:00"/>
        <d v="2024-09-22T00:00:00"/>
        <d v="2024-09-23T00:00:00"/>
        <d v="2024-09-24T00:00:00"/>
        <d v="2024-09-25T00:00:00"/>
        <d v="2024-09-26T00:00:00"/>
        <d v="2024-09-27T00:00:00"/>
        <d v="2024-09-28T00:00:00"/>
        <d v="2024-09-29T00:00:00"/>
        <d v="2024-09-30T00:00:00"/>
        <d v="2024-10-01T00:00:00"/>
        <d v="2024-10-02T00:00:00"/>
        <d v="2024-10-03T00:00:00"/>
        <d v="2024-10-04T00:00:00"/>
        <d v="2024-10-05T00:00:00"/>
        <d v="2024-10-06T00:00:00"/>
        <d v="2024-10-07T00:00:00"/>
        <d v="2024-10-08T00:00:00"/>
        <d v="2024-10-09T00:00:00"/>
        <d v="2024-10-10T00:00:00"/>
        <d v="2024-10-11T00:00:00"/>
        <d v="2024-10-12T00:00:00"/>
        <d v="2024-10-13T00:00:00"/>
        <d v="2024-10-14T00:00:00"/>
        <d v="2024-10-15T00:00:00"/>
        <d v="2024-10-16T00:00:00"/>
        <d v="2024-10-17T00:00:00"/>
        <d v="2024-10-18T00:00:00"/>
        <d v="2024-10-19T00:00:00"/>
        <d v="2024-10-20T00:00:00"/>
        <d v="2024-10-21T00:00:00"/>
        <d v="2024-10-22T00:00:00"/>
        <d v="2024-10-23T00:00:00"/>
        <d v="2024-10-24T00:00:00"/>
        <d v="2024-10-25T00:00:00"/>
        <d v="2024-10-26T00:00:00"/>
        <d v="2024-10-27T00:00:00"/>
        <d v="2024-10-28T00:00:00"/>
        <d v="2024-10-29T00:00:00"/>
        <d v="2024-10-30T00:00:00"/>
        <d v="2024-10-31T00:00:00"/>
        <d v="2024-11-01T00:00:00"/>
        <d v="2024-11-02T00:00:00"/>
        <d v="2024-11-03T00:00:00"/>
        <d v="2024-11-04T00:00:00"/>
        <d v="2024-11-05T00:00:00"/>
        <d v="2024-11-06T00:00:00"/>
        <d v="2024-11-07T00:00:00"/>
        <d v="2024-11-08T00:00:00"/>
        <d v="2024-11-09T00:00:00"/>
        <d v="2024-11-10T00:00:00"/>
        <d v="2024-11-11T00:00:00"/>
        <d v="2024-11-12T00:00:00"/>
        <d v="2024-11-13T00:00:00"/>
        <d v="2024-11-14T00:00:00"/>
        <d v="2024-11-15T00:00:00"/>
        <d v="2024-11-16T00:00:00"/>
        <d v="2024-11-17T00:00:00"/>
        <d v="2024-11-18T00:00:00"/>
        <d v="2024-11-19T00:00:00"/>
        <d v="2024-11-20T00:00:00"/>
        <d v="2024-11-21T00:00:00"/>
        <d v="2024-11-22T00:00:00"/>
        <d v="2024-11-23T00:00:00"/>
        <d v="2024-11-24T00:00:00"/>
        <d v="2024-11-25T00:00:00"/>
        <d v="2024-11-26T00:00:00"/>
        <d v="2024-11-27T00:00:00"/>
        <d v="2024-11-28T00:00:00"/>
        <d v="2024-11-29T00:00:00"/>
        <d v="2024-11-30T00:00:00"/>
        <d v="2024-12-01T00:00:00"/>
        <d v="2024-12-02T00:00:00"/>
        <d v="2024-12-03T00:00:00"/>
        <d v="2024-12-04T00:00:00"/>
        <d v="2024-12-05T00:00:00"/>
        <d v="2024-12-06T00:00:00"/>
        <d v="2024-12-07T00:00:00"/>
        <d v="2024-12-08T00:00:00"/>
        <d v="2024-12-09T00:00:00"/>
        <d v="2024-12-10T00:00:00"/>
        <d v="2024-12-11T00:00:00"/>
        <d v="2024-12-12T00:00:00"/>
        <d v="2024-12-13T00:00:00"/>
        <d v="2024-12-14T00:00:00"/>
        <d v="2024-12-15T00:00:00"/>
        <d v="2024-12-16T00:00:00"/>
        <d v="2024-12-17T00:00:00"/>
        <d v="2024-12-18T00:00:00"/>
        <d v="2024-12-19T00:00:00"/>
        <d v="2024-12-20T00:00:00"/>
        <d v="2024-12-21T00:00:00"/>
        <d v="2024-12-22T00:00:00"/>
        <d v="2024-12-23T00:00:00"/>
        <d v="2024-12-24T00:00:00"/>
        <d v="2024-12-25T00:00:00"/>
        <d v="2024-12-26T00:00:00"/>
        <d v="2024-12-27T00:00:00"/>
        <d v="2024-12-28T00:00:00"/>
        <d v="2024-12-29T00:00:00"/>
        <d v="2024-12-30T00:00:00"/>
        <d v="2024-12-31T00:00:00"/>
        <d v="2025-01-01T00:00:00"/>
        <d v="2025-01-02T00:00:00"/>
        <d v="2025-01-03T00:00:00"/>
        <d v="2025-01-04T00:00:00"/>
        <d v="2025-01-05T00:00:00"/>
        <d v="2025-01-06T00:00:00"/>
        <d v="2025-01-07T00:00:00"/>
        <d v="2025-01-08T00:00:00"/>
        <d v="2025-01-09T00:00:00"/>
        <d v="2025-01-10T00:00:00"/>
        <d v="2025-01-11T00:00:00"/>
        <d v="2025-01-12T00:00:00"/>
        <d v="2025-01-13T00:00:00"/>
        <d v="2025-01-14T00:00:00"/>
        <d v="2025-01-15T00:00:00"/>
        <d v="2025-01-16T00:00:00"/>
        <d v="2025-01-17T00:00:00"/>
        <d v="2025-01-18T00:00:00"/>
        <d v="2025-01-19T00:00:00"/>
        <d v="2025-01-20T00:00:00"/>
        <d v="2025-01-21T00:00:00"/>
        <d v="2025-01-22T00:00:00"/>
        <d v="2025-01-23T00:00:00"/>
        <d v="2025-01-24T00:00:00"/>
        <d v="2025-01-25T00:00:00"/>
        <d v="2025-01-26T00:00:00"/>
        <d v="2025-01-27T00:00:00"/>
        <d v="2025-01-28T00:00:00"/>
        <d v="2025-01-29T00:00:00"/>
        <d v="2025-01-30T00:00:00"/>
        <d v="2025-01-31T00:00:00"/>
        <d v="2025-02-01T00:00:00"/>
        <d v="2025-02-02T00:00:00"/>
        <d v="2025-02-03T00:00:00"/>
        <d v="2025-02-04T00:00:00"/>
        <d v="2025-02-05T00:00:00"/>
        <d v="2025-02-06T00:00:00"/>
        <d v="2025-02-07T00:00:00"/>
        <d v="2025-02-08T00:00:00"/>
        <d v="2025-02-09T00:00:00"/>
        <d v="2025-02-10T00:00:00"/>
        <d v="2025-02-11T00:00:00"/>
        <d v="2025-02-12T00:00:00"/>
        <d v="2025-02-13T00:00:00"/>
        <d v="2025-02-14T00:00:00"/>
        <d v="2025-02-15T00:00:00"/>
        <d v="2025-02-16T00:00:00"/>
        <d v="2025-02-17T00:00:00"/>
        <d v="2025-02-18T00:00:00"/>
        <d v="2025-02-19T00:00:00"/>
        <d v="2025-02-20T00:00:00"/>
        <d v="2025-02-21T00:00:00"/>
        <d v="2025-02-22T00:00:00"/>
        <d v="2025-02-23T00:00:00"/>
        <d v="2025-02-24T00:00:00"/>
        <d v="2025-02-25T00:00:00"/>
        <d v="2025-02-26T00:00:00"/>
        <d v="2025-02-27T00:00:00"/>
        <d v="2025-02-28T00:00:00"/>
        <d v="2025-03-01T00:00:00"/>
        <d v="2025-03-02T00:00:00"/>
        <d v="2025-03-03T00:00:00"/>
        <d v="2025-03-04T00:00:00"/>
        <d v="2025-03-05T00:00:00"/>
        <d v="2025-03-06T00:00:00"/>
        <d v="2025-03-07T00:00:00"/>
        <d v="2025-03-08T00:00:00"/>
        <d v="2025-03-09T00:00:00"/>
        <d v="2025-03-10T00:00:00"/>
        <d v="2025-03-11T00:00:00"/>
        <d v="2025-03-12T00:00:00"/>
        <d v="2025-03-13T00:00:00"/>
        <d v="2025-03-14T00:00:00"/>
        <d v="2025-03-15T00:00:00"/>
        <d v="2025-03-16T00:00:00"/>
        <d v="2025-03-17T00:00:00"/>
        <d v="2025-03-18T00:00:00"/>
        <d v="2025-03-19T00:00:00"/>
        <d v="2025-03-20T00:00:00"/>
        <d v="2025-03-21T00:00:00"/>
        <d v="2025-03-22T00:00:00"/>
        <d v="2025-03-23T00:00:00"/>
        <d v="2025-03-24T00:00:00"/>
        <d v="2025-03-25T00:00:00"/>
        <d v="2025-03-26T00:00:00"/>
        <d v="2025-03-27T00:00:00"/>
        <d v="2025-03-28T00:00:00"/>
        <d v="2025-03-29T00:00:00"/>
        <d v="2025-03-30T00:00:00"/>
        <d v="2025-03-31T00:00:00"/>
        <d v="2025-04-01T00:00:00"/>
        <d v="2025-04-02T00:00:00"/>
        <d v="2025-04-03T00:00:00"/>
        <d v="2025-04-04T00:00:00"/>
        <d v="2025-04-05T00:00:00"/>
        <d v="2025-04-06T00:00:00"/>
        <d v="2025-04-07T00:00:00"/>
        <d v="2025-04-08T00:00:00"/>
        <d v="2025-04-09T00:00:00"/>
        <d v="2025-04-10T00:00:00"/>
        <d v="2025-04-11T00:00:00"/>
        <d v="2025-04-12T00:00:00"/>
        <d v="2025-04-13T00:00:00"/>
        <d v="2025-04-14T00:00:00"/>
        <d v="2025-04-15T00:00:00"/>
        <d v="2025-04-16T00:00:00"/>
        <d v="2025-04-17T00:00:00"/>
        <d v="2025-04-18T00:00:00"/>
        <d v="2025-04-19T00:00:00"/>
        <d v="2025-04-20T00:00:00"/>
        <d v="2025-04-21T00:00:00"/>
        <d v="2025-04-22T00:00:00"/>
        <d v="2025-04-23T00:00:00"/>
        <d v="2025-04-24T00:00:00"/>
        <d v="2025-04-25T00:00:00"/>
        <d v="2025-04-26T00:00:00"/>
        <d v="2025-04-27T00:00:00"/>
        <d v="2025-04-28T00:00:00"/>
        <d v="2025-04-29T00:00:00"/>
        <d v="2025-04-30T00:00:00"/>
        <d v="2025-05-01T00:00:00"/>
        <d v="2025-05-02T00:00:00"/>
        <d v="2025-05-03T00:00:00"/>
        <d v="2025-05-04T00:00:00"/>
        <d v="2025-05-05T00:00:00"/>
        <d v="2025-05-06T00:00:00"/>
        <d v="2025-05-07T00:00:00"/>
      </sharedItems>
    </cacheField>
    <cacheField name="[Tab_concat].[Dates (mois)].[Dates (mois)]" caption="Dates (mois)" numFmtId="0" hierarchy="20" level="1">
      <sharedItems containsNonDate="0" count="12">
        <s v="janv"/>
        <s v="févr"/>
        <s v="mars"/>
        <s v="avr"/>
        <s v="mai"/>
        <s v="juin"/>
        <s v="juil"/>
        <s v="août"/>
        <s v="sept"/>
        <s v="oct"/>
        <s v="nov"/>
        <s v="déc"/>
      </sharedItems>
    </cacheField>
    <cacheField name="[Tab_concat].[Dates (trimestre)].[Dates (trimestre)]" caption="Dates (trimestre)" numFmtId="0" hierarchy="19" level="1">
      <sharedItems containsNonDate="0" count="4">
        <s v="Trim1"/>
        <s v="Trim2"/>
        <s v="Trim3"/>
        <s v="Trim4"/>
      </sharedItems>
    </cacheField>
    <cacheField name="[Tab_concat].[Dates (année)].[Dates (année)]" caption="Dates (année)" numFmtId="0" hierarchy="18" level="1">
      <sharedItems count="1">
        <s v="2025"/>
      </sharedItems>
    </cacheField>
    <cacheField name="[Measures].[Conso_DJU]" caption="Conso_DJU" numFmtId="0" hierarchy="39" level="32767"/>
  </cacheFields>
  <cacheHierarchies count="62">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2" memberValueDatatype="7" unbalanced="0">
      <fieldsUsage count="2">
        <fieldUsage x="-1"/>
        <fieldUsage x="1"/>
      </fieldsUsage>
    </cacheHierarchy>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2" memberValueDatatype="130" unbalanced="0">
      <fieldsUsage count="2">
        <fieldUsage x="-1"/>
        <fieldUsage x="0"/>
      </fieldsUsage>
    </cacheHierarchy>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2" memberValueDatatype="130" unbalanced="0">
      <fieldsUsage count="2">
        <fieldUsage x="-1"/>
        <fieldUsage x="4"/>
      </fieldsUsage>
    </cacheHierarchy>
    <cacheHierarchy uniqueName="[Tab_concat].[Dates (trimestre)]" caption="Dates (trimestre)" attribute="1" defaultMemberUniqueName="[Tab_concat].[Dates (trimestre)].[All]" allUniqueName="[Tab_concat].[Dates (trimestre)].[All]" dimensionUniqueName="[Tab_concat]" displayFolder="" count="2" memberValueDatatype="130" unbalanced="0">
      <fieldsUsage count="2">
        <fieldUsage x="-1"/>
        <fieldUsage x="3"/>
      </fieldsUsage>
    </cacheHierarchy>
    <cacheHierarchy uniqueName="[Tab_concat].[Dates (mois)]" caption="Dates (mois)" attribute="1" defaultMemberUniqueName="[Tab_concat].[Dates (mois)].[All]" allUniqueName="[Tab_concat].[Dates (mois)].[All]" dimensionUniqueName="[Tab_concat]" displayFolder="" count="2" memberValueDatatype="130" unbalanced="0">
      <fieldsUsage count="2">
        <fieldUsage x="-1"/>
        <fieldUsage x="2"/>
      </fieldsUsage>
    </cacheHierarchy>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oneField="1">
      <fieldsUsage count="1">
        <fieldUsage x="5"/>
      </fieldsUsage>
    </cacheHierarchy>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0"/>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1"/>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3"/>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4"/>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2"/>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0"/>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1"/>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7"/>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1"/>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7"/>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7"/>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5"/>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saveData="0" refreshedBy="Fabien ROUAULT" refreshedDate="46203.604040625003" backgroundQuery="1" createdVersion="7" refreshedVersion="7" minRefreshableVersion="3" recordCount="0" supportSubquery="1" supportAdvancedDrill="1">
  <cacheSource type="external" connectionId="11"/>
  <cacheFields count="5">
    <cacheField name="[Tab_concat].[Combustible].[Combustible]" caption="Combustible" numFmtId="0" hierarchy="10" level="1">
      <sharedItems count="3">
        <s v="Gaz naturel (kWh)"/>
        <s v="Eau (m3)"/>
        <s v="Electricité (kWh)"/>
      </sharedItems>
    </cacheField>
    <cacheField name="[Tab_concat].[Annee].[Annee]" caption="Annee" numFmtId="0" hierarchy="16" level="1">
      <sharedItems containsSemiMixedTypes="0" containsNonDate="0" containsString="0"/>
    </cacheField>
    <cacheField name="[Measures].[Somme de Cout_jour]" caption="Somme de Cout_jour" numFmtId="0" hierarchy="53" level="32767"/>
    <cacheField name="[Tableau_type].[Type].[Type]" caption="Type" numFmtId="0" hierarchy="28" level="1">
      <sharedItems count="1">
        <s v="Consommation"/>
      </sharedItems>
    </cacheField>
    <cacheField name="[Tableau_source].[Source].[Source]" caption="Source" numFmtId="0" hierarchy="27" level="1">
      <sharedItems count="3">
        <s v="Chaleur"/>
        <s v="Eau"/>
        <s v="Electricité"/>
      </sharedItems>
    </cacheField>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2" memberValueDatatype="130" unbalanced="0">
      <fieldsUsage count="2">
        <fieldUsage x="-1"/>
        <fieldUsage x="0"/>
      </fieldsUsage>
    </cacheHierarchy>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2" memberValueDatatype="20" unbalanced="0">
      <fieldsUsage count="2">
        <fieldUsage x="-1"/>
        <fieldUsage x="1"/>
      </fieldsUsage>
    </cacheHierarchy>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2" memberValueDatatype="130" unbalanced="0">
      <fieldsUsage count="2">
        <fieldUsage x="-1"/>
        <fieldUsage x="4"/>
      </fieldsUsage>
    </cacheHierarchy>
    <cacheHierarchy uniqueName="[Tableau_type].[Type]" caption="Type" attribute="1" defaultMemberUniqueName="[Tableau_type].[Type].[All]" allUniqueName="[Tableau_type].[Type].[All]" dimensionUniqueName="[Tableau_type]" displayFolder="" count="2" memberValueDatatype="130" unbalanced="0">
      <fieldsUsage count="2">
        <fieldUsage x="-1"/>
        <fieldUsage x="3"/>
      </fieldsUsage>
    </cacheHierarchy>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oneField="1" hidden="1">
      <fieldsUsage count="1">
        <fieldUsage x="2"/>
      </fieldsUsage>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saveData="0" refreshedBy="Fabien ROUAULT" refreshedDate="46203.604043749998" backgroundQuery="1" createdVersion="7" refreshedVersion="7" minRefreshableVersion="3" recordCount="0" supportSubquery="1" supportAdvancedDrill="1">
  <cacheSource type="external" connectionId="11"/>
  <cacheFields count="7">
    <cacheField name="[Tab_concat].[Combustible].[Combustible]" caption="Combustible" numFmtId="0" hierarchy="10" level="1">
      <sharedItems count="1">
        <s v="Eau (m3)"/>
      </sharedItems>
    </cacheField>
    <cacheField name="[Tab_concat].[Annee].[Annee]" caption="Annee" numFmtId="0" hierarchy="16" level="1">
      <sharedItems containsSemiMixedTypes="0" containsNonDate="0" containsString="0"/>
    </cacheField>
    <cacheField name="[Tab_concat].[Type].[Type]" caption="Type" numFmtId="0" hierarchy="8" level="1">
      <sharedItems containsSemiMixedTypes="0" containsNonDate="0" containsString="0"/>
    </cacheField>
    <cacheField name="[Tab_concat].[Source].[Source]" caption="Source" numFmtId="0" hierarchy="9" level="1">
      <sharedItems containsSemiMixedTypes="0" containsNonDate="0" containsString="0"/>
    </cacheField>
    <cacheField name="[Measures].[Somme de Demande_jour]" caption="Somme de Demande_jour" numFmtId="0" hierarchy="55" level="32767"/>
    <cacheField name="[Tableau_source].[Source].[Source]" caption="Source" numFmtId="0" hierarchy="27" level="1">
      <sharedItems count="1">
        <s v="Eau"/>
      </sharedItems>
    </cacheField>
    <cacheField name="[Tableau_type].[Type].[Type]" caption="Type" numFmtId="0" hierarchy="28" level="1">
      <sharedItems count="1">
        <s v="Consommation"/>
      </sharedItems>
    </cacheField>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2" memberValueDatatype="130" unbalanced="0">
      <fieldsUsage count="2">
        <fieldUsage x="-1"/>
        <fieldUsage x="2"/>
      </fieldsUsage>
    </cacheHierarchy>
    <cacheHierarchy uniqueName="[Tab_concat].[Source]" caption="Source" attribute="1" defaultMemberUniqueName="[Tab_concat].[Source].[All]" allUniqueName="[Tab_concat].[Source].[All]" dimensionUniqueName="[Tab_concat]" displayFolder="" count="2" memberValueDatatype="130" unbalanced="0">
      <fieldsUsage count="2">
        <fieldUsage x="-1"/>
        <fieldUsage x="3"/>
      </fieldsUsage>
    </cacheHierarchy>
    <cacheHierarchy uniqueName="[Tab_concat].[Combustible]" caption="Combustible" attribute="1" defaultMemberUniqueName="[Tab_concat].[Combustible].[All]" allUniqueName="[Tab_concat].[Combustible].[All]" dimensionUniqueName="[Tab_concat]" displayFolder="" count="2" memberValueDatatype="130" unbalanced="0">
      <fieldsUsage count="2">
        <fieldUsage x="-1"/>
        <fieldUsage x="0"/>
      </fieldsUsage>
    </cacheHierarchy>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2" memberValueDatatype="20" unbalanced="0">
      <fieldsUsage count="2">
        <fieldUsage x="-1"/>
        <fieldUsage x="1"/>
      </fieldsUsage>
    </cacheHierarchy>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2" memberValueDatatype="130" unbalanced="0">
      <fieldsUsage count="2">
        <fieldUsage x="-1"/>
        <fieldUsage x="5"/>
      </fieldsUsage>
    </cacheHierarchy>
    <cacheHierarchy uniqueName="[Tableau_type].[Type]" caption="Type" attribute="1" defaultMemberUniqueName="[Tableau_type].[Type].[All]" allUniqueName="[Tableau_type].[Type].[All]" dimensionUniqueName="[Tableau_type]" displayFolder="" count="2" memberValueDatatype="130" unbalanced="0">
      <fieldsUsage count="2">
        <fieldUsage x="-1"/>
        <fieldUsage x="6"/>
      </fieldsUsage>
    </cacheHierarchy>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oneField="1" hidden="1">
      <fieldsUsage count="1">
        <fieldUsage x="4"/>
      </fieldsUsage>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saveData="0" refreshedBy="Fabien ROUAULT" refreshedDate="46203.604046412038" backgroundQuery="1" createdVersion="7" refreshedVersion="7" minRefreshableVersion="3" recordCount="0" supportSubquery="1" supportAdvancedDrill="1">
  <cacheSource type="external" connectionId="11"/>
  <cacheFields count="10">
    <cacheField name="[Tab_concat].[Annee].[Annee]" caption="Annee" numFmtId="0" hierarchy="16" level="1">
      <sharedItems containsSemiMixedTypes="0" containsNonDate="0" containsString="0"/>
    </cacheField>
    <cacheField name="[Tab_concat].[Type].[Type]" caption="Type" numFmtId="0" hierarchy="8" level="1">
      <sharedItems containsSemiMixedTypes="0" containsNonDate="0" containsString="0"/>
    </cacheField>
    <cacheField name="[Tab_concat].[Source].[Source]" caption="Source" numFmtId="0" hierarchy="9" level="1">
      <sharedItems containsSemiMixedTypes="0" containsNonDate="0" containsString="0"/>
    </cacheField>
    <cacheField name="[Tab_concat].[Mois].[Mois]" caption="Mois" numFmtId="0" hierarchy="17" level="1">
      <sharedItems containsSemiMixedTypes="0" containsNonDate="0" containsString="0"/>
    </cacheField>
    <cacheField name="[Tab_concat].[Detail usage].[Detail usage]" caption="Detail usage" numFmtId="0" hierarchy="14" level="1">
      <sharedItems count="1">
        <s v="ECS et Chauffage"/>
      </sharedItems>
    </cacheField>
    <cacheField name="[Measures].[Moyenne de Conso_kWh_PCI]" caption="Moyenne de Conso_kWh_PCI" numFmtId="0" hierarchy="56" level="32767"/>
    <cacheField name="[Tab_concat].[Nom].[Nom]" caption="Nom" numFmtId="0" hierarchy="13" level="1">
      <sharedItems containsSemiMixedTypes="0" containsNonDate="0" containsString="0"/>
    </cacheField>
    <cacheField name="[Tableau_type].[Type].[Type]" caption="Type" numFmtId="0" hierarchy="28" level="1">
      <sharedItems count="1">
        <s v="Consommation"/>
      </sharedItems>
    </cacheField>
    <cacheField name="[Tableau_source].[Source].[Source]" caption="Source" numFmtId="0" hierarchy="27" level="1">
      <sharedItems count="1">
        <s v="Chaleur"/>
      </sharedItems>
    </cacheField>
    <cacheField name="[Tableau_mois].[Mois].[Mois]" caption="Mois" numFmtId="0" hierarchy="26" level="1">
      <sharedItems containsSemiMixedTypes="0" containsString="0" containsNumber="1" containsInteger="1" minValue="7" maxValue="8" count="2">
        <n v="7"/>
        <n v="8"/>
      </sharedItems>
      <extLst>
        <ext xmlns:x15="http://schemas.microsoft.com/office/spreadsheetml/2010/11/main" uri="{4F2E5C28-24EA-4eb8-9CBF-B6C8F9C3D259}">
          <x15:cachedUniqueNames>
            <x15:cachedUniqueName index="0" name="[Tableau_mois].[Mois].&amp;[7]"/>
            <x15:cachedUniqueName index="1" name="[Tableau_mois].[Mois].&amp;[8]"/>
          </x15:cachedUniqueNames>
        </ext>
      </extLst>
    </cacheField>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2" memberValueDatatype="130" unbalanced="0">
      <fieldsUsage count="2">
        <fieldUsage x="-1"/>
        <fieldUsage x="1"/>
      </fieldsUsage>
    </cacheHierarchy>
    <cacheHierarchy uniqueName="[Tab_concat].[Source]" caption="Source" attribute="1" defaultMemberUniqueName="[Tab_concat].[Source].[All]" allUniqueName="[Tab_concat].[Source].[All]" dimensionUniqueName="[Tab_concat]" displayFolder="" count="2" memberValueDatatype="130" unbalanced="0">
      <fieldsUsage count="2">
        <fieldUsage x="-1"/>
        <fieldUsage x="2"/>
      </fieldsUsage>
    </cacheHierarchy>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2" memberValueDatatype="130" unbalanced="0">
      <fieldsUsage count="2">
        <fieldUsage x="-1"/>
        <fieldUsage x="6"/>
      </fieldsUsage>
    </cacheHierarchy>
    <cacheHierarchy uniqueName="[Tab_concat].[Detail usage]" caption="Detail usage" attribute="1" defaultMemberUniqueName="[Tab_concat].[Detail usage].[All]" allUniqueName="[Tab_concat].[Detail usage].[All]" dimensionUniqueName="[Tab_concat]" displayFolder="" count="2" memberValueDatatype="130" unbalanced="0">
      <fieldsUsage count="2">
        <fieldUsage x="-1"/>
        <fieldUsage x="4"/>
      </fieldsUsage>
    </cacheHierarchy>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2" memberValueDatatype="20" unbalanced="0">
      <fieldsUsage count="2">
        <fieldUsage x="-1"/>
        <fieldUsage x="0"/>
      </fieldsUsage>
    </cacheHierarchy>
    <cacheHierarchy uniqueName="[Tab_concat].[Mois]" caption="Mois" attribute="1" defaultMemberUniqueName="[Tab_concat].[Mois].[All]" allUniqueName="[Tab_concat].[Mois].[All]" dimensionUniqueName="[Tab_concat]" displayFolder="" count="2" memberValueDatatype="20" unbalanced="0">
      <fieldsUsage count="2">
        <fieldUsage x="-1"/>
        <fieldUsage x="3"/>
      </fieldsUsage>
    </cacheHierarchy>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2" memberValueDatatype="20" unbalanced="0">
      <fieldsUsage count="2">
        <fieldUsage x="-1"/>
        <fieldUsage x="9"/>
      </fieldsUsage>
    </cacheHierarchy>
    <cacheHierarchy uniqueName="[Tableau_source].[Source]" caption="Source" attribute="1" defaultMemberUniqueName="[Tableau_source].[Source].[All]" allUniqueName="[Tableau_source].[Source].[All]" dimensionUniqueName="[Tableau_source]" displayFolder="" count="2" memberValueDatatype="130" unbalanced="0">
      <fieldsUsage count="2">
        <fieldUsage x="-1"/>
        <fieldUsage x="8"/>
      </fieldsUsage>
    </cacheHierarchy>
    <cacheHierarchy uniqueName="[Tableau_type].[Type]" caption="Type" attribute="1" defaultMemberUniqueName="[Tableau_type].[Type].[All]" allUniqueName="[Tableau_type].[Type].[All]" dimensionUniqueName="[Tableau_type]" displayFolder="" count="2" memberValueDatatype="130" unbalanced="0">
      <fieldsUsage count="2">
        <fieldUsage x="-1"/>
        <fieldUsage x="7"/>
      </fieldsUsage>
    </cacheHierarchy>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oneField="1" hidden="1">
      <fieldsUsage count="1">
        <fieldUsage x="5"/>
      </fieldsUsage>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saveData="0" refreshedBy="Fabien ROUAULT" refreshedDate="46203.604048379631" backgroundQuery="1" createdVersion="7" refreshedVersion="7" minRefreshableVersion="3" recordCount="0" supportSubquery="1" supportAdvancedDrill="1">
  <cacheSource type="external" connectionId="11"/>
  <cacheFields count="7">
    <cacheField name="[Tab_concat].[Combustible].[Combustible]" caption="Combustible" numFmtId="0" hierarchy="10" level="1">
      <sharedItems count="2">
        <s v="Gaz naturel (kWh)"/>
        <s v="Electricité (kWh)"/>
      </sharedItems>
    </cacheField>
    <cacheField name="[Measures].[Somme de Conso_kWh_PCI]" caption="Somme de Conso_kWh_PCI" numFmtId="0" hierarchy="51" level="32767"/>
    <cacheField name="[Tab_concat].[Annee].[Annee]" caption="Annee" numFmtId="0" hierarchy="16" level="1">
      <sharedItems containsSemiMixedTypes="0" containsNonDate="0" containsString="0"/>
    </cacheField>
    <cacheField name="[Tableau_type].[Type].[Type]" caption="Type" numFmtId="0" hierarchy="28" level="1">
      <sharedItems count="1">
        <s v="Consommation"/>
      </sharedItems>
    </cacheField>
    <cacheField name="[Tableau_source].[Source].[Source]" caption="Source" numFmtId="0" hierarchy="27" level="1">
      <sharedItems count="2">
        <s v="Chaleur"/>
        <s v="Electricité"/>
      </sharedItems>
    </cacheField>
    <cacheField name="[Tab_concat].[Source].[Source]" caption="Source" numFmtId="0" hierarchy="9" level="1">
      <sharedItems containsSemiMixedTypes="0" containsNonDate="0" containsString="0"/>
    </cacheField>
    <cacheField name="[Tableau_combustible].[Combustible].[Combustible]" caption="Combustible" numFmtId="0" hierarchy="25" level="1">
      <sharedItems containsSemiMixedTypes="0" containsNonDate="0" containsString="0"/>
    </cacheField>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2" memberValueDatatype="130" unbalanced="0">
      <fieldsUsage count="2">
        <fieldUsage x="-1"/>
        <fieldUsage x="5"/>
      </fieldsUsage>
    </cacheHierarchy>
    <cacheHierarchy uniqueName="[Tab_concat].[Combustible]" caption="Combustible" attribute="1" defaultMemberUniqueName="[Tab_concat].[Combustible].[All]" allUniqueName="[Tab_concat].[Combustible].[All]" dimensionUniqueName="[Tab_concat]" displayFolder="" count="2" memberValueDatatype="130" unbalanced="0">
      <fieldsUsage count="2">
        <fieldUsage x="-1"/>
        <fieldUsage x="0"/>
      </fieldsUsage>
    </cacheHierarchy>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2" memberValueDatatype="20" unbalanced="0">
      <fieldsUsage count="2">
        <fieldUsage x="-1"/>
        <fieldUsage x="2"/>
      </fieldsUsage>
    </cacheHierarchy>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2" memberValueDatatype="130" unbalanced="0">
      <fieldsUsage count="2">
        <fieldUsage x="-1"/>
        <fieldUsage x="6"/>
      </fieldsUsage>
    </cacheHierarchy>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2" memberValueDatatype="130" unbalanced="0">
      <fieldsUsage count="2">
        <fieldUsage x="-1"/>
        <fieldUsage x="4"/>
      </fieldsUsage>
    </cacheHierarchy>
    <cacheHierarchy uniqueName="[Tableau_type].[Type]" caption="Type" attribute="1" defaultMemberUniqueName="[Tableau_type].[Type].[All]" allUniqueName="[Tableau_type].[Type].[All]" dimensionUniqueName="[Tableau_type]" displayFolder="" count="2" memberValueDatatype="130" unbalanced="0">
      <fieldsUsage count="2">
        <fieldUsage x="-1"/>
        <fieldUsage x="3"/>
      </fieldsUsage>
    </cacheHierarchy>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oneField="1" hidden="1">
      <fieldsUsage count="1">
        <fieldUsage x="1"/>
      </fieldsUsage>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saveData="0" refreshedBy="Fabien ROUAULT" refreshedDate="46203.604053009258" backgroundQuery="1" createdVersion="7" refreshedVersion="7" minRefreshableVersion="3" recordCount="0" supportSubquery="1" supportAdvancedDrill="1">
  <cacheSource type="external" connectionId="11"/>
  <cacheFields count="4">
    <cacheField name="[Tab_concat].[Dates (année)].[Dates (année)]" caption="Dates (année)" numFmtId="0" hierarchy="19" level="1">
      <sharedItems count="17">
        <s v="2010"/>
        <s v="2011"/>
        <s v="2012"/>
        <s v="2013"/>
        <s v="2014"/>
        <s v="2015"/>
        <s v="2016"/>
        <s v="2017"/>
        <s v="2018"/>
        <s v="2019"/>
        <s v="2020"/>
        <s v="2021"/>
        <s v="2022"/>
        <s v="2023"/>
        <s v="2024"/>
        <s v="2025"/>
        <s v="2026"/>
      </sharedItems>
    </cacheField>
    <cacheField name="[Tab_concat].[Dates (mois)].[Dates (mois)]" caption="Dates (mois)" numFmtId="0" hierarchy="21" level="1">
      <sharedItems count="12">
        <s v="janv"/>
        <s v="févr"/>
        <s v="mars"/>
        <s v="avr"/>
        <s v="mai"/>
        <s v="juin"/>
        <s v="juil"/>
        <s v="août"/>
        <s v="sept"/>
        <s v="oct"/>
        <s v="nov"/>
        <s v="déc"/>
      </sharedItems>
    </cacheField>
    <cacheField name="[Tab_concat].[Nom].[Nom]" caption="Nom" numFmtId="0" hierarchy="13" level="1">
      <sharedItems containsSemiMixedTypes="0" containsNonDate="0" containsString="0"/>
    </cacheField>
    <cacheField name="[Measures].[Somme de Demande_jour]" caption="Somme de Demande_jour" numFmtId="0" hierarchy="55" level="32767"/>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2" memberValueDatatype="130" unbalanced="0">
      <fieldsUsage count="2">
        <fieldUsage x="-1"/>
        <fieldUsage x="2"/>
      </fieldsUsage>
    </cacheHierarchy>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2" memberValueDatatype="130" unbalanced="0">
      <fieldsUsage count="2">
        <fieldUsage x="-1"/>
        <fieldUsage x="0"/>
      </fieldsUsage>
    </cacheHierarchy>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2" memberValueDatatype="130" unbalanced="0">
      <fieldsUsage count="2">
        <fieldUsage x="-1"/>
        <fieldUsage x="1"/>
      </fieldsUsage>
    </cacheHierarchy>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oneField="1" hidden="1">
      <fieldsUsage count="1">
        <fieldUsage x="3"/>
      </fieldsUsage>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r:id="rId1" refreshedBy="Fabien ROUAULT" refreshedDate="46203.604063657411" createdVersion="6" refreshedVersion="7" minRefreshableVersion="3" recordCount="644">
  <cacheSource type="worksheet">
    <worksheetSource name="Tableau9"/>
  </cacheSource>
  <cacheFields count="6">
    <cacheField name="Station Météo" numFmtId="0">
      <sharedItems containsBlank="1"/>
    </cacheField>
    <cacheField name="annee" numFmtId="0">
      <sharedItems containsString="0" containsBlank="1" containsNumber="1" containsInteger="1" minValue="2001" maxValue="2026" count="27">
        <n v="2001"/>
        <n v="2002"/>
        <n v="2003"/>
        <n v="2004"/>
        <n v="2005"/>
        <n v="2006"/>
        <n v="2007"/>
        <n v="2008"/>
        <n v="2009"/>
        <n v="2010"/>
        <n v="2011"/>
        <n v="2012"/>
        <n v="2013"/>
        <n v="2014"/>
        <n v="2015"/>
        <n v="2016"/>
        <n v="2017"/>
        <n v="2018"/>
        <n v="2019"/>
        <n v="2020"/>
        <n v="2021"/>
        <n v="2022"/>
        <n v="2023"/>
        <n v="2024"/>
        <n v="2025"/>
        <n v="2026"/>
        <m/>
      </sharedItems>
    </cacheField>
    <cacheField name="mois" numFmtId="0">
      <sharedItems containsBlank="1" count="17">
        <s v="janv"/>
        <s v="fev"/>
        <s v="mars"/>
        <s v="avr"/>
        <s v="mai"/>
        <s v="juin"/>
        <s v="juil"/>
        <s v="aout"/>
        <s v="sept"/>
        <s v="oct"/>
        <s v="nov"/>
        <s v="dec"/>
        <m/>
        <s v="octobre" u="1"/>
        <s v="décembre" u="1"/>
        <s v="novembre" u="1"/>
        <s v="septembre" u="1"/>
      </sharedItems>
    </cacheField>
    <cacheField name="mois_numero" numFmtId="0">
      <sharedItems containsString="0" containsBlank="1" containsNumber="1" containsInteger="1" minValue="1" maxValue="12" count="13">
        <n v="1"/>
        <n v="2"/>
        <n v="3"/>
        <n v="4"/>
        <n v="5"/>
        <n v="6"/>
        <n v="7"/>
        <n v="8"/>
        <n v="9"/>
        <n v="10"/>
        <n v="11"/>
        <n v="12"/>
        <m/>
      </sharedItems>
    </cacheField>
    <cacheField name="DJU(chauffagiste)" numFmtId="0">
      <sharedItems containsString="0" containsBlank="1" containsNumber="1" containsInteger="1" minValue="20" maxValue="457"/>
    </cacheField>
    <cacheField name="DJU(climaticien)" numFmtId="0">
      <sharedItems containsString="0" containsBlank="1" containsNumber="1" containsInteger="1" minValue="0" maxValue="100"/>
    </cacheField>
  </cacheFields>
  <extLst>
    <ext xmlns:x14="http://schemas.microsoft.com/office/spreadsheetml/2009/9/main" uri="{725AE2AE-9491-48be-B2B4-4EB974FC3084}">
      <x14:pivotCacheDefinition pivotCacheId="1"/>
    </ext>
  </extLst>
</pivotCacheDefinition>
</file>

<file path=xl/pivotCache/pivotCacheDefinition16.xml><?xml version="1.0" encoding="utf-8"?>
<pivotCacheDefinition xmlns="http://schemas.openxmlformats.org/spreadsheetml/2006/main" xmlns:r="http://schemas.openxmlformats.org/officeDocument/2006/relationships" r:id="rId1" refreshedBy="Fabien ROUAULT" refreshedDate="46203.60406435185" createdVersion="7" refreshedVersion="7" minRefreshableVersion="3" recordCount="100">
  <cacheSource type="worksheet">
    <worksheetSource name="Tableau13"/>
  </cacheSource>
  <cacheFields count="4">
    <cacheField name="Numéro" numFmtId="0">
      <sharedItems containsString="0" containsBlank="1" containsNumber="1" containsInteger="1" minValue="1" maxValue="974"/>
    </cacheField>
    <cacheField name="Département" numFmtId="0">
      <sharedItems count="100">
        <s v="Ain"/>
        <s v="Aisne"/>
        <s v="Allier"/>
        <s v="Alpes-de-Haute-Provence"/>
        <s v="Hautes-Alpes"/>
        <s v="Alpes-Maritimes"/>
        <s v="Ardèche"/>
        <s v="Ardennes"/>
        <s v="Ariège"/>
        <s v="Aube"/>
        <s v="Aude"/>
        <s v="Aveyron"/>
        <s v="Bouches-du-Rhône"/>
        <s v="Calvados"/>
        <s v="Cantal"/>
        <s v="Charente"/>
        <s v="Charente-Maritime"/>
        <s v="Cher"/>
        <s v="Corrèze"/>
        <s v="Corse-du-Sud / Haute-Corse"/>
        <s v="Côte-d’Or"/>
        <s v="Côtes-d’Armor"/>
        <s v="Creuse"/>
        <s v="Dordogne"/>
        <s v="Doubs"/>
        <s v="Drôme"/>
        <s v="Eure"/>
        <s v="Eure-et-Loir"/>
        <s v="Finistère"/>
        <s v="Gard"/>
        <s v="Haute-Garonne"/>
        <s v="Gers"/>
        <s v="Gironde"/>
        <s v="Hérault"/>
        <s v="Ille-et-Vilaine"/>
        <s v="Indre"/>
        <s v="Indre-et-Loire"/>
        <s v="Isère"/>
        <s v="Jura"/>
        <s v="Landes"/>
        <s v="Loir-et-Cher"/>
        <s v="Loire"/>
        <s v="Haute-Loire"/>
        <s v="Loire-Atlantique"/>
        <s v="Loiret"/>
        <s v="Lot"/>
        <s v="Lot-et-Garonne"/>
        <s v="Lozère"/>
        <s v="Maine-et-Loire"/>
        <s v="Manche"/>
        <s v="Marne"/>
        <s v="Haute-Marne"/>
        <s v="Mayenne"/>
        <s v="Meurthe-et-Moselle"/>
        <s v="Meuse"/>
        <s v="Morbihan"/>
        <s v="Moselle"/>
        <s v="Nièvre"/>
        <s v="Nord"/>
        <s v="Oise"/>
        <s v="Orne"/>
        <s v="Pas-de-Calais"/>
        <s v="Puy-de-Dôme"/>
        <s v="Pyrénées-Atlantiques"/>
        <s v="Hautes-Pyrénées"/>
        <s v="Pyrénées-Orientales"/>
        <s v="Bas-Rhin"/>
        <s v="Haut-Rhin"/>
        <s v="Rhône"/>
        <s v="Haute-Saône"/>
        <s v="Saône-et-Loire"/>
        <s v="Sarthe"/>
        <s v="Savoie"/>
        <s v="Haute-Savoie"/>
        <s v="Paris"/>
        <s v="Seine-Maritime"/>
        <s v="Seine-et-Marne"/>
        <s v="Yvelines"/>
        <s v="Deux-Sèvres"/>
        <s v="Somme"/>
        <s v="Tarn"/>
        <s v="Tarn-et-Garonne"/>
        <s v="Var"/>
        <s v="Vaucluse"/>
        <s v="Vendée"/>
        <s v="Vienne"/>
        <s v="Haute-Vienne"/>
        <s v="Vosges"/>
        <s v="Yonne"/>
        <s v="Territoire de Belfort"/>
        <s v="Essonne"/>
        <s v="Hauts-de-Seine"/>
        <s v="Seine-Saint-Denis"/>
        <s v="Val-de-Marne"/>
        <s v="Val-d’Oise"/>
        <s v="Guadeloupe"/>
        <s v="Guyane"/>
        <s v="La Réunion"/>
        <s v="Martinique"/>
        <s v="Mayotte"/>
      </sharedItems>
    </cacheField>
    <cacheField name="Zone climatique" numFmtId="0">
      <sharedItems count="13">
        <s v="H1c"/>
        <s v="H1a"/>
        <s v="H2d"/>
        <s v="H3"/>
        <s v="H1b"/>
        <s v="H2c"/>
        <s v="H2b"/>
        <s v="H2a"/>
        <s v="Guadeloupe"/>
        <s v="Guyane"/>
        <s v="Réunion"/>
        <s v="Martinique"/>
        <s v="Mayotte"/>
      </sharedItems>
    </cacheField>
    <cacheField name="Region" numFmtId="0">
      <sharedItems count="14">
        <s v="Auvergne-Rhône-Alpes"/>
        <s v="Hauts-de-France"/>
        <s v="Provence-Alpes-Côte d'Azur"/>
        <s v="Grand Est"/>
        <s v="Occitanie"/>
        <s v="Normandie"/>
        <s v="Nouvelle-Aquitaine"/>
        <s v="Centre-Val de Loire"/>
        <s v="Corse"/>
        <s v="Bourgogne-Franche-Comté"/>
        <s v="Bretagne"/>
        <s v="Pays de la Loire"/>
        <s v="Île-de-France"/>
        <s v="Outre-mer"/>
      </sharedItems>
    </cacheField>
  </cacheFields>
  <extLst>
    <ext xmlns:x14="http://schemas.microsoft.com/office/spreadsheetml/2009/9/main" uri="{725AE2AE-9491-48be-B2B4-4EB974FC3084}">
      <x14:pivotCacheDefinition pivotCacheId="902497723"/>
    </ext>
  </extLst>
</pivotCacheDefinition>
</file>

<file path=xl/pivotCache/pivotCacheDefinition17.xml><?xml version="1.0" encoding="utf-8"?>
<pivotCacheDefinition xmlns="http://schemas.openxmlformats.org/spreadsheetml/2006/main" xmlns:r="http://schemas.openxmlformats.org/officeDocument/2006/relationships" saveData="0" refreshedBy="Fabien ROUAULT" refreshedDate="46203.608141550925" backgroundQuery="1" createdVersion="7" refreshedVersion="7" minRefreshableVersion="3" recordCount="0" supportSubquery="1" supportAdvancedDrill="1">
  <cacheSource type="external" connectionId="11"/>
  <cacheFields count="6">
    <cacheField name="[Tableau16].[Nom].[Nom]" caption="Nom" numFmtId="0" hierarchy="37" level="1">
      <sharedItems containsSemiMixedTypes="0" containsNonDate="0" containsString="0"/>
    </cacheField>
    <cacheField name="[Tab_concat].[Dates].[Dates]" caption="Dates" numFmtId="0" hierarchy="1" level="1">
      <sharedItems containsSemiMixedTypes="0" containsNonDate="0" containsDate="1" containsString="0" minDate="2022-01-01T00:00:00" maxDate="2025-01-01T00:00:00" count="1096">
        <d v="2022-01-01T00:00:00"/>
        <d v="2022-01-02T00:00:00"/>
        <d v="2022-01-03T00:00:00"/>
        <d v="2022-01-04T00:00:00"/>
        <d v="2022-01-05T00:00:00"/>
        <d v="2022-01-06T00:00:00"/>
        <d v="2022-01-07T00:00:00"/>
        <d v="2022-01-08T00:00:00"/>
        <d v="2022-01-09T00:00:00"/>
        <d v="2022-01-10T00:00:00"/>
        <d v="2022-01-11T00:00:00"/>
        <d v="2022-01-12T00:00:00"/>
        <d v="2022-01-13T00:00:00"/>
        <d v="2022-01-14T00:00:00"/>
        <d v="2022-01-15T00:00:00"/>
        <d v="2022-01-16T00:00:00"/>
        <d v="2022-01-17T00:00:00"/>
        <d v="2022-01-18T00:00:00"/>
        <d v="2022-01-19T00:00:00"/>
        <d v="2022-01-20T00:00:00"/>
        <d v="2022-01-21T00:00:00"/>
        <d v="2022-01-22T00:00:00"/>
        <d v="2022-01-23T00:00:00"/>
        <d v="2022-01-24T00:00:00"/>
        <d v="2022-01-25T00:00:00"/>
        <d v="2022-01-26T00:00:00"/>
        <d v="2022-01-27T00:00:00"/>
        <d v="2022-01-28T00:00:00"/>
        <d v="2022-01-29T00:00:00"/>
        <d v="2022-01-30T00:00:00"/>
        <d v="2022-01-31T00:00:00"/>
        <d v="2022-02-01T00:00:00"/>
        <d v="2022-02-02T00:00:00"/>
        <d v="2022-02-03T00:00:00"/>
        <d v="2022-02-04T00:00:00"/>
        <d v="2022-02-05T00:00:00"/>
        <d v="2022-02-06T00:00:00"/>
        <d v="2022-02-07T00:00:00"/>
        <d v="2022-02-08T00:00:00"/>
        <d v="2022-02-09T00:00:00"/>
        <d v="2022-02-10T00:00:00"/>
        <d v="2022-02-11T00:00:00"/>
        <d v="2022-02-12T00:00:00"/>
        <d v="2022-02-13T00:00:00"/>
        <d v="2022-02-14T00:00:00"/>
        <d v="2022-02-15T00:00:00"/>
        <d v="2022-02-16T00:00:00"/>
        <d v="2022-02-17T00:00:00"/>
        <d v="2022-02-18T00:00:00"/>
        <d v="2022-02-19T00:00:00"/>
        <d v="2022-02-20T00:00:00"/>
        <d v="2022-02-21T00:00:00"/>
        <d v="2022-02-22T00:00:00"/>
        <d v="2022-02-23T00:00:00"/>
        <d v="2022-02-24T00:00:00"/>
        <d v="2022-02-25T00:00:00"/>
        <d v="2022-02-26T00:00:00"/>
        <d v="2022-02-27T00:00:00"/>
        <d v="2022-02-28T00:00:00"/>
        <d v="2022-03-01T00:00:00"/>
        <d v="2022-03-02T00:00:00"/>
        <d v="2022-03-03T00:00:00"/>
        <d v="2022-03-04T00:00:00"/>
        <d v="2022-03-05T00:00:00"/>
        <d v="2022-03-06T00:00:00"/>
        <d v="2022-03-07T00:00:00"/>
        <d v="2022-03-08T00:00:00"/>
        <d v="2022-03-09T00:00:00"/>
        <d v="2022-03-10T00:00:00"/>
        <d v="2022-03-11T00:00:00"/>
        <d v="2022-03-12T00:00:00"/>
        <d v="2022-03-13T00:00:00"/>
        <d v="2022-03-14T00:00:00"/>
        <d v="2022-03-15T00:00:00"/>
        <d v="2022-03-16T00:00:00"/>
        <d v="2022-03-17T00:00:00"/>
        <d v="2022-03-18T00:00:00"/>
        <d v="2022-03-19T00:00:00"/>
        <d v="2022-03-20T00:00:00"/>
        <d v="2022-03-21T00:00:00"/>
        <d v="2022-03-22T00:00:00"/>
        <d v="2022-03-23T00:00:00"/>
        <d v="2022-03-24T00:00:00"/>
        <d v="2022-03-25T00:00:00"/>
        <d v="2022-03-26T00:00:00"/>
        <d v="2022-03-27T00:00:00"/>
        <d v="2022-03-28T00:00:00"/>
        <d v="2022-03-29T00:00:00"/>
        <d v="2022-03-30T00:00:00"/>
        <d v="2022-03-31T00:00:00"/>
        <d v="2022-04-01T00:00:00"/>
        <d v="2022-04-02T00:00:00"/>
        <d v="2022-04-03T00:00:00"/>
        <d v="2022-04-04T00:00:00"/>
        <d v="2022-04-05T00:00:00"/>
        <d v="2022-04-06T00:00:00"/>
        <d v="2022-04-07T00:00:00"/>
        <d v="2022-04-08T00:00:00"/>
        <d v="2022-04-09T00:00:00"/>
        <d v="2022-04-10T00:00:00"/>
        <d v="2022-04-11T00:00:00"/>
        <d v="2022-04-12T00:00:00"/>
        <d v="2022-04-13T00:00:00"/>
        <d v="2022-04-14T00:00:00"/>
        <d v="2022-04-15T00:00:00"/>
        <d v="2022-04-16T00:00:00"/>
        <d v="2022-04-17T00:00:00"/>
        <d v="2022-04-18T00:00:00"/>
        <d v="2022-04-19T00:00:00"/>
        <d v="2022-04-20T00:00:00"/>
        <d v="2022-04-21T00:00:00"/>
        <d v="2022-04-22T00:00:00"/>
        <d v="2022-04-23T00:00:00"/>
        <d v="2022-04-24T00:00:00"/>
        <d v="2022-04-25T00:00:00"/>
        <d v="2022-04-26T00:00:00"/>
        <d v="2022-04-27T00:00:00"/>
        <d v="2022-04-28T00:00:00"/>
        <d v="2022-04-29T00:00:00"/>
        <d v="2022-04-30T00:00:00"/>
        <d v="2022-05-01T00:00:00"/>
        <d v="2022-05-02T00:00:00"/>
        <d v="2022-05-03T00:00:00"/>
        <d v="2022-05-04T00:00:00"/>
        <d v="2022-05-05T00:00:00"/>
        <d v="2022-05-06T00:00:00"/>
        <d v="2022-05-07T00:00:00"/>
        <d v="2022-05-08T00:00:00"/>
        <d v="2022-05-09T00:00:00"/>
        <d v="2022-05-10T00:00:00"/>
        <d v="2022-05-11T00:00:00"/>
        <d v="2022-05-12T00:00:00"/>
        <d v="2022-05-13T00:00:00"/>
        <d v="2022-05-14T00:00:00"/>
        <d v="2022-05-15T00:00:00"/>
        <d v="2022-05-16T00:00:00"/>
        <d v="2022-05-17T00:00:00"/>
        <d v="2022-05-18T00:00:00"/>
        <d v="2022-05-19T00:00:00"/>
        <d v="2022-05-20T00:00:00"/>
        <d v="2022-05-21T00:00:00"/>
        <d v="2022-05-22T00:00:00"/>
        <d v="2022-05-23T00:00:00"/>
        <d v="2022-05-24T00:00:00"/>
        <d v="2022-05-25T00:00:00"/>
        <d v="2022-05-26T00:00:00"/>
        <d v="2022-05-27T00:00:00"/>
        <d v="2022-05-28T00:00:00"/>
        <d v="2022-05-29T00:00:00"/>
        <d v="2022-05-30T00:00:00"/>
        <d v="2022-05-31T00:00:00"/>
        <d v="2022-06-01T00:00:00"/>
        <d v="2022-06-02T00:00:00"/>
        <d v="2022-06-03T00:00:00"/>
        <d v="2022-06-04T00:00:00"/>
        <d v="2022-06-05T00:00:00"/>
        <d v="2022-06-06T00:00:00"/>
        <d v="2022-06-07T00:00:00"/>
        <d v="2022-06-08T00:00:00"/>
        <d v="2022-06-09T00:00:00"/>
        <d v="2022-06-10T00:00:00"/>
        <d v="2022-06-11T00:00:00"/>
        <d v="2022-06-12T00:00:00"/>
        <d v="2022-06-13T00:00:00"/>
        <d v="2022-06-14T00:00:00"/>
        <d v="2022-06-15T00:00:00"/>
        <d v="2022-06-16T00:00:00"/>
        <d v="2022-06-17T00:00:00"/>
        <d v="2022-06-18T00:00:00"/>
        <d v="2022-06-19T00:00:00"/>
        <d v="2022-06-20T00:00:00"/>
        <d v="2022-06-21T00:00:00"/>
        <d v="2022-06-22T00:00:00"/>
        <d v="2022-06-23T00:00:00"/>
        <d v="2022-06-24T00:00:00"/>
        <d v="2022-06-25T00:00:00"/>
        <d v="2022-06-26T00:00:00"/>
        <d v="2022-06-27T00:00:00"/>
        <d v="2022-06-28T00:00:00"/>
        <d v="2022-06-29T00:00:00"/>
        <d v="2022-06-30T00:00:00"/>
        <d v="2022-07-01T00:00:00"/>
        <d v="2022-07-02T00:00:00"/>
        <d v="2022-07-03T00:00:00"/>
        <d v="2022-07-04T00:00:00"/>
        <d v="2022-07-05T00:00:00"/>
        <d v="2022-07-06T00:00:00"/>
        <d v="2022-07-07T00:00:00"/>
        <d v="2022-07-08T00:00:00"/>
        <d v="2022-07-09T00:00:00"/>
        <d v="2022-07-10T00:00:00"/>
        <d v="2022-07-11T00:00:00"/>
        <d v="2022-07-12T00:00:00"/>
        <d v="2022-07-13T00:00:00"/>
        <d v="2022-07-14T00:00:00"/>
        <d v="2022-07-15T00:00:00"/>
        <d v="2022-07-16T00:00:00"/>
        <d v="2022-07-17T00:00:00"/>
        <d v="2022-07-18T00:00:00"/>
        <d v="2022-07-19T00:00:00"/>
        <d v="2022-07-20T00:00:00"/>
        <d v="2022-07-21T00:00:00"/>
        <d v="2022-07-22T00:00:00"/>
        <d v="2022-07-23T00:00:00"/>
        <d v="2022-07-24T00:00:00"/>
        <d v="2022-07-25T00:00:00"/>
        <d v="2022-07-26T00:00:00"/>
        <d v="2022-07-27T00:00:00"/>
        <d v="2022-07-28T00:00:00"/>
        <d v="2022-07-29T00:00:00"/>
        <d v="2022-07-30T00:00:00"/>
        <d v="2022-07-31T00:00:00"/>
        <d v="2022-08-01T00:00:00"/>
        <d v="2022-08-02T00:00:00"/>
        <d v="2022-08-03T00:00:00"/>
        <d v="2022-08-04T00:00:00"/>
        <d v="2022-08-05T00:00:00"/>
        <d v="2022-08-06T00:00:00"/>
        <d v="2022-08-07T00:00:00"/>
        <d v="2022-08-08T00:00:00"/>
        <d v="2022-08-09T00:00:00"/>
        <d v="2022-08-10T00:00:00"/>
        <d v="2022-08-11T00:00:00"/>
        <d v="2022-08-12T00:00:00"/>
        <d v="2022-08-13T00:00:00"/>
        <d v="2022-08-14T00:00:00"/>
        <d v="2022-08-15T00:00:00"/>
        <d v="2022-08-16T00:00:00"/>
        <d v="2022-08-17T00:00:00"/>
        <d v="2022-08-18T00:00:00"/>
        <d v="2022-08-19T00:00:00"/>
        <d v="2022-08-20T00:00:00"/>
        <d v="2022-08-21T00:00:00"/>
        <d v="2022-08-22T00:00:00"/>
        <d v="2022-08-23T00:00:00"/>
        <d v="2022-08-24T00:00:00"/>
        <d v="2022-08-25T00:00:00"/>
        <d v="2022-08-26T00:00:00"/>
        <d v="2022-08-27T00:00:00"/>
        <d v="2022-08-28T00:00:00"/>
        <d v="2022-08-29T00:00:00"/>
        <d v="2022-08-30T00:00:00"/>
        <d v="2022-08-31T00:00:00"/>
        <d v="2022-09-01T00:00:00"/>
        <d v="2022-09-02T00:00:00"/>
        <d v="2022-09-03T00:00:00"/>
        <d v="2022-09-04T00:00:00"/>
        <d v="2022-09-05T00:00:00"/>
        <d v="2022-09-06T00:00:00"/>
        <d v="2022-09-07T00:00:00"/>
        <d v="2022-09-08T00:00:00"/>
        <d v="2022-09-09T00:00:00"/>
        <d v="2022-09-10T00:00:00"/>
        <d v="2022-09-11T00:00:00"/>
        <d v="2022-09-12T00:00:00"/>
        <d v="2022-09-13T00:00:00"/>
        <d v="2022-09-14T00:00:00"/>
        <d v="2022-09-15T00:00:00"/>
        <d v="2022-09-16T00:00:00"/>
        <d v="2022-09-17T00:00:00"/>
        <d v="2022-09-18T00:00:00"/>
        <d v="2022-09-19T00:00:00"/>
        <d v="2022-09-20T00:00:00"/>
        <d v="2022-09-21T00:00:00"/>
        <d v="2022-09-22T00:00:00"/>
        <d v="2022-09-23T00:00:00"/>
        <d v="2022-09-24T00:00:00"/>
        <d v="2022-09-25T00:00:00"/>
        <d v="2022-09-26T00:00:00"/>
        <d v="2022-09-27T00:00:00"/>
        <d v="2022-09-28T00:00:00"/>
        <d v="2022-09-29T00:00:00"/>
        <d v="2022-09-30T00:00:00"/>
        <d v="2022-10-01T00:00:00"/>
        <d v="2022-10-02T00:00:00"/>
        <d v="2022-10-03T00:00:00"/>
        <d v="2022-10-04T00:00:00"/>
        <d v="2022-10-05T00:00:00"/>
        <d v="2022-10-06T00:00:00"/>
        <d v="2022-10-07T00:00:00"/>
        <d v="2022-10-08T00:00:00"/>
        <d v="2022-10-09T00:00:00"/>
        <d v="2022-10-10T00:00:00"/>
        <d v="2022-10-11T00:00:00"/>
        <d v="2022-10-12T00:00:00"/>
        <d v="2022-10-13T00:00:00"/>
        <d v="2022-10-14T00:00:00"/>
        <d v="2022-10-15T00:00:00"/>
        <d v="2022-10-16T00:00:00"/>
        <d v="2022-10-17T00:00:00"/>
        <d v="2022-10-18T00:00:00"/>
        <d v="2022-10-19T00:00:00"/>
        <d v="2022-10-20T00:00:00"/>
        <d v="2022-10-21T00:00:00"/>
        <d v="2022-10-22T00:00:00"/>
        <d v="2022-10-23T00:00:00"/>
        <d v="2022-10-24T00:00:00"/>
        <d v="2022-10-25T00:00:00"/>
        <d v="2022-10-26T00:00:00"/>
        <d v="2022-10-27T00:00:00"/>
        <d v="2022-10-28T00:00:00"/>
        <d v="2022-10-29T00:00:00"/>
        <d v="2022-10-30T00:00:00"/>
        <d v="2022-10-31T00:00:00"/>
        <d v="2022-11-01T00:00:00"/>
        <d v="2022-11-02T00:00:00"/>
        <d v="2022-11-03T00:00:00"/>
        <d v="2022-11-04T00:00:00"/>
        <d v="2022-11-05T00:00:00"/>
        <d v="2022-11-06T00:00:00"/>
        <d v="2022-11-07T00:00:00"/>
        <d v="2022-11-08T00:00:00"/>
        <d v="2022-11-09T00:00:00"/>
        <d v="2022-11-10T00:00:00"/>
        <d v="2022-11-11T00:00:00"/>
        <d v="2022-11-12T00:00:00"/>
        <d v="2022-11-13T00:00:00"/>
        <d v="2022-11-14T00:00:00"/>
        <d v="2022-11-15T00:00:00"/>
        <d v="2022-11-16T00:00:00"/>
        <d v="2022-11-17T00:00:00"/>
        <d v="2022-11-18T00:00:00"/>
        <d v="2022-11-19T00:00:00"/>
        <d v="2022-11-20T00:00:00"/>
        <d v="2022-11-21T00:00:00"/>
        <d v="2022-11-22T00:00:00"/>
        <d v="2022-11-23T00:00:00"/>
        <d v="2022-11-24T00:00:00"/>
        <d v="2022-11-25T00:00:00"/>
        <d v="2022-11-26T00:00:00"/>
        <d v="2022-11-27T00:00:00"/>
        <d v="2022-11-28T00:00:00"/>
        <d v="2022-11-29T00:00:00"/>
        <d v="2022-11-30T00:00:00"/>
        <d v="2022-12-01T00:00:00"/>
        <d v="2022-12-02T00:00:00"/>
        <d v="2022-12-03T00:00:00"/>
        <d v="2022-12-04T00:00:00"/>
        <d v="2022-12-05T00:00:00"/>
        <d v="2022-12-06T00:00:00"/>
        <d v="2022-12-07T00:00:00"/>
        <d v="2022-12-08T00:00:00"/>
        <d v="2022-12-09T00:00:00"/>
        <d v="2022-12-10T00:00:00"/>
        <d v="2022-12-11T00:00:00"/>
        <d v="2022-12-12T00:00:00"/>
        <d v="2022-12-13T00:00:00"/>
        <d v="2022-12-14T00:00:00"/>
        <d v="2022-12-15T00:00:00"/>
        <d v="2022-12-16T00:00:00"/>
        <d v="2022-12-17T00:00:00"/>
        <d v="2022-12-18T00:00:00"/>
        <d v="2022-12-19T00:00:00"/>
        <d v="2022-12-20T00:00:00"/>
        <d v="2022-12-21T00:00:00"/>
        <d v="2022-12-22T00:00:00"/>
        <d v="2022-12-23T00:00:00"/>
        <d v="2022-12-24T00:00:00"/>
        <d v="2022-12-25T00:00:00"/>
        <d v="2022-12-26T00:00:00"/>
        <d v="2022-12-27T00:00:00"/>
        <d v="2022-12-28T00:00:00"/>
        <d v="2022-12-29T00:00:00"/>
        <d v="2022-12-30T00:00:00"/>
        <d v="2022-12-31T00:00:00"/>
        <d v="2023-01-01T00:00:00"/>
        <d v="2023-01-02T00:00:00"/>
        <d v="2023-01-03T00:00:00"/>
        <d v="2023-01-04T00:00:00"/>
        <d v="2023-01-05T00:00:00"/>
        <d v="2023-01-06T00:00:00"/>
        <d v="2023-01-07T00:00:00"/>
        <d v="2023-01-08T00:00:00"/>
        <d v="2023-01-09T00:00:00"/>
        <d v="2023-01-10T00:00:00"/>
        <d v="2023-01-11T00:00:00"/>
        <d v="2023-01-12T00:00:00"/>
        <d v="2023-01-13T00:00:00"/>
        <d v="2023-01-14T00:00:00"/>
        <d v="2023-01-15T00:00:00"/>
        <d v="2023-01-16T00:00:00"/>
        <d v="2023-01-17T00:00:00"/>
        <d v="2023-01-18T00:00:00"/>
        <d v="2023-01-19T00:00:00"/>
        <d v="2023-01-20T00:00:00"/>
        <d v="2023-01-21T00:00:00"/>
        <d v="2023-01-22T00:00:00"/>
        <d v="2023-01-23T00:00:00"/>
        <d v="2023-01-24T00:00:00"/>
        <d v="2023-01-25T00:00:00"/>
        <d v="2023-01-26T00:00:00"/>
        <d v="2023-01-27T00:00:00"/>
        <d v="2023-01-28T00:00:00"/>
        <d v="2023-01-29T00:00:00"/>
        <d v="2023-01-30T00:00:00"/>
        <d v="2023-01-31T00:00:00"/>
        <d v="2023-02-01T00:00:00"/>
        <d v="2023-02-02T00:00:00"/>
        <d v="2023-02-03T00:00:00"/>
        <d v="2023-02-04T00:00:00"/>
        <d v="2023-02-05T00:00:00"/>
        <d v="2023-02-06T00:00:00"/>
        <d v="2023-02-07T00:00:00"/>
        <d v="2023-02-08T00:00:00"/>
        <d v="2023-02-09T00:00:00"/>
        <d v="2023-02-10T00:00:00"/>
        <d v="2023-02-11T00:00:00"/>
        <d v="2023-02-12T00:00:00"/>
        <d v="2023-02-13T00:00:00"/>
        <d v="2023-02-14T00:00:00"/>
        <d v="2023-02-15T00:00:00"/>
        <d v="2023-02-16T00:00:00"/>
        <d v="2023-02-17T00:00:00"/>
        <d v="2023-02-18T00:00:00"/>
        <d v="2023-02-19T00:00:00"/>
        <d v="2023-02-20T00:00:00"/>
        <d v="2023-02-21T00:00:00"/>
        <d v="2023-02-22T00:00:00"/>
        <d v="2023-02-23T00:00:00"/>
        <d v="2023-02-24T00:00:00"/>
        <d v="2023-02-25T00:00:00"/>
        <d v="2023-02-26T00:00:00"/>
        <d v="2023-02-27T00:00:00"/>
        <d v="2023-02-28T00:00:00"/>
        <d v="2023-03-01T00:00:00"/>
        <d v="2023-03-02T00:00:00"/>
        <d v="2023-03-03T00:00:00"/>
        <d v="2023-03-04T00:00:00"/>
        <d v="2023-03-05T00:00:00"/>
        <d v="2023-03-06T00:00:00"/>
        <d v="2023-03-07T00:00:00"/>
        <d v="2023-03-08T00:00:00"/>
        <d v="2023-03-09T00:00:00"/>
        <d v="2023-03-10T00:00:00"/>
        <d v="2023-03-11T00:00:00"/>
        <d v="2023-03-12T00:00:00"/>
        <d v="2023-03-13T00:00:00"/>
        <d v="2023-03-14T00:00:00"/>
        <d v="2023-03-15T00:00:00"/>
        <d v="2023-03-16T00:00:00"/>
        <d v="2023-03-17T00:00:00"/>
        <d v="2023-03-18T00:00:00"/>
        <d v="2023-03-19T00:00:00"/>
        <d v="2023-03-20T00:00:00"/>
        <d v="2023-03-21T00:00:00"/>
        <d v="2023-03-22T00:00:00"/>
        <d v="2023-03-23T00:00:00"/>
        <d v="2023-03-24T00:00:00"/>
        <d v="2023-03-25T00:00:00"/>
        <d v="2023-03-26T00:00:00"/>
        <d v="2023-03-27T00:00:00"/>
        <d v="2023-03-28T00:00:00"/>
        <d v="2023-03-29T00:00:00"/>
        <d v="2023-03-30T00:00:00"/>
        <d v="2023-03-31T00:00:00"/>
        <d v="2023-04-01T00:00:00"/>
        <d v="2023-04-02T00:00:00"/>
        <d v="2023-04-03T00:00:00"/>
        <d v="2023-04-04T00:00:00"/>
        <d v="2023-04-05T00:00:00"/>
        <d v="2023-04-06T00:00:00"/>
        <d v="2023-04-07T00:00:00"/>
        <d v="2023-04-08T00:00:00"/>
        <d v="2023-04-09T00:00:00"/>
        <d v="2023-04-10T00:00:00"/>
        <d v="2023-04-11T00:00:00"/>
        <d v="2023-04-12T00:00:00"/>
        <d v="2023-04-13T00:00:00"/>
        <d v="2023-04-14T00:00:00"/>
        <d v="2023-04-15T00:00:00"/>
        <d v="2023-04-16T00:00:00"/>
        <d v="2023-04-17T00:00:00"/>
        <d v="2023-04-18T00:00:00"/>
        <d v="2023-04-19T00:00:00"/>
        <d v="2023-04-20T00:00:00"/>
        <d v="2023-04-21T00:00:00"/>
        <d v="2023-04-22T00:00:00"/>
        <d v="2023-04-23T00:00:00"/>
        <d v="2023-04-24T00:00:00"/>
        <d v="2023-04-25T00:00:00"/>
        <d v="2023-04-26T00:00:00"/>
        <d v="2023-04-27T00:00:00"/>
        <d v="2023-04-28T00:00:00"/>
        <d v="2023-04-29T00:00:00"/>
        <d v="2023-04-30T00:00:00"/>
        <d v="2023-05-01T00:00:00"/>
        <d v="2023-05-02T00:00:00"/>
        <d v="2023-05-03T00:00:00"/>
        <d v="2023-05-04T00:00:00"/>
        <d v="2023-05-05T00:00:00"/>
        <d v="2023-05-06T00:00:00"/>
        <d v="2023-05-07T00:00:00"/>
        <d v="2023-05-08T00:00:00"/>
        <d v="2023-05-09T00:00:00"/>
        <d v="2023-05-10T00:00:00"/>
        <d v="2023-05-11T00:00:00"/>
        <d v="2023-05-12T00:00:00"/>
        <d v="2023-05-13T00:00:00"/>
        <d v="2023-05-14T00:00:00"/>
        <d v="2023-05-15T00:00:00"/>
        <d v="2023-05-16T00:00:00"/>
        <d v="2023-05-17T00:00:00"/>
        <d v="2023-05-18T00:00:00"/>
        <d v="2023-05-19T00:00:00"/>
        <d v="2023-05-20T00:00:00"/>
        <d v="2023-05-21T00:00:00"/>
        <d v="2023-05-22T00:00:00"/>
        <d v="2023-05-23T00:00:00"/>
        <d v="2023-05-24T00:00:00"/>
        <d v="2023-05-25T00:00:00"/>
        <d v="2023-05-26T00:00:00"/>
        <d v="2023-05-27T00:00:00"/>
        <d v="2023-05-28T00:00:00"/>
        <d v="2023-05-29T00:00:00"/>
        <d v="2023-05-30T00:00:00"/>
        <d v="2023-05-31T00:00:00"/>
        <d v="2023-06-01T00:00:00"/>
        <d v="2023-06-02T00:00:00"/>
        <d v="2023-06-03T00:00:00"/>
        <d v="2023-06-04T00:00:00"/>
        <d v="2023-06-05T00:00:00"/>
        <d v="2023-06-06T00:00:00"/>
        <d v="2023-06-07T00:00:00"/>
        <d v="2023-06-08T00:00:00"/>
        <d v="2023-06-09T00:00:00"/>
        <d v="2023-06-10T00:00:00"/>
        <d v="2023-06-11T00:00:00"/>
        <d v="2023-06-12T00:00:00"/>
        <d v="2023-06-13T00:00:00"/>
        <d v="2023-06-14T00:00:00"/>
        <d v="2023-06-15T00:00:00"/>
        <d v="2023-06-16T00:00:00"/>
        <d v="2023-06-17T00:00:00"/>
        <d v="2023-06-18T00:00:00"/>
        <d v="2023-06-19T00:00:00"/>
        <d v="2023-06-20T00:00:00"/>
        <d v="2023-06-21T00:00:00"/>
        <d v="2023-06-22T00:00:00"/>
        <d v="2023-06-23T00:00:00"/>
        <d v="2023-06-24T00:00:00"/>
        <d v="2023-06-25T00:00:00"/>
        <d v="2023-06-26T00:00:00"/>
        <d v="2023-06-27T00:00:00"/>
        <d v="2023-06-28T00:00:00"/>
        <d v="2023-06-29T00:00:00"/>
        <d v="2023-06-30T00:00:00"/>
        <d v="2023-07-01T00:00:00"/>
        <d v="2023-07-02T00:00:00"/>
        <d v="2023-07-03T00:00:00"/>
        <d v="2023-07-04T00:00:00"/>
        <d v="2023-07-05T00:00:00"/>
        <d v="2023-07-06T00:00:00"/>
        <d v="2023-07-07T00:00:00"/>
        <d v="2023-07-08T00:00:00"/>
        <d v="2023-07-09T00:00:00"/>
        <d v="2023-07-10T00:00:00"/>
        <d v="2023-07-11T00:00:00"/>
        <d v="2023-07-12T00:00:00"/>
        <d v="2023-07-13T00:00:00"/>
        <d v="2023-07-14T00:00:00"/>
        <d v="2023-07-15T00:00:00"/>
        <d v="2023-07-16T00:00:00"/>
        <d v="2023-07-17T00:00:00"/>
        <d v="2023-07-18T00:00:00"/>
        <d v="2023-07-19T00:00:00"/>
        <d v="2023-07-20T00:00:00"/>
        <d v="2023-07-21T00:00:00"/>
        <d v="2023-07-22T00:00:00"/>
        <d v="2023-07-23T00:00:00"/>
        <d v="2023-07-24T00:00:00"/>
        <d v="2023-07-25T00:00:00"/>
        <d v="2023-07-26T00:00:00"/>
        <d v="2023-07-27T00:00:00"/>
        <d v="2023-07-28T00:00:00"/>
        <d v="2023-07-29T00:00:00"/>
        <d v="2023-07-30T00:00:00"/>
        <d v="2023-07-31T00:00:00"/>
        <d v="2023-08-01T00:00:00"/>
        <d v="2023-08-02T00:00:00"/>
        <d v="2023-08-03T00:00:00"/>
        <d v="2023-08-04T00:00:00"/>
        <d v="2023-08-05T00:00:00"/>
        <d v="2023-08-06T00:00:00"/>
        <d v="2023-08-07T00:00:00"/>
        <d v="2023-08-08T00:00:00"/>
        <d v="2023-08-09T00:00:00"/>
        <d v="2023-08-10T00:00:00"/>
        <d v="2023-08-11T00:00:00"/>
        <d v="2023-08-12T00:00:00"/>
        <d v="2023-08-13T00:00:00"/>
        <d v="2023-08-14T00:00:00"/>
        <d v="2023-08-15T00:00:00"/>
        <d v="2023-08-16T00:00:00"/>
        <d v="2023-08-17T00:00:00"/>
        <d v="2023-08-18T00:00:00"/>
        <d v="2023-08-19T00:00:00"/>
        <d v="2023-08-20T00:00:00"/>
        <d v="2023-08-21T00:00:00"/>
        <d v="2023-08-22T00:00:00"/>
        <d v="2023-08-23T00:00:00"/>
        <d v="2023-08-24T00:00:00"/>
        <d v="2023-08-25T00:00:00"/>
        <d v="2023-08-26T00:00:00"/>
        <d v="2023-08-27T00:00:00"/>
        <d v="2023-08-28T00:00:00"/>
        <d v="2023-08-29T00:00:00"/>
        <d v="2023-08-30T00:00:00"/>
        <d v="2023-08-31T00:00:00"/>
        <d v="2023-09-01T00:00:00"/>
        <d v="2023-09-02T00:00:00"/>
        <d v="2023-09-03T00:00:00"/>
        <d v="2023-09-04T00:00:00"/>
        <d v="2023-09-05T00:00:00"/>
        <d v="2023-09-06T00:00:00"/>
        <d v="2023-09-07T00:00:00"/>
        <d v="2023-09-08T00:00:00"/>
        <d v="2023-09-09T00:00:00"/>
        <d v="2023-09-10T00:00:00"/>
        <d v="2023-09-11T00:00:00"/>
        <d v="2023-09-12T00:00:00"/>
        <d v="2023-09-13T00:00:00"/>
        <d v="2023-09-14T00:00:00"/>
        <d v="2023-09-15T00:00:00"/>
        <d v="2023-09-16T00:00:00"/>
        <d v="2023-09-17T00:00:00"/>
        <d v="2023-09-18T00:00:00"/>
        <d v="2023-09-19T00:00:00"/>
        <d v="2023-09-20T00:00:00"/>
        <d v="2023-09-21T00:00:00"/>
        <d v="2023-09-22T00:00:00"/>
        <d v="2023-09-23T00:00:00"/>
        <d v="2023-09-24T00:00:00"/>
        <d v="2023-09-25T00:00:00"/>
        <d v="2023-09-26T00:00:00"/>
        <d v="2023-09-27T00:00:00"/>
        <d v="2023-09-28T00:00:00"/>
        <d v="2023-09-29T00:00:00"/>
        <d v="2023-09-30T00:00:00"/>
        <d v="2023-10-01T00:00:00"/>
        <d v="2023-10-02T00:00:00"/>
        <d v="2023-10-03T00:00:00"/>
        <d v="2023-10-04T00:00:00"/>
        <d v="2023-10-05T00:00:00"/>
        <d v="2023-10-06T00:00:00"/>
        <d v="2023-10-07T00:00:00"/>
        <d v="2023-10-08T00:00:00"/>
        <d v="2023-10-09T00:00:00"/>
        <d v="2023-10-10T00:00:00"/>
        <d v="2023-10-11T00:00:00"/>
        <d v="2023-10-12T00:00:00"/>
        <d v="2023-10-13T00:00:00"/>
        <d v="2023-10-14T00:00:00"/>
        <d v="2023-10-15T00:00:00"/>
        <d v="2023-10-16T00:00:00"/>
        <d v="2023-10-17T00:00:00"/>
        <d v="2023-10-18T00:00:00"/>
        <d v="2023-10-19T00:00:00"/>
        <d v="2023-10-20T00:00:00"/>
        <d v="2023-10-21T00:00:00"/>
        <d v="2023-10-22T00:00:00"/>
        <d v="2023-10-23T00:00:00"/>
        <d v="2023-10-24T00:00:00"/>
        <d v="2023-10-25T00:00:00"/>
        <d v="2023-10-26T00:00:00"/>
        <d v="2023-10-27T00:00:00"/>
        <d v="2023-10-28T00:00:00"/>
        <d v="2023-10-29T00:00:00"/>
        <d v="2023-10-30T00:00:00"/>
        <d v="2023-10-31T00:00:00"/>
        <d v="2023-11-01T00:00:00"/>
        <d v="2023-11-02T00:00:00"/>
        <d v="2023-11-03T00:00:00"/>
        <d v="2023-11-04T00:00:00"/>
        <d v="2023-11-05T00:00:00"/>
        <d v="2023-11-06T00:00:00"/>
        <d v="2023-11-07T00:00:00"/>
        <d v="2023-11-08T00:00:00"/>
        <d v="2023-11-09T00:00:00"/>
        <d v="2023-11-10T00:00:00"/>
        <d v="2023-11-11T00:00:00"/>
        <d v="2023-11-12T00:00:00"/>
        <d v="2023-11-13T00:00:00"/>
        <d v="2023-11-14T00:00:00"/>
        <d v="2023-11-15T00:00:00"/>
        <d v="2023-11-16T00:00:00"/>
        <d v="2023-11-17T00:00:00"/>
        <d v="2023-11-18T00:00:00"/>
        <d v="2023-11-19T00:00:00"/>
        <d v="2023-11-20T00:00:00"/>
        <d v="2023-11-21T00:00:00"/>
        <d v="2023-11-22T00:00:00"/>
        <d v="2023-11-23T00:00:00"/>
        <d v="2023-11-24T00:00:00"/>
        <d v="2023-11-25T00:00:00"/>
        <d v="2023-11-26T00:00:00"/>
        <d v="2023-11-27T00:00:00"/>
        <d v="2023-11-28T00:00:00"/>
        <d v="2023-11-29T00:00:00"/>
        <d v="2023-11-30T00:00:00"/>
        <d v="2023-12-01T00:00:00"/>
        <d v="2023-12-02T00:00:00"/>
        <d v="2023-12-03T00:00:00"/>
        <d v="2023-12-04T00:00:00"/>
        <d v="2023-12-05T00:00:00"/>
        <d v="2023-12-06T00:00:00"/>
        <d v="2023-12-07T00:00:00"/>
        <d v="2023-12-08T00:00:00"/>
        <d v="2023-12-09T00:00:00"/>
        <d v="2023-12-10T00:00:00"/>
        <d v="2023-12-11T00:00:00"/>
        <d v="2023-12-12T00:00:00"/>
        <d v="2023-12-13T00:00:00"/>
        <d v="2023-12-14T00:00:00"/>
        <d v="2023-12-15T00:00:00"/>
        <d v="2023-12-16T00:00:00"/>
        <d v="2023-12-17T00:00:00"/>
        <d v="2023-12-18T00:00:00"/>
        <d v="2023-12-19T00:00:00"/>
        <d v="2023-12-20T00:00:00"/>
        <d v="2023-12-21T00:00:00"/>
        <d v="2023-12-22T00:00:00"/>
        <d v="2023-12-23T00:00:00"/>
        <d v="2023-12-24T00:00:00"/>
        <d v="2023-12-25T00:00:00"/>
        <d v="2023-12-26T00:00:00"/>
        <d v="2023-12-27T00:00:00"/>
        <d v="2023-12-28T00:00:00"/>
        <d v="2023-12-29T00:00:00"/>
        <d v="2023-12-30T00:00:00"/>
        <d v="2023-12-31T00:00:00"/>
        <d v="2024-01-01T00:00:00"/>
        <d v="2024-01-02T00:00:00"/>
        <d v="2024-01-03T00:00:00"/>
        <d v="2024-01-04T00:00:00"/>
        <d v="2024-01-05T00:00:00"/>
        <d v="2024-01-06T00:00:00"/>
        <d v="2024-01-07T00:00:00"/>
        <d v="2024-01-08T00:00:00"/>
        <d v="2024-01-09T00:00:00"/>
        <d v="2024-01-10T00:00:00"/>
        <d v="2024-01-11T00:00:00"/>
        <d v="2024-01-12T00:00:00"/>
        <d v="2024-01-13T00:00:00"/>
        <d v="2024-01-14T00:00:00"/>
        <d v="2024-01-15T00:00:00"/>
        <d v="2024-01-16T00:00:00"/>
        <d v="2024-01-17T00:00:00"/>
        <d v="2024-01-18T00:00:00"/>
        <d v="2024-01-19T00:00:00"/>
        <d v="2024-01-20T00:00:00"/>
        <d v="2024-01-21T00:00:00"/>
        <d v="2024-01-22T00:00:00"/>
        <d v="2024-01-23T00:00:00"/>
        <d v="2024-01-24T00:00:00"/>
        <d v="2024-01-25T00:00:00"/>
        <d v="2024-01-26T00:00:00"/>
        <d v="2024-01-27T00:00:00"/>
        <d v="2024-01-28T00:00:00"/>
        <d v="2024-01-29T00:00:00"/>
        <d v="2024-01-30T00:00:00"/>
        <d v="2024-01-31T00:00:00"/>
        <d v="2024-02-01T00:00:00"/>
        <d v="2024-02-02T00:00:00"/>
        <d v="2024-02-03T00:00:00"/>
        <d v="2024-02-04T00:00:00"/>
        <d v="2024-02-05T00:00:00"/>
        <d v="2024-02-06T00:00:00"/>
        <d v="2024-02-07T00:00:00"/>
        <d v="2024-02-08T00:00:00"/>
        <d v="2024-02-09T00:00:00"/>
        <d v="2024-02-10T00:00:00"/>
        <d v="2024-02-11T00:00:00"/>
        <d v="2024-02-12T00:00:00"/>
        <d v="2024-02-13T00:00:00"/>
        <d v="2024-02-14T00:00:00"/>
        <d v="2024-02-15T00:00:00"/>
        <d v="2024-02-16T00:00:00"/>
        <d v="2024-02-17T00:00:00"/>
        <d v="2024-02-18T00:00:00"/>
        <d v="2024-02-19T00:00:00"/>
        <d v="2024-02-20T00:00:00"/>
        <d v="2024-02-21T00:00:00"/>
        <d v="2024-02-22T00:00:00"/>
        <d v="2024-02-23T00:00:00"/>
        <d v="2024-02-24T00:00:00"/>
        <d v="2024-02-25T00:00:00"/>
        <d v="2024-02-26T00:00:00"/>
        <d v="2024-02-27T00:00:00"/>
        <d v="2024-02-28T00:00:00"/>
        <d v="2024-02-29T00:00:00"/>
        <d v="2024-03-01T00:00:00"/>
        <d v="2024-03-02T00:00:00"/>
        <d v="2024-03-03T00:00:00"/>
        <d v="2024-03-04T00:00:00"/>
        <d v="2024-03-05T00:00:00"/>
        <d v="2024-03-06T00:00:00"/>
        <d v="2024-03-07T00:00:00"/>
        <d v="2024-03-08T00:00:00"/>
        <d v="2024-03-09T00:00:00"/>
        <d v="2024-03-10T00:00:00"/>
        <d v="2024-03-11T00:00:00"/>
        <d v="2024-03-12T00:00:00"/>
        <d v="2024-03-13T00:00:00"/>
        <d v="2024-03-14T00:00:00"/>
        <d v="2024-03-15T00:00:00"/>
        <d v="2024-03-16T00:00:00"/>
        <d v="2024-03-17T00:00:00"/>
        <d v="2024-03-18T00:00:00"/>
        <d v="2024-03-19T00:00:00"/>
        <d v="2024-03-20T00:00:00"/>
        <d v="2024-03-21T00:00:00"/>
        <d v="2024-03-22T00:00:00"/>
        <d v="2024-03-23T00:00:00"/>
        <d v="2024-03-24T00:00:00"/>
        <d v="2024-03-25T00:00:00"/>
        <d v="2024-03-26T00:00:00"/>
        <d v="2024-03-27T00:00:00"/>
        <d v="2024-03-28T00:00:00"/>
        <d v="2024-03-29T00:00:00"/>
        <d v="2024-03-30T00:00:00"/>
        <d v="2024-03-31T00:00:00"/>
        <d v="2024-04-01T00:00:00"/>
        <d v="2024-04-02T00:00:00"/>
        <d v="2024-04-03T00:00:00"/>
        <d v="2024-04-04T00:00:00"/>
        <d v="2024-04-05T00:00:00"/>
        <d v="2024-04-06T00:00:00"/>
        <d v="2024-04-07T00:00:00"/>
        <d v="2024-04-08T00:00:00"/>
        <d v="2024-04-09T00:00:00"/>
        <d v="2024-04-10T00:00:00"/>
        <d v="2024-04-11T00:00:00"/>
        <d v="2024-04-12T00:00:00"/>
        <d v="2024-04-13T00:00:00"/>
        <d v="2024-04-14T00:00:00"/>
        <d v="2024-04-15T00:00:00"/>
        <d v="2024-04-16T00:00:00"/>
        <d v="2024-04-17T00:00:00"/>
        <d v="2024-04-18T00:00:00"/>
        <d v="2024-04-19T00:00:00"/>
        <d v="2024-04-20T00:00:00"/>
        <d v="2024-04-21T00:00:00"/>
        <d v="2024-04-22T00:00:00"/>
        <d v="2024-04-23T00:00:00"/>
        <d v="2024-04-24T00:00:00"/>
        <d v="2024-04-25T00:00:00"/>
        <d v="2024-04-26T00:00:00"/>
        <d v="2024-04-27T00:00:00"/>
        <d v="2024-04-28T00:00:00"/>
        <d v="2024-04-29T00:00:00"/>
        <d v="2024-04-30T00:00:00"/>
        <d v="2024-05-01T00:00:00"/>
        <d v="2024-05-02T00:00:00"/>
        <d v="2024-05-03T00:00:00"/>
        <d v="2024-05-04T00:00:00"/>
        <d v="2024-05-05T00:00:00"/>
        <d v="2024-05-06T00:00:00"/>
        <d v="2024-05-07T00:00:00"/>
        <d v="2024-05-08T00:00:00"/>
        <d v="2024-05-09T00:00:00"/>
        <d v="2024-05-10T00:00:00"/>
        <d v="2024-05-11T00:00:00"/>
        <d v="2024-05-12T00:00:00"/>
        <d v="2024-05-13T00:00:00"/>
        <d v="2024-05-14T00:00:00"/>
        <d v="2024-05-15T00:00:00"/>
        <d v="2024-05-16T00:00:00"/>
        <d v="2024-05-17T00:00:00"/>
        <d v="2024-05-18T00:00:00"/>
        <d v="2024-05-19T00:00:00"/>
        <d v="2024-05-20T00:00:00"/>
        <d v="2024-05-21T00:00:00"/>
        <d v="2024-05-22T00:00:00"/>
        <d v="2024-05-23T00:00:00"/>
        <d v="2024-05-24T00:00:00"/>
        <d v="2024-05-25T00:00:00"/>
        <d v="2024-05-26T00:00:00"/>
        <d v="2024-05-27T00:00:00"/>
        <d v="2024-05-28T00:00:00"/>
        <d v="2024-05-29T00:00:00"/>
        <d v="2024-05-30T00:00:00"/>
        <d v="2024-05-31T00:00:00"/>
        <d v="2024-06-01T00:00:00"/>
        <d v="2024-06-02T00:00:00"/>
        <d v="2024-06-03T00:00:00"/>
        <d v="2024-06-04T00:00:00"/>
        <d v="2024-06-05T00:00:00"/>
        <d v="2024-06-06T00:00:00"/>
        <d v="2024-06-07T00:00:00"/>
        <d v="2024-06-08T00:00:00"/>
        <d v="2024-06-09T00:00:00"/>
        <d v="2024-06-10T00:00:00"/>
        <d v="2024-06-11T00:00:00"/>
        <d v="2024-06-12T00:00:00"/>
        <d v="2024-06-13T00:00:00"/>
        <d v="2024-06-14T00:00:00"/>
        <d v="2024-06-15T00:00:00"/>
        <d v="2024-06-16T00:00:00"/>
        <d v="2024-06-17T00:00:00"/>
        <d v="2024-06-18T00:00:00"/>
        <d v="2024-06-19T00:00:00"/>
        <d v="2024-06-20T00:00:00"/>
        <d v="2024-06-21T00:00:00"/>
        <d v="2024-06-22T00:00:00"/>
        <d v="2024-06-23T00:00:00"/>
        <d v="2024-06-24T00:00:00"/>
        <d v="2024-06-25T00:00:00"/>
        <d v="2024-06-26T00:00:00"/>
        <d v="2024-06-27T00:00:00"/>
        <d v="2024-06-28T00:00:00"/>
        <d v="2024-06-29T00:00:00"/>
        <d v="2024-06-30T00:00:00"/>
        <d v="2024-07-01T00:00:00"/>
        <d v="2024-07-02T00:00:00"/>
        <d v="2024-07-03T00:00:00"/>
        <d v="2024-07-04T00:00:00"/>
        <d v="2024-07-05T00:00:00"/>
        <d v="2024-07-06T00:00:00"/>
        <d v="2024-07-07T00:00:00"/>
        <d v="2024-07-08T00:00:00"/>
        <d v="2024-07-09T00:00:00"/>
        <d v="2024-07-10T00:00:00"/>
        <d v="2024-07-11T00:00:00"/>
        <d v="2024-07-12T00:00:00"/>
        <d v="2024-07-13T00:00:00"/>
        <d v="2024-07-14T00:00:00"/>
        <d v="2024-07-15T00:00:00"/>
        <d v="2024-07-16T00:00:00"/>
        <d v="2024-07-17T00:00:00"/>
        <d v="2024-07-18T00:00:00"/>
        <d v="2024-07-19T00:00:00"/>
        <d v="2024-07-20T00:00:00"/>
        <d v="2024-07-21T00:00:00"/>
        <d v="2024-07-22T00:00:00"/>
        <d v="2024-07-23T00:00:00"/>
        <d v="2024-07-24T00:00:00"/>
        <d v="2024-07-25T00:00:00"/>
        <d v="2024-07-26T00:00:00"/>
        <d v="2024-07-27T00:00:00"/>
        <d v="2024-07-28T00:00:00"/>
        <d v="2024-07-29T00:00:00"/>
        <d v="2024-07-30T00:00:00"/>
        <d v="2024-07-31T00:00:00"/>
        <d v="2024-08-01T00:00:00"/>
        <d v="2024-08-02T00:00:00"/>
        <d v="2024-08-03T00:00:00"/>
        <d v="2024-08-04T00:00:00"/>
        <d v="2024-08-05T00:00:00"/>
        <d v="2024-08-06T00:00:00"/>
        <d v="2024-08-07T00:00:00"/>
        <d v="2024-08-08T00:00:00"/>
        <d v="2024-08-09T00:00:00"/>
        <d v="2024-08-10T00:00:00"/>
        <d v="2024-08-11T00:00:00"/>
        <d v="2024-08-12T00:00:00"/>
        <d v="2024-08-13T00:00:00"/>
        <d v="2024-08-14T00:00:00"/>
        <d v="2024-08-15T00:00:00"/>
        <d v="2024-08-16T00:00:00"/>
        <d v="2024-08-17T00:00:00"/>
        <d v="2024-08-18T00:00:00"/>
        <d v="2024-08-19T00:00:00"/>
        <d v="2024-08-20T00:00:00"/>
        <d v="2024-08-21T00:00:00"/>
        <d v="2024-08-22T00:00:00"/>
        <d v="2024-08-23T00:00:00"/>
        <d v="2024-08-24T00:00:00"/>
        <d v="2024-08-25T00:00:00"/>
        <d v="2024-08-26T00:00:00"/>
        <d v="2024-08-27T00:00:00"/>
        <d v="2024-08-28T00:00:00"/>
        <d v="2024-08-29T00:00:00"/>
        <d v="2024-08-30T00:00:00"/>
        <d v="2024-08-31T00:00:00"/>
        <d v="2024-09-01T00:00:00"/>
        <d v="2024-09-02T00:00:00"/>
        <d v="2024-09-03T00:00:00"/>
        <d v="2024-09-04T00:00:00"/>
        <d v="2024-09-05T00:00:00"/>
        <d v="2024-09-06T00:00:00"/>
        <d v="2024-09-07T00:00:00"/>
        <d v="2024-09-08T00:00:00"/>
        <d v="2024-09-09T00:00:00"/>
        <d v="2024-09-10T00:00:00"/>
        <d v="2024-09-11T00:00:00"/>
        <d v="2024-09-12T00:00:00"/>
        <d v="2024-09-13T00:00:00"/>
        <d v="2024-09-14T00:00:00"/>
        <d v="2024-09-15T00:00:00"/>
        <d v="2024-09-16T00:00:00"/>
        <d v="2024-09-17T00:00:00"/>
        <d v="2024-09-18T00:00:00"/>
        <d v="2024-09-19T00:00:00"/>
        <d v="2024-09-20T00:00:00"/>
        <d v="2024-09-21T00:00:00"/>
        <d v="2024-09-22T00:00:00"/>
        <d v="2024-09-23T00:00:00"/>
        <d v="2024-09-24T00:00:00"/>
        <d v="2024-09-25T00:00:00"/>
        <d v="2024-09-26T00:00:00"/>
        <d v="2024-09-27T00:00:00"/>
        <d v="2024-09-28T00:00:00"/>
        <d v="2024-09-29T00:00:00"/>
        <d v="2024-09-30T00:00:00"/>
        <d v="2024-10-01T00:00:00"/>
        <d v="2024-10-02T00:00:00"/>
        <d v="2024-10-03T00:00:00"/>
        <d v="2024-10-04T00:00:00"/>
        <d v="2024-10-05T00:00:00"/>
        <d v="2024-10-06T00:00:00"/>
        <d v="2024-10-07T00:00:00"/>
        <d v="2024-10-08T00:00:00"/>
        <d v="2024-10-09T00:00:00"/>
        <d v="2024-10-10T00:00:00"/>
        <d v="2024-10-11T00:00:00"/>
        <d v="2024-10-12T00:00:00"/>
        <d v="2024-10-13T00:00:00"/>
        <d v="2024-10-14T00:00:00"/>
        <d v="2024-10-15T00:00:00"/>
        <d v="2024-10-16T00:00:00"/>
        <d v="2024-10-17T00:00:00"/>
        <d v="2024-10-18T00:00:00"/>
        <d v="2024-10-19T00:00:00"/>
        <d v="2024-10-20T00:00:00"/>
        <d v="2024-10-21T00:00:00"/>
        <d v="2024-10-22T00:00:00"/>
        <d v="2024-10-23T00:00:00"/>
        <d v="2024-10-24T00:00:00"/>
        <d v="2024-10-25T00:00:00"/>
        <d v="2024-10-26T00:00:00"/>
        <d v="2024-10-27T00:00:00"/>
        <d v="2024-10-28T00:00:00"/>
        <d v="2024-10-29T00:00:00"/>
        <d v="2024-10-30T00:00:00"/>
        <d v="2024-10-31T00:00:00"/>
        <d v="2024-11-01T00:00:00"/>
        <d v="2024-11-02T00:00:00"/>
        <d v="2024-11-03T00:00:00"/>
        <d v="2024-11-04T00:00:00"/>
        <d v="2024-11-05T00:00:00"/>
        <d v="2024-11-06T00:00:00"/>
        <d v="2024-11-07T00:00:00"/>
        <d v="2024-11-08T00:00:00"/>
        <d v="2024-11-09T00:00:00"/>
        <d v="2024-11-10T00:00:00"/>
        <d v="2024-11-11T00:00:00"/>
        <d v="2024-11-12T00:00:00"/>
        <d v="2024-11-13T00:00:00"/>
        <d v="2024-11-14T00:00:00"/>
        <d v="2024-11-15T00:00:00"/>
        <d v="2024-11-16T00:00:00"/>
        <d v="2024-11-17T00:00:00"/>
        <d v="2024-11-18T00:00:00"/>
        <d v="2024-11-19T00:00:00"/>
        <d v="2024-11-20T00:00:00"/>
        <d v="2024-11-21T00:00:00"/>
        <d v="2024-11-22T00:00:00"/>
        <d v="2024-11-23T00:00:00"/>
        <d v="2024-11-24T00:00:00"/>
        <d v="2024-11-25T00:00:00"/>
        <d v="2024-11-26T00:00:00"/>
        <d v="2024-11-27T00:00:00"/>
        <d v="2024-11-28T00:00:00"/>
        <d v="2024-11-29T00:00:00"/>
        <d v="2024-11-30T00:00:00"/>
        <d v="2024-12-01T00:00:00"/>
        <d v="2024-12-02T00:00:00"/>
        <d v="2024-12-03T00:00:00"/>
        <d v="2024-12-04T00:00:00"/>
        <d v="2024-12-05T00:00:00"/>
        <d v="2024-12-06T00:00:00"/>
        <d v="2024-12-07T00:00:00"/>
        <d v="2024-12-08T00:00:00"/>
        <d v="2024-12-09T00:00:00"/>
        <d v="2024-12-10T00:00:00"/>
        <d v="2024-12-11T00:00:00"/>
        <d v="2024-12-12T00:00:00"/>
        <d v="2024-12-13T00:00:00"/>
        <d v="2024-12-14T00:00:00"/>
        <d v="2024-12-15T00:00:00"/>
        <d v="2024-12-16T00:00:00"/>
        <d v="2024-12-17T00:00:00"/>
        <d v="2024-12-18T00:00:00"/>
        <d v="2024-12-19T00:00:00"/>
        <d v="2024-12-20T00:00:00"/>
        <d v="2024-12-21T00:00:00"/>
        <d v="2024-12-22T00:00:00"/>
        <d v="2024-12-23T00:00:00"/>
        <d v="2024-12-24T00:00:00"/>
        <d v="2024-12-25T00:00:00"/>
        <d v="2024-12-26T00:00:00"/>
        <d v="2024-12-27T00:00:00"/>
        <d v="2024-12-28T00:00:00"/>
        <d v="2024-12-29T00:00:00"/>
        <d v="2024-12-30T00:00:00"/>
        <d v="2024-12-31T00:00:00"/>
      </sharedItems>
    </cacheField>
    <cacheField name="[Tab_concat].[Dates (mois)].[Dates (mois)]" caption="Dates (mois)" numFmtId="0" hierarchy="21" level="1">
      <sharedItems containsNonDate="0" count="12">
        <s v="janv"/>
        <s v="févr"/>
        <s v="mars"/>
        <s v="avr"/>
        <s v="mai"/>
        <s v="juin"/>
        <s v="juil"/>
        <s v="août"/>
        <s v="sept"/>
        <s v="oct"/>
        <s v="nov"/>
        <s v="déc"/>
      </sharedItems>
    </cacheField>
    <cacheField name="[Tab_concat].[Dates (trimestre)].[Dates (trimestre)]" caption="Dates (trimestre)" numFmtId="0" hierarchy="20" level="1">
      <sharedItems count="4">
        <s v="Trim1"/>
        <s v="Trim2"/>
        <s v="Trim3"/>
        <s v="Trim4"/>
      </sharedItems>
    </cacheField>
    <cacheField name="[Tab_concat].[Dates (année)].[Dates (année)]" caption="Dates (année)" numFmtId="0" hierarchy="19" level="1">
      <sharedItems count="5">
        <s v="2022"/>
        <s v="2023"/>
        <s v="2024"/>
        <s v="2025"/>
        <s v="2026"/>
      </sharedItems>
    </cacheField>
    <cacheField name="[Measures].[Somme de Demande_jour]" caption="Somme de Demande_jour" numFmtId="0" hierarchy="55" level="32767"/>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2" memberValueDatatype="7" unbalanced="0">
      <fieldsUsage count="2">
        <fieldUsage x="-1"/>
        <fieldUsage x="1"/>
      </fieldsUsage>
    </cacheHierarchy>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2" memberValueDatatype="130" unbalanced="0">
      <fieldsUsage count="2">
        <fieldUsage x="-1"/>
        <fieldUsage x="4"/>
      </fieldsUsage>
    </cacheHierarchy>
    <cacheHierarchy uniqueName="[Tab_concat].[Dates (trimestre)]" caption="Dates (trimestre)" attribute="1" defaultMemberUniqueName="[Tab_concat].[Dates (trimestre)].[All]" allUniqueName="[Tab_concat].[Dates (trimestre)].[All]" dimensionUniqueName="[Tab_concat]" displayFolder="" count="2" memberValueDatatype="130" unbalanced="0">
      <fieldsUsage count="2">
        <fieldUsage x="-1"/>
        <fieldUsage x="3"/>
      </fieldsUsage>
    </cacheHierarchy>
    <cacheHierarchy uniqueName="[Tab_concat].[Dates (mois)]" caption="Dates (mois)" attribute="1" defaultMemberUniqueName="[Tab_concat].[Dates (mois)].[All]" allUniqueName="[Tab_concat].[Dates (mois)].[All]" dimensionUniqueName="[Tab_concat]" displayFolder="" count="2" memberValueDatatype="130" unbalanced="0">
      <fieldsUsage count="2">
        <fieldUsage x="-1"/>
        <fieldUsage x="2"/>
      </fieldsUsage>
    </cacheHierarchy>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2" memberValueDatatype="130" unbalanced="0">
      <fieldsUsage count="2">
        <fieldUsage x="-1"/>
        <fieldUsage x="0"/>
      </fieldsUsage>
    </cacheHierarchy>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oneField="1" hidden="1">
      <fieldsUsage count="1">
        <fieldUsage x="5"/>
      </fieldsUsage>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saveData="0" refreshedBy="Fabien ROUAULT" refreshedDate="46203.608142129633" backgroundQuery="1" createdVersion="7" refreshedVersion="7" minRefreshableVersion="3" recordCount="0" supportSubquery="1" supportAdvancedDrill="1">
  <cacheSource type="external" connectionId="11"/>
  <cacheFields count="6">
    <cacheField name="[Tableau16].[Nom].[Nom]" caption="Nom" numFmtId="0" hierarchy="37" level="1">
      <sharedItems containsSemiMixedTypes="0" containsNonDate="0" containsString="0"/>
    </cacheField>
    <cacheField name="[Tab_concat].[Dates].[Dates]" caption="Dates" numFmtId="0" hierarchy="1" level="1">
      <sharedItems containsSemiMixedTypes="0" containsNonDate="0" containsDate="1" containsString="0" minDate="2010-01-01T00:00:00" maxDate="2026-01-01T00:00:00" count="5844">
        <d v="2010-01-01T00:00:00"/>
        <d v="2010-01-02T00:00:00"/>
        <d v="2010-01-03T00:00:00"/>
        <d v="2010-01-04T00:00:00"/>
        <d v="2010-01-05T00:00:00"/>
        <d v="2010-01-06T00:00:00"/>
        <d v="2010-01-07T00:00:00"/>
        <d v="2010-01-08T00:00:00"/>
        <d v="2010-01-09T00:00:00"/>
        <d v="2010-01-10T00:00:00"/>
        <d v="2010-01-11T00:00:00"/>
        <d v="2010-01-12T00:00:00"/>
        <d v="2010-01-13T00:00:00"/>
        <d v="2010-01-14T00:00:00"/>
        <d v="2010-01-15T00:00:00"/>
        <d v="2010-01-16T00:00:00"/>
        <d v="2010-01-17T00:00:00"/>
        <d v="2010-01-18T00:00:00"/>
        <d v="2010-01-19T00:00:00"/>
        <d v="2010-01-20T00:00:00"/>
        <d v="2010-01-21T00:00:00"/>
        <d v="2010-01-22T00:00:00"/>
        <d v="2010-01-23T00:00:00"/>
        <d v="2010-01-24T00:00:00"/>
        <d v="2010-01-25T00:00:00"/>
        <d v="2010-01-26T00:00:00"/>
        <d v="2010-01-27T00:00:00"/>
        <d v="2010-01-28T00:00:00"/>
        <d v="2010-01-29T00:00:00"/>
        <d v="2010-01-30T00:00:00"/>
        <d v="2010-01-31T00:00:00"/>
        <d v="2010-02-01T00:00:00"/>
        <d v="2010-02-02T00:00:00"/>
        <d v="2010-02-03T00:00:00"/>
        <d v="2010-02-04T00:00:00"/>
        <d v="2010-02-05T00:00:00"/>
        <d v="2010-02-06T00:00:00"/>
        <d v="2010-02-07T00:00:00"/>
        <d v="2010-02-08T00:00:00"/>
        <d v="2010-02-09T00:00:00"/>
        <d v="2010-02-10T00:00:00"/>
        <d v="2010-02-11T00:00:00"/>
        <d v="2010-02-12T00:00:00"/>
        <d v="2010-02-13T00:00:00"/>
        <d v="2010-02-14T00:00:00"/>
        <d v="2010-02-15T00:00:00"/>
        <d v="2010-02-16T00:00:00"/>
        <d v="2010-02-17T00:00:00"/>
        <d v="2010-02-18T00:00:00"/>
        <d v="2010-02-19T00:00:00"/>
        <d v="2010-02-20T00:00:00"/>
        <d v="2010-02-21T00:00:00"/>
        <d v="2010-02-22T00:00:00"/>
        <d v="2010-02-23T00:00:00"/>
        <d v="2010-02-24T00:00:00"/>
        <d v="2010-02-25T00:00:00"/>
        <d v="2010-02-26T00:00:00"/>
        <d v="2010-02-27T00:00:00"/>
        <d v="2010-02-28T00:00:00"/>
        <d v="2010-03-01T00:00:00"/>
        <d v="2010-03-02T00:00:00"/>
        <d v="2010-03-03T00:00:00"/>
        <d v="2010-03-04T00:00:00"/>
        <d v="2010-03-05T00:00:00"/>
        <d v="2010-03-06T00:00:00"/>
        <d v="2010-03-07T00:00:00"/>
        <d v="2010-03-08T00:00:00"/>
        <d v="2010-03-09T00:00:00"/>
        <d v="2010-03-10T00:00:00"/>
        <d v="2010-03-11T00:00:00"/>
        <d v="2010-03-12T00:00:00"/>
        <d v="2010-03-13T00:00:00"/>
        <d v="2010-03-14T00:00:00"/>
        <d v="2010-03-15T00:00:00"/>
        <d v="2010-03-16T00:00:00"/>
        <d v="2010-03-17T00:00:00"/>
        <d v="2010-03-18T00:00:00"/>
        <d v="2010-03-19T00:00:00"/>
        <d v="2010-03-20T00:00:00"/>
        <d v="2010-03-21T00:00:00"/>
        <d v="2010-03-22T00:00:00"/>
        <d v="2010-03-23T00:00:00"/>
        <d v="2010-03-24T00:00:00"/>
        <d v="2010-03-25T00:00:00"/>
        <d v="2010-03-26T00:00:00"/>
        <d v="2010-03-27T00:00:00"/>
        <d v="2010-03-28T00:00:00"/>
        <d v="2010-03-29T00:00:00"/>
        <d v="2010-03-30T00:00:00"/>
        <d v="2010-03-31T00:00:00"/>
        <d v="2010-04-01T00:00:00"/>
        <d v="2010-04-02T00:00:00"/>
        <d v="2010-04-03T00:00:00"/>
        <d v="2010-04-04T00:00:00"/>
        <d v="2010-04-05T00:00:00"/>
        <d v="2010-04-06T00:00:00"/>
        <d v="2010-04-07T00:00:00"/>
        <d v="2010-04-08T00:00:00"/>
        <d v="2010-04-09T00:00:00"/>
        <d v="2010-04-10T00:00:00"/>
        <d v="2010-04-11T00:00:00"/>
        <d v="2010-04-12T00:00:00"/>
        <d v="2010-04-13T00:00:00"/>
        <d v="2010-04-14T00:00:00"/>
        <d v="2010-04-15T00:00:00"/>
        <d v="2010-04-16T00:00:00"/>
        <d v="2010-04-17T00:00:00"/>
        <d v="2010-04-18T00:00:00"/>
        <d v="2010-04-19T00:00:00"/>
        <d v="2010-04-20T00:00:00"/>
        <d v="2010-04-21T00:00:00"/>
        <d v="2010-04-22T00:00:00"/>
        <d v="2010-04-23T00:00:00"/>
        <d v="2010-04-24T00:00:00"/>
        <d v="2010-04-25T00:00:00"/>
        <d v="2010-04-26T00:00:00"/>
        <d v="2010-04-27T00:00:00"/>
        <d v="2010-04-28T00:00:00"/>
        <d v="2010-04-29T00:00:00"/>
        <d v="2010-04-30T00:00:00"/>
        <d v="2010-05-01T00:00:00"/>
        <d v="2010-05-02T00:00:00"/>
        <d v="2010-05-03T00:00:00"/>
        <d v="2010-05-04T00:00:00"/>
        <d v="2010-05-05T00:00:00"/>
        <d v="2010-05-06T00:00:00"/>
        <d v="2010-05-07T00:00:00"/>
        <d v="2010-05-08T00:00:00"/>
        <d v="2010-05-09T00:00:00"/>
        <d v="2010-05-10T00:00:00"/>
        <d v="2010-05-11T00:00:00"/>
        <d v="2010-05-12T00:00:00"/>
        <d v="2010-05-13T00:00:00"/>
        <d v="2010-05-14T00:00:00"/>
        <d v="2010-05-15T00:00:00"/>
        <d v="2010-05-16T00:00:00"/>
        <d v="2010-05-17T00:00:00"/>
        <d v="2010-05-18T00:00:00"/>
        <d v="2010-05-19T00:00:00"/>
        <d v="2010-05-20T00:00:00"/>
        <d v="2010-05-21T00:00:00"/>
        <d v="2010-05-22T00:00:00"/>
        <d v="2010-05-23T00:00:00"/>
        <d v="2010-05-24T00:00:00"/>
        <d v="2010-05-25T00:00:00"/>
        <d v="2010-05-26T00:00:00"/>
        <d v="2010-05-27T00:00:00"/>
        <d v="2010-05-28T00:00:00"/>
        <d v="2010-05-29T00:00:00"/>
        <d v="2010-05-30T00:00:00"/>
        <d v="2010-05-31T00:00:00"/>
        <d v="2010-06-01T00:00:00"/>
        <d v="2010-06-02T00:00:00"/>
        <d v="2010-06-03T00:00:00"/>
        <d v="2010-06-04T00:00:00"/>
        <d v="2010-06-05T00:00:00"/>
        <d v="2010-06-06T00:00:00"/>
        <d v="2010-06-07T00:00:00"/>
        <d v="2010-06-08T00:00:00"/>
        <d v="2010-06-09T00:00:00"/>
        <d v="2010-06-10T00:00:00"/>
        <d v="2010-06-11T00:00:00"/>
        <d v="2010-06-12T00:00:00"/>
        <d v="2010-06-13T00:00:00"/>
        <d v="2010-06-14T00:00:00"/>
        <d v="2010-06-15T00:00:00"/>
        <d v="2010-06-16T00:00:00"/>
        <d v="2010-06-17T00:00:00"/>
        <d v="2010-06-18T00:00:00"/>
        <d v="2010-06-19T00:00:00"/>
        <d v="2010-06-20T00:00:00"/>
        <d v="2010-06-21T00:00:00"/>
        <d v="2010-06-22T00:00:00"/>
        <d v="2010-06-23T00:00:00"/>
        <d v="2010-06-24T00:00:00"/>
        <d v="2010-06-25T00:00:00"/>
        <d v="2010-06-26T00:00:00"/>
        <d v="2010-06-27T00:00:00"/>
        <d v="2010-06-28T00:00:00"/>
        <d v="2010-06-29T00:00:00"/>
        <d v="2010-06-30T00:00:00"/>
        <d v="2010-07-01T00:00:00"/>
        <d v="2010-07-02T00:00:00"/>
        <d v="2010-07-03T00:00:00"/>
        <d v="2010-07-04T00:00:00"/>
        <d v="2010-07-05T00:00:00"/>
        <d v="2010-07-06T00:00:00"/>
        <d v="2010-07-07T00:00:00"/>
        <d v="2010-07-08T00:00:00"/>
        <d v="2010-07-09T00:00:00"/>
        <d v="2010-07-10T00:00:00"/>
        <d v="2010-07-11T00:00:00"/>
        <d v="2010-07-12T00:00:00"/>
        <d v="2010-07-13T00:00:00"/>
        <d v="2010-07-14T00:00:00"/>
        <d v="2010-07-15T00:00:00"/>
        <d v="2010-07-16T00:00:00"/>
        <d v="2010-07-17T00:00:00"/>
        <d v="2010-07-18T00:00:00"/>
        <d v="2010-07-19T00:00:00"/>
        <d v="2010-07-20T00:00:00"/>
        <d v="2010-07-21T00:00:00"/>
        <d v="2010-07-22T00:00:00"/>
        <d v="2010-07-23T00:00:00"/>
        <d v="2010-07-24T00:00:00"/>
        <d v="2010-07-25T00:00:00"/>
        <d v="2010-07-26T00:00:00"/>
        <d v="2010-07-27T00:00:00"/>
        <d v="2010-07-28T00:00:00"/>
        <d v="2010-07-29T00:00:00"/>
        <d v="2010-07-30T00:00:00"/>
        <d v="2010-07-31T00:00:00"/>
        <d v="2010-08-01T00:00:00"/>
        <d v="2010-08-02T00:00:00"/>
        <d v="2010-08-03T00:00:00"/>
        <d v="2010-08-04T00:00:00"/>
        <d v="2010-08-05T00:00:00"/>
        <d v="2010-08-06T00:00:00"/>
        <d v="2010-08-07T00:00:00"/>
        <d v="2010-08-08T00:00:00"/>
        <d v="2010-08-09T00:00:00"/>
        <d v="2010-08-10T00:00:00"/>
        <d v="2010-08-11T00:00:00"/>
        <d v="2010-08-12T00:00:00"/>
        <d v="2010-08-13T00:00:00"/>
        <d v="2010-08-14T00:00:00"/>
        <d v="2010-08-15T00:00:00"/>
        <d v="2010-08-16T00:00:00"/>
        <d v="2010-08-17T00:00:00"/>
        <d v="2010-08-18T00:00:00"/>
        <d v="2010-08-19T00:00:00"/>
        <d v="2010-08-20T00:00:00"/>
        <d v="2010-08-21T00:00:00"/>
        <d v="2010-08-22T00:00:00"/>
        <d v="2010-08-23T00:00:00"/>
        <d v="2010-08-24T00:00:00"/>
        <d v="2010-08-25T00:00:00"/>
        <d v="2010-08-26T00:00:00"/>
        <d v="2010-08-27T00:00:00"/>
        <d v="2010-08-28T00:00:00"/>
        <d v="2010-08-29T00:00:00"/>
        <d v="2010-08-30T00:00:00"/>
        <d v="2010-08-31T00:00:00"/>
        <d v="2010-09-01T00:00:00"/>
        <d v="2010-09-02T00:00:00"/>
        <d v="2010-09-03T00:00:00"/>
        <d v="2010-09-04T00:00:00"/>
        <d v="2010-09-05T00:00:00"/>
        <d v="2010-09-06T00:00:00"/>
        <d v="2010-09-07T00:00:00"/>
        <d v="2010-09-08T00:00:00"/>
        <d v="2010-09-09T00:00:00"/>
        <d v="2010-09-10T00:00:00"/>
        <d v="2010-09-11T00:00:00"/>
        <d v="2010-09-12T00:00:00"/>
        <d v="2010-09-13T00:00:00"/>
        <d v="2010-09-14T00:00:00"/>
        <d v="2010-09-15T00:00:00"/>
        <d v="2010-09-16T00:00:00"/>
        <d v="2010-09-17T00:00:00"/>
        <d v="2010-09-18T00:00:00"/>
        <d v="2010-09-19T00:00:00"/>
        <d v="2010-09-20T00:00:00"/>
        <d v="2010-09-21T00:00:00"/>
        <d v="2010-09-22T00:00:00"/>
        <d v="2010-09-23T00:00:00"/>
        <d v="2010-09-24T00:00:00"/>
        <d v="2010-09-25T00:00:00"/>
        <d v="2010-09-26T00:00:00"/>
        <d v="2010-09-27T00:00:00"/>
        <d v="2010-09-28T00:00:00"/>
        <d v="2010-09-29T00:00:00"/>
        <d v="2010-09-30T00:00:00"/>
        <d v="2010-10-01T00:00:00"/>
        <d v="2010-10-02T00:00:00"/>
        <d v="2010-10-03T00:00:00"/>
        <d v="2010-10-04T00:00:00"/>
        <d v="2010-10-05T00:00:00"/>
        <d v="2010-10-06T00:00:00"/>
        <d v="2010-10-07T00:00:00"/>
        <d v="2010-10-08T00:00:00"/>
        <d v="2010-10-09T00:00:00"/>
        <d v="2010-10-10T00:00:00"/>
        <d v="2010-10-11T00:00:00"/>
        <d v="2010-10-12T00:00:00"/>
        <d v="2010-10-13T00:00:00"/>
        <d v="2010-10-14T00:00:00"/>
        <d v="2010-10-15T00:00:00"/>
        <d v="2010-10-16T00:00:00"/>
        <d v="2010-10-17T00:00:00"/>
        <d v="2010-10-18T00:00:00"/>
        <d v="2010-10-19T00:00:00"/>
        <d v="2010-10-20T00:00:00"/>
        <d v="2010-10-21T00:00:00"/>
        <d v="2010-10-22T00:00:00"/>
        <d v="2010-10-23T00:00:00"/>
        <d v="2010-10-24T00:00:00"/>
        <d v="2010-10-25T00:00:00"/>
        <d v="2010-10-26T00:00:00"/>
        <d v="2010-10-27T00:00:00"/>
        <d v="2010-10-28T00:00:00"/>
        <d v="2010-10-29T00:00:00"/>
        <d v="2010-10-30T00:00:00"/>
        <d v="2010-10-31T00:00:00"/>
        <d v="2010-11-01T00:00:00"/>
        <d v="2010-11-02T00:00:00"/>
        <d v="2010-11-03T00:00:00"/>
        <d v="2010-11-04T00:00:00"/>
        <d v="2010-11-05T00:00:00"/>
        <d v="2010-11-06T00:00:00"/>
        <d v="2010-11-07T00:00:00"/>
        <d v="2010-11-08T00:00:00"/>
        <d v="2010-11-09T00:00:00"/>
        <d v="2010-11-10T00:00:00"/>
        <d v="2010-11-11T00:00:00"/>
        <d v="2010-11-12T00:00:00"/>
        <d v="2010-11-13T00:00:00"/>
        <d v="2010-11-14T00:00:00"/>
        <d v="2010-11-15T00:00:00"/>
        <d v="2010-11-16T00:00:00"/>
        <d v="2010-11-17T00:00:00"/>
        <d v="2010-11-18T00:00:00"/>
        <d v="2010-11-19T00:00:00"/>
        <d v="2010-11-20T00:00:00"/>
        <d v="2010-11-21T00:00:00"/>
        <d v="2010-11-22T00:00:00"/>
        <d v="2010-11-23T00:00:00"/>
        <d v="2010-11-24T00:00:00"/>
        <d v="2010-11-25T00:00:00"/>
        <d v="2010-11-26T00:00:00"/>
        <d v="2010-11-27T00:00:00"/>
        <d v="2010-11-28T00:00:00"/>
        <d v="2010-11-29T00:00:00"/>
        <d v="2010-11-30T00:00:00"/>
        <d v="2010-12-01T00:00:00"/>
        <d v="2010-12-02T00:00:00"/>
        <d v="2010-12-03T00:00:00"/>
        <d v="2010-12-04T00:00:00"/>
        <d v="2010-12-05T00:00:00"/>
        <d v="2010-12-06T00:00:00"/>
        <d v="2010-12-07T00:00:00"/>
        <d v="2010-12-08T00:00:00"/>
        <d v="2010-12-09T00:00:00"/>
        <d v="2010-12-10T00:00:00"/>
        <d v="2010-12-11T00:00:00"/>
        <d v="2010-12-12T00:00:00"/>
        <d v="2010-12-13T00:00:00"/>
        <d v="2010-12-14T00:00:00"/>
        <d v="2010-12-15T00:00:00"/>
        <d v="2010-12-16T00:00:00"/>
        <d v="2010-12-17T00:00:00"/>
        <d v="2010-12-18T00:00:00"/>
        <d v="2010-12-19T00:00:00"/>
        <d v="2010-12-20T00:00:00"/>
        <d v="2010-12-21T00:00:00"/>
        <d v="2010-12-22T00:00:00"/>
        <d v="2010-12-23T00:00:00"/>
        <d v="2010-12-24T00:00:00"/>
        <d v="2010-12-25T00:00:00"/>
        <d v="2010-12-26T00:00:00"/>
        <d v="2010-12-27T00:00:00"/>
        <d v="2010-12-28T00:00:00"/>
        <d v="2010-12-29T00:00:00"/>
        <d v="2010-12-30T00:00:00"/>
        <d v="2010-12-31T00:00:00"/>
        <d v="2011-01-01T00:00:00"/>
        <d v="2011-01-02T00:00:00"/>
        <d v="2011-01-03T00:00:00"/>
        <d v="2011-01-04T00:00:00"/>
        <d v="2011-01-05T00:00:00"/>
        <d v="2011-01-06T00:00:00"/>
        <d v="2011-01-07T00:00:00"/>
        <d v="2011-01-08T00:00:00"/>
        <d v="2011-01-09T00:00:00"/>
        <d v="2011-01-10T00:00:00"/>
        <d v="2011-01-11T00:00:00"/>
        <d v="2011-01-12T00:00:00"/>
        <d v="2011-01-13T00:00:00"/>
        <d v="2011-01-14T00:00:00"/>
        <d v="2011-01-15T00:00:00"/>
        <d v="2011-01-16T00:00:00"/>
        <d v="2011-01-17T00:00:00"/>
        <d v="2011-01-18T00:00:00"/>
        <d v="2011-01-19T00:00:00"/>
        <d v="2011-01-20T00:00:00"/>
        <d v="2011-01-21T00:00:00"/>
        <d v="2011-01-22T00:00:00"/>
        <d v="2011-01-23T00:00:00"/>
        <d v="2011-01-24T00:00:00"/>
        <d v="2011-01-25T00:00:00"/>
        <d v="2011-01-26T00:00:00"/>
        <d v="2011-01-27T00:00:00"/>
        <d v="2011-01-28T00:00:00"/>
        <d v="2011-01-29T00:00:00"/>
        <d v="2011-01-30T00:00:00"/>
        <d v="2011-01-31T00:00:00"/>
        <d v="2011-02-01T00:00:00"/>
        <d v="2011-02-02T00:00:00"/>
        <d v="2011-02-03T00:00:00"/>
        <d v="2011-02-04T00:00:00"/>
        <d v="2011-02-05T00:00:00"/>
        <d v="2011-02-06T00:00:00"/>
        <d v="2011-02-07T00:00:00"/>
        <d v="2011-02-08T00:00:00"/>
        <d v="2011-02-09T00:00:00"/>
        <d v="2011-02-10T00:00:00"/>
        <d v="2011-02-11T00:00:00"/>
        <d v="2011-02-12T00:00:00"/>
        <d v="2011-02-13T00:00:00"/>
        <d v="2011-02-14T00:00:00"/>
        <d v="2011-02-15T00:00:00"/>
        <d v="2011-02-16T00:00:00"/>
        <d v="2011-02-17T00:00:00"/>
        <d v="2011-02-18T00:00:00"/>
        <d v="2011-02-19T00:00:00"/>
        <d v="2011-02-20T00:00:00"/>
        <d v="2011-02-21T00:00:00"/>
        <d v="2011-02-22T00:00:00"/>
        <d v="2011-02-23T00:00:00"/>
        <d v="2011-02-24T00:00:00"/>
        <d v="2011-02-25T00:00:00"/>
        <d v="2011-02-26T00:00:00"/>
        <d v="2011-02-27T00:00:00"/>
        <d v="2011-02-28T00:00:00"/>
        <d v="2011-03-01T00:00:00"/>
        <d v="2011-03-02T00:00:00"/>
        <d v="2011-03-03T00:00:00"/>
        <d v="2011-03-04T00:00:00"/>
        <d v="2011-03-05T00:00:00"/>
        <d v="2011-03-06T00:00:00"/>
        <d v="2011-03-07T00:00:00"/>
        <d v="2011-03-08T00:00:00"/>
        <d v="2011-03-09T00:00:00"/>
        <d v="2011-03-10T00:00:00"/>
        <d v="2011-03-11T00:00:00"/>
        <d v="2011-03-12T00:00:00"/>
        <d v="2011-03-13T00:00:00"/>
        <d v="2011-03-14T00:00:00"/>
        <d v="2011-03-15T00:00:00"/>
        <d v="2011-03-16T00:00:00"/>
        <d v="2011-03-17T00:00:00"/>
        <d v="2011-03-18T00:00:00"/>
        <d v="2011-03-19T00:00:00"/>
        <d v="2011-03-20T00:00:00"/>
        <d v="2011-03-21T00:00:00"/>
        <d v="2011-03-22T00:00:00"/>
        <d v="2011-03-23T00:00:00"/>
        <d v="2011-03-24T00:00:00"/>
        <d v="2011-03-25T00:00:00"/>
        <d v="2011-03-26T00:00:00"/>
        <d v="2011-03-27T00:00:00"/>
        <d v="2011-03-28T00:00:00"/>
        <d v="2011-03-29T00:00:00"/>
        <d v="2011-03-30T00:00:00"/>
        <d v="2011-03-31T00:00:00"/>
        <d v="2011-04-01T00:00:00"/>
        <d v="2011-04-02T00:00:00"/>
        <d v="2011-04-03T00:00:00"/>
        <d v="2011-04-04T00:00:00"/>
        <d v="2011-04-05T00:00:00"/>
        <d v="2011-04-06T00:00:00"/>
        <d v="2011-04-07T00:00:00"/>
        <d v="2011-04-08T00:00:00"/>
        <d v="2011-04-09T00:00:00"/>
        <d v="2011-04-10T00:00:00"/>
        <d v="2011-04-11T00:00:00"/>
        <d v="2011-04-12T00:00:00"/>
        <d v="2011-04-13T00:00:00"/>
        <d v="2011-04-14T00:00:00"/>
        <d v="2011-04-15T00:00:00"/>
        <d v="2011-04-16T00:00:00"/>
        <d v="2011-04-17T00:00:00"/>
        <d v="2011-04-18T00:00:00"/>
        <d v="2011-04-19T00:00:00"/>
        <d v="2011-04-20T00:00:00"/>
        <d v="2011-04-21T00:00:00"/>
        <d v="2011-04-22T00:00:00"/>
        <d v="2011-04-23T00:00:00"/>
        <d v="2011-04-24T00:00:00"/>
        <d v="2011-04-25T00:00:00"/>
        <d v="2011-04-26T00:00:00"/>
        <d v="2011-04-27T00:00:00"/>
        <d v="2011-04-28T00:00:00"/>
        <d v="2011-04-29T00:00:00"/>
        <d v="2011-04-30T00:00:00"/>
        <d v="2011-05-01T00:00:00"/>
        <d v="2011-05-02T00:00:00"/>
        <d v="2011-05-03T00:00:00"/>
        <d v="2011-05-04T00:00:00"/>
        <d v="2011-05-05T00:00:00"/>
        <d v="2011-05-06T00:00:00"/>
        <d v="2011-05-07T00:00:00"/>
        <d v="2011-05-08T00:00:00"/>
        <d v="2011-05-09T00:00:00"/>
        <d v="2011-05-10T00:00:00"/>
        <d v="2011-05-11T00:00:00"/>
        <d v="2011-05-12T00:00:00"/>
        <d v="2011-05-13T00:00:00"/>
        <d v="2011-05-14T00:00:00"/>
        <d v="2011-05-15T00:00:00"/>
        <d v="2011-05-16T00:00:00"/>
        <d v="2011-05-17T00:00:00"/>
        <d v="2011-05-18T00:00:00"/>
        <d v="2011-05-19T00:00:00"/>
        <d v="2011-05-20T00:00:00"/>
        <d v="2011-05-21T00:00:00"/>
        <d v="2011-05-22T00:00:00"/>
        <d v="2011-05-23T00:00:00"/>
        <d v="2011-05-24T00:00:00"/>
        <d v="2011-05-25T00:00:00"/>
        <d v="2011-05-26T00:00:00"/>
        <d v="2011-05-27T00:00:00"/>
        <d v="2011-05-28T00:00:00"/>
        <d v="2011-05-29T00:00:00"/>
        <d v="2011-05-30T00:00:00"/>
        <d v="2011-05-31T00:00:00"/>
        <d v="2011-06-01T00:00:00"/>
        <d v="2011-06-02T00:00:00"/>
        <d v="2011-06-03T00:00:00"/>
        <d v="2011-06-04T00:00:00"/>
        <d v="2011-06-05T00:00:00"/>
        <d v="2011-06-06T00:00:00"/>
        <d v="2011-06-07T00:00:00"/>
        <d v="2011-06-08T00:00:00"/>
        <d v="2011-06-09T00:00:00"/>
        <d v="2011-06-10T00:00:00"/>
        <d v="2011-06-11T00:00:00"/>
        <d v="2011-06-12T00:00:00"/>
        <d v="2011-06-13T00:00:00"/>
        <d v="2011-06-14T00:00:00"/>
        <d v="2011-06-15T00:00:00"/>
        <d v="2011-06-16T00:00:00"/>
        <d v="2011-06-17T00:00:00"/>
        <d v="2011-06-18T00:00:00"/>
        <d v="2011-06-19T00:00:00"/>
        <d v="2011-06-20T00:00:00"/>
        <d v="2011-06-21T00:00:00"/>
        <d v="2011-06-22T00:00:00"/>
        <d v="2011-06-23T00:00:00"/>
        <d v="2011-06-24T00:00:00"/>
        <d v="2011-06-25T00:00:00"/>
        <d v="2011-06-26T00:00:00"/>
        <d v="2011-06-27T00:00:00"/>
        <d v="2011-06-28T00:00:00"/>
        <d v="2011-06-29T00:00:00"/>
        <d v="2011-06-30T00:00:00"/>
        <d v="2011-07-01T00:00:00"/>
        <d v="2011-07-02T00:00:00"/>
        <d v="2011-07-03T00:00:00"/>
        <d v="2011-07-04T00:00:00"/>
        <d v="2011-07-05T00:00:00"/>
        <d v="2011-07-06T00:00:00"/>
        <d v="2011-07-07T00:00:00"/>
        <d v="2011-07-08T00:00:00"/>
        <d v="2011-07-09T00:00:00"/>
        <d v="2011-07-10T00:00:00"/>
        <d v="2011-07-11T00:00:00"/>
        <d v="2011-07-12T00:00:00"/>
        <d v="2011-07-13T00:00:00"/>
        <d v="2011-07-14T00:00:00"/>
        <d v="2011-07-15T00:00:00"/>
        <d v="2011-07-16T00:00:00"/>
        <d v="2011-07-17T00:00:00"/>
        <d v="2011-07-18T00:00:00"/>
        <d v="2011-07-19T00:00:00"/>
        <d v="2011-07-20T00:00:00"/>
        <d v="2011-07-21T00:00:00"/>
        <d v="2011-07-22T00:00:00"/>
        <d v="2011-07-23T00:00:00"/>
        <d v="2011-07-24T00:00:00"/>
        <d v="2011-07-25T00:00:00"/>
        <d v="2011-07-26T00:00:00"/>
        <d v="2011-07-27T00:00:00"/>
        <d v="2011-07-28T00:00:00"/>
        <d v="2011-07-29T00:00:00"/>
        <d v="2011-07-30T00:00:00"/>
        <d v="2011-07-31T00:00:00"/>
        <d v="2011-08-01T00:00:00"/>
        <d v="2011-08-02T00:00:00"/>
        <d v="2011-08-03T00:00:00"/>
        <d v="2011-08-04T00:00:00"/>
        <d v="2011-08-05T00:00:00"/>
        <d v="2011-08-06T00:00:00"/>
        <d v="2011-08-07T00:00:00"/>
        <d v="2011-08-08T00:00:00"/>
        <d v="2011-08-09T00:00:00"/>
        <d v="2011-08-10T00:00:00"/>
        <d v="2011-08-11T00:00:00"/>
        <d v="2011-08-12T00:00:00"/>
        <d v="2011-08-13T00:00:00"/>
        <d v="2011-08-14T00:00:00"/>
        <d v="2011-08-15T00:00:00"/>
        <d v="2011-08-16T00:00:00"/>
        <d v="2011-08-17T00:00:00"/>
        <d v="2011-08-18T00:00:00"/>
        <d v="2011-08-19T00:00:00"/>
        <d v="2011-08-20T00:00:00"/>
        <d v="2011-08-21T00:00:00"/>
        <d v="2011-08-22T00:00:00"/>
        <d v="2011-08-23T00:00:00"/>
        <d v="2011-08-24T00:00:00"/>
        <d v="2011-08-25T00:00:00"/>
        <d v="2011-08-26T00:00:00"/>
        <d v="2011-08-27T00:00:00"/>
        <d v="2011-08-28T00:00:00"/>
        <d v="2011-08-29T00:00:00"/>
        <d v="2011-08-30T00:00:00"/>
        <d v="2011-08-31T00:00:00"/>
        <d v="2011-09-01T00:00:00"/>
        <d v="2011-09-02T00:00:00"/>
        <d v="2011-09-03T00:00:00"/>
        <d v="2011-09-04T00:00:00"/>
        <d v="2011-09-05T00:00:00"/>
        <d v="2011-09-06T00:00:00"/>
        <d v="2011-09-07T00:00:00"/>
        <d v="2011-09-08T00:00:00"/>
        <d v="2011-09-09T00:00:00"/>
        <d v="2011-09-10T00:00:00"/>
        <d v="2011-09-11T00:00:00"/>
        <d v="2011-09-12T00:00:00"/>
        <d v="2011-09-13T00:00:00"/>
        <d v="2011-09-14T00:00:00"/>
        <d v="2011-09-15T00:00:00"/>
        <d v="2011-09-16T00:00:00"/>
        <d v="2011-09-17T00:00:00"/>
        <d v="2011-09-18T00:00:00"/>
        <d v="2011-09-19T00:00:00"/>
        <d v="2011-09-20T00:00:00"/>
        <d v="2011-09-21T00:00:00"/>
        <d v="2011-09-22T00:00:00"/>
        <d v="2011-09-23T00:00:00"/>
        <d v="2011-09-24T00:00:00"/>
        <d v="2011-09-25T00:00:00"/>
        <d v="2011-09-26T00:00:00"/>
        <d v="2011-09-27T00:00:00"/>
        <d v="2011-09-28T00:00:00"/>
        <d v="2011-09-29T00:00:00"/>
        <d v="2011-09-30T00:00:00"/>
        <d v="2011-10-01T00:00:00"/>
        <d v="2011-10-02T00:00:00"/>
        <d v="2011-10-03T00:00:00"/>
        <d v="2011-10-04T00:00:00"/>
        <d v="2011-10-05T00:00:00"/>
        <d v="2011-10-06T00:00:00"/>
        <d v="2011-10-07T00:00:00"/>
        <d v="2011-10-08T00:00:00"/>
        <d v="2011-10-09T00:00:00"/>
        <d v="2011-10-10T00:00:00"/>
        <d v="2011-10-11T00:00:00"/>
        <d v="2011-10-12T00:00:00"/>
        <d v="2011-10-13T00:00:00"/>
        <d v="2011-10-14T00:00:00"/>
        <d v="2011-10-15T00:00:00"/>
        <d v="2011-10-16T00:00:00"/>
        <d v="2011-10-17T00:00:00"/>
        <d v="2011-10-18T00:00:00"/>
        <d v="2011-10-19T00:00:00"/>
        <d v="2011-10-20T00:00:00"/>
        <d v="2011-10-21T00:00:00"/>
        <d v="2011-10-22T00:00:00"/>
        <d v="2011-10-23T00:00:00"/>
        <d v="2011-10-24T00:00:00"/>
        <d v="2011-10-25T00:00:00"/>
        <d v="2011-10-26T00:00:00"/>
        <d v="2011-10-27T00:00:00"/>
        <d v="2011-10-28T00:00:00"/>
        <d v="2011-10-29T00:00:00"/>
        <d v="2011-10-30T00:00:00"/>
        <d v="2011-10-31T00:00:00"/>
        <d v="2011-11-01T00:00:00"/>
        <d v="2011-11-02T00:00:00"/>
        <d v="2011-11-03T00:00:00"/>
        <d v="2011-11-04T00:00:00"/>
        <d v="2011-11-05T00:00:00"/>
        <d v="2011-11-06T00:00:00"/>
        <d v="2011-11-07T00:00:00"/>
        <d v="2011-11-08T00:00:00"/>
        <d v="2011-11-09T00:00:00"/>
        <d v="2011-11-10T00:00:00"/>
        <d v="2011-11-11T00:00:00"/>
        <d v="2011-11-12T00:00:00"/>
        <d v="2011-11-13T00:00:00"/>
        <d v="2011-11-14T00:00:00"/>
        <d v="2011-11-15T00:00:00"/>
        <d v="2011-11-16T00:00:00"/>
        <d v="2011-11-17T00:00:00"/>
        <d v="2011-11-18T00:00:00"/>
        <d v="2011-11-19T00:00:00"/>
        <d v="2011-11-20T00:00:00"/>
        <d v="2011-11-21T00:00:00"/>
        <d v="2011-11-22T00:00:00"/>
        <d v="2011-11-23T00:00:00"/>
        <d v="2011-11-24T00:00:00"/>
        <d v="2011-11-25T00:00:00"/>
        <d v="2011-11-26T00:00:00"/>
        <d v="2011-11-27T00:00:00"/>
        <d v="2011-11-28T00:00:00"/>
        <d v="2011-11-29T00:00:00"/>
        <d v="2011-11-30T00:00:00"/>
        <d v="2011-12-01T00:00:00"/>
        <d v="2011-12-02T00:00:00"/>
        <d v="2011-12-03T00:00:00"/>
        <d v="2011-12-04T00:00:00"/>
        <d v="2011-12-05T00:00:00"/>
        <d v="2011-12-06T00:00:00"/>
        <d v="2011-12-07T00:00:00"/>
        <d v="2011-12-08T00:00:00"/>
        <d v="2011-12-09T00:00:00"/>
        <d v="2011-12-10T00:00:00"/>
        <d v="2011-12-11T00:00:00"/>
        <d v="2011-12-12T00:00:00"/>
        <d v="2011-12-13T00:00:00"/>
        <d v="2011-12-14T00:00:00"/>
        <d v="2011-12-15T00:00:00"/>
        <d v="2011-12-16T00:00:00"/>
        <d v="2011-12-17T00:00:00"/>
        <d v="2011-12-18T00:00:00"/>
        <d v="2011-12-19T00:00:00"/>
        <d v="2011-12-20T00:00:00"/>
        <d v="2011-12-21T00:00:00"/>
        <d v="2011-12-22T00:00:00"/>
        <d v="2011-12-23T00:00:00"/>
        <d v="2011-12-24T00:00:00"/>
        <d v="2011-12-25T00:00:00"/>
        <d v="2011-12-26T00:00:00"/>
        <d v="2011-12-27T00:00:00"/>
        <d v="2011-12-28T00:00:00"/>
        <d v="2011-12-29T00:00:00"/>
        <d v="2011-12-30T00:00:00"/>
        <d v="2011-12-31T00:00:00"/>
        <d v="2012-01-01T00:00:00"/>
        <d v="2012-01-02T00:00:00"/>
        <d v="2012-01-03T00:00:00"/>
        <d v="2012-01-04T00:00:00"/>
        <d v="2012-01-05T00:00:00"/>
        <d v="2012-01-06T00:00:00"/>
        <d v="2012-01-07T00:00:00"/>
        <d v="2012-01-08T00:00:00"/>
        <d v="2012-01-09T00:00:00"/>
        <d v="2012-01-10T00:00:00"/>
        <d v="2012-01-11T00:00:00"/>
        <d v="2012-01-12T00:00:00"/>
        <d v="2012-01-13T00:00:00"/>
        <d v="2012-01-14T00:00:00"/>
        <d v="2012-01-15T00:00:00"/>
        <d v="2012-01-16T00:00:00"/>
        <d v="2012-01-17T00:00:00"/>
        <d v="2012-01-18T00:00:00"/>
        <d v="2012-01-19T00:00:00"/>
        <d v="2012-01-20T00:00:00"/>
        <d v="2012-01-21T00:00:00"/>
        <d v="2012-01-22T00:00:00"/>
        <d v="2012-01-23T00:00:00"/>
        <d v="2012-01-24T00:00:00"/>
        <d v="2012-01-25T00:00:00"/>
        <d v="2012-01-26T00:00:00"/>
        <d v="2012-01-27T00:00:00"/>
        <d v="2012-01-28T00:00:00"/>
        <d v="2012-01-29T00:00:00"/>
        <d v="2012-01-30T00:00:00"/>
        <d v="2012-01-31T00:00:00"/>
        <d v="2012-02-01T00:00:00"/>
        <d v="2012-02-02T00:00:00"/>
        <d v="2012-02-03T00:00:00"/>
        <d v="2012-02-04T00:00:00"/>
        <d v="2012-02-05T00:00:00"/>
        <d v="2012-02-06T00:00:00"/>
        <d v="2012-02-07T00:00:00"/>
        <d v="2012-02-08T00:00:00"/>
        <d v="2012-02-09T00:00:00"/>
        <d v="2012-02-10T00:00:00"/>
        <d v="2012-02-11T00:00:00"/>
        <d v="2012-02-12T00:00:00"/>
        <d v="2012-02-13T00:00:00"/>
        <d v="2012-02-14T00:00:00"/>
        <d v="2012-02-15T00:00:00"/>
        <d v="2012-02-16T00:00:00"/>
        <d v="2012-02-17T00:00:00"/>
        <d v="2012-02-18T00:00:00"/>
        <d v="2012-02-19T00:00:00"/>
        <d v="2012-02-20T00:00:00"/>
        <d v="2012-02-21T00:00:00"/>
        <d v="2012-02-22T00:00:00"/>
        <d v="2012-02-23T00:00:00"/>
        <d v="2012-02-24T00:00:00"/>
        <d v="2012-02-25T00:00:00"/>
        <d v="2012-02-26T00:00:00"/>
        <d v="2012-02-27T00:00:00"/>
        <d v="2012-02-28T00:00:00"/>
        <d v="2012-02-29T00:00:00"/>
        <d v="2012-03-01T00:00:00"/>
        <d v="2012-03-02T00:00:00"/>
        <d v="2012-03-03T00:00:00"/>
        <d v="2012-03-04T00:00:00"/>
        <d v="2012-03-05T00:00:00"/>
        <d v="2012-03-06T00:00:00"/>
        <d v="2012-03-07T00:00:00"/>
        <d v="2012-03-08T00:00:00"/>
        <d v="2012-03-09T00:00:00"/>
        <d v="2012-03-10T00:00:00"/>
        <d v="2012-03-11T00:00:00"/>
        <d v="2012-03-12T00:00:00"/>
        <d v="2012-03-13T00:00:00"/>
        <d v="2012-03-14T00:00:00"/>
        <d v="2012-03-15T00:00:00"/>
        <d v="2012-03-16T00:00:00"/>
        <d v="2012-03-17T00:00:00"/>
        <d v="2012-03-18T00:00:00"/>
        <d v="2012-03-19T00:00:00"/>
        <d v="2012-03-20T00:00:00"/>
        <d v="2012-03-21T00:00:00"/>
        <d v="2012-03-22T00:00:00"/>
        <d v="2012-03-23T00:00:00"/>
        <d v="2012-03-24T00:00:00"/>
        <d v="2012-03-25T00:00:00"/>
        <d v="2012-03-26T00:00:00"/>
        <d v="2012-03-27T00:00:00"/>
        <d v="2012-03-28T00:00:00"/>
        <d v="2012-03-29T00:00:00"/>
        <d v="2012-03-30T00:00:00"/>
        <d v="2012-03-31T00:00:00"/>
        <d v="2012-04-01T00:00:00"/>
        <d v="2012-04-02T00:00:00"/>
        <d v="2012-04-03T00:00:00"/>
        <d v="2012-04-04T00:00:00"/>
        <d v="2012-04-05T00:00:00"/>
        <d v="2012-04-06T00:00:00"/>
        <d v="2012-04-07T00:00:00"/>
        <d v="2012-04-08T00:00:00"/>
        <d v="2012-04-09T00:00:00"/>
        <d v="2012-04-10T00:00:00"/>
        <d v="2012-04-11T00:00:00"/>
        <d v="2012-04-12T00:00:00"/>
        <d v="2012-04-13T00:00:00"/>
        <d v="2012-04-14T00:00:00"/>
        <d v="2012-04-15T00:00:00"/>
        <d v="2012-04-16T00:00:00"/>
        <d v="2012-04-17T00:00:00"/>
        <d v="2012-04-18T00:00:00"/>
        <d v="2012-04-19T00:00:00"/>
        <d v="2012-04-20T00:00:00"/>
        <d v="2012-04-21T00:00:00"/>
        <d v="2012-04-22T00:00:00"/>
        <d v="2012-04-23T00:00:00"/>
        <d v="2012-04-24T00:00:00"/>
        <d v="2012-04-25T00:00:00"/>
        <d v="2012-04-26T00:00:00"/>
        <d v="2012-04-27T00:00:00"/>
        <d v="2012-04-28T00:00:00"/>
        <d v="2012-04-29T00:00:00"/>
        <d v="2012-04-30T00:00:00"/>
        <d v="2012-05-01T00:00:00"/>
        <d v="2012-05-02T00:00:00"/>
        <d v="2012-05-03T00:00:00"/>
        <d v="2012-05-04T00:00:00"/>
        <d v="2012-05-05T00:00:00"/>
        <d v="2012-05-06T00:00:00"/>
        <d v="2012-05-07T00:00:00"/>
        <d v="2012-05-08T00:00:00"/>
        <d v="2012-05-09T00:00:00"/>
        <d v="2012-05-10T00:00:00"/>
        <d v="2012-05-11T00:00:00"/>
        <d v="2012-05-12T00:00:00"/>
        <d v="2012-05-13T00:00:00"/>
        <d v="2012-05-14T00:00:00"/>
        <d v="2012-05-15T00:00:00"/>
        <d v="2012-05-16T00:00:00"/>
        <d v="2012-05-17T00:00:00"/>
        <d v="2012-05-18T00:00:00"/>
        <d v="2012-05-19T00:00:00"/>
        <d v="2012-05-20T00:00:00"/>
        <d v="2012-05-21T00:00:00"/>
        <d v="2012-05-22T00:00:00"/>
        <d v="2012-05-23T00:00:00"/>
        <d v="2012-05-24T00:00:00"/>
        <d v="2012-05-25T00:00:00"/>
        <d v="2012-05-26T00:00:00"/>
        <d v="2012-05-27T00:00:00"/>
        <d v="2012-05-28T00:00:00"/>
        <d v="2012-05-29T00:00:00"/>
        <d v="2012-05-30T00:00:00"/>
        <d v="2012-05-31T00:00:00"/>
        <d v="2012-06-01T00:00:00"/>
        <d v="2012-06-02T00:00:00"/>
        <d v="2012-06-03T00:00:00"/>
        <d v="2012-06-04T00:00:00"/>
        <d v="2012-06-05T00:00:00"/>
        <d v="2012-06-06T00:00:00"/>
        <d v="2012-06-07T00:00:00"/>
        <d v="2012-06-08T00:00:00"/>
        <d v="2012-06-09T00:00:00"/>
        <d v="2012-06-10T00:00:00"/>
        <d v="2012-06-11T00:00:00"/>
        <d v="2012-06-12T00:00:00"/>
        <d v="2012-06-13T00:00:00"/>
        <d v="2012-06-14T00:00:00"/>
        <d v="2012-06-15T00:00:00"/>
        <d v="2012-06-16T00:00:00"/>
        <d v="2012-06-17T00:00:00"/>
        <d v="2012-06-18T00:00:00"/>
        <d v="2012-06-19T00:00:00"/>
        <d v="2012-06-20T00:00:00"/>
        <d v="2012-06-21T00:00:00"/>
        <d v="2012-06-22T00:00:00"/>
        <d v="2012-06-23T00:00:00"/>
        <d v="2012-06-24T00:00:00"/>
        <d v="2012-06-25T00:00:00"/>
        <d v="2012-06-26T00:00:00"/>
        <d v="2012-06-27T00:00:00"/>
        <d v="2012-06-28T00:00:00"/>
        <d v="2012-06-29T00:00:00"/>
        <d v="2012-06-30T00:00:00"/>
        <d v="2012-07-01T00:00:00"/>
        <d v="2012-07-02T00:00:00"/>
        <d v="2012-07-03T00:00:00"/>
        <d v="2012-07-04T00:00:00"/>
        <d v="2012-07-05T00:00:00"/>
        <d v="2012-07-06T00:00:00"/>
        <d v="2012-07-07T00:00:00"/>
        <d v="2012-07-08T00:00:00"/>
        <d v="2012-07-09T00:00:00"/>
        <d v="2012-07-10T00:00:00"/>
        <d v="2012-07-11T00:00:00"/>
        <d v="2012-07-12T00:00:00"/>
        <d v="2012-07-13T00:00:00"/>
        <d v="2012-07-14T00:00:00"/>
        <d v="2012-07-15T00:00:00"/>
        <d v="2012-07-16T00:00:00"/>
        <d v="2012-07-17T00:00:00"/>
        <d v="2012-07-18T00:00:00"/>
        <d v="2012-07-19T00:00:00"/>
        <d v="2012-07-20T00:00:00"/>
        <d v="2012-07-21T00:00:00"/>
        <d v="2012-07-22T00:00:00"/>
        <d v="2012-07-23T00:00:00"/>
        <d v="2012-07-24T00:00:00"/>
        <d v="2012-07-25T00:00:00"/>
        <d v="2012-07-26T00:00:00"/>
        <d v="2012-07-27T00:00:00"/>
        <d v="2012-07-28T00:00:00"/>
        <d v="2012-07-29T00:00:00"/>
        <d v="2012-07-30T00:00:00"/>
        <d v="2012-07-31T00:00:00"/>
        <d v="2012-08-01T00:00:00"/>
        <d v="2012-08-02T00:00:00"/>
        <d v="2012-08-03T00:00:00"/>
        <d v="2012-08-04T00:00:00"/>
        <d v="2012-08-05T00:00:00"/>
        <d v="2012-08-06T00:00:00"/>
        <d v="2012-08-07T00:00:00"/>
        <d v="2012-08-08T00:00:00"/>
        <d v="2012-08-09T00:00:00"/>
        <d v="2012-08-10T00:00:00"/>
        <d v="2012-08-11T00:00:00"/>
        <d v="2012-08-12T00:00:00"/>
        <d v="2012-08-13T00:00:00"/>
        <d v="2012-08-14T00:00:00"/>
        <d v="2012-08-15T00:00:00"/>
        <d v="2012-08-16T00:00:00"/>
        <d v="2012-08-17T00:00:00"/>
        <d v="2012-08-18T00:00:00"/>
        <d v="2012-08-19T00:00:00"/>
        <d v="2012-08-20T00:00:00"/>
        <d v="2012-08-21T00:00:00"/>
        <d v="2012-08-22T00:00:00"/>
        <d v="2012-08-23T00:00:00"/>
        <d v="2012-08-24T00:00:00"/>
        <d v="2012-08-25T00:00:00"/>
        <d v="2012-08-26T00:00:00"/>
        <d v="2012-08-27T00:00:00"/>
        <d v="2012-08-28T00:00:00"/>
        <d v="2012-08-29T00:00:00"/>
        <d v="2012-08-30T00:00:00"/>
        <d v="2012-08-31T00:00:00"/>
        <d v="2012-09-01T00:00:00"/>
        <d v="2012-09-02T00:00:00"/>
        <d v="2012-09-03T00:00:00"/>
        <d v="2012-09-04T00:00:00"/>
        <d v="2012-09-05T00:00:00"/>
        <d v="2012-09-06T00:00:00"/>
        <d v="2012-09-07T00:00:00"/>
        <d v="2012-09-08T00:00:00"/>
        <d v="2012-09-09T00:00:00"/>
        <d v="2012-09-10T00:00:00"/>
        <d v="2012-09-11T00:00:00"/>
        <d v="2012-09-12T00:00:00"/>
        <d v="2012-09-13T00:00:00"/>
        <d v="2012-09-14T00:00:00"/>
        <d v="2012-09-15T00:00:00"/>
        <d v="2012-09-16T00:00:00"/>
        <d v="2012-09-17T00:00:00"/>
        <d v="2012-09-18T00:00:00"/>
        <d v="2012-09-19T00:00:00"/>
        <d v="2012-09-20T00:00:00"/>
        <d v="2012-09-21T00:00:00"/>
        <d v="2012-09-22T00:00:00"/>
        <d v="2012-09-23T00:00:00"/>
        <d v="2012-09-24T00:00:00"/>
        <d v="2012-09-25T00:00:00"/>
        <d v="2012-09-26T00:00:00"/>
        <d v="2012-09-27T00:00:00"/>
        <d v="2012-09-28T00:00:00"/>
        <d v="2012-09-29T00:00:00"/>
        <d v="2012-09-30T00:00:00"/>
        <d v="2012-10-01T00:00:00"/>
        <d v="2012-10-02T00:00:00"/>
        <d v="2012-10-03T00:00:00"/>
        <d v="2012-10-04T00:00:00"/>
        <d v="2012-10-05T00:00:00"/>
        <d v="2012-10-06T00:00:00"/>
        <d v="2012-10-07T00:00:00"/>
        <d v="2012-10-08T00:00:00"/>
        <d v="2012-10-09T00:00:00"/>
        <d v="2012-10-10T00:00:00"/>
        <d v="2012-10-11T00:00:00"/>
        <d v="2012-10-12T00:00:00"/>
        <d v="2012-10-13T00:00:00"/>
        <d v="2012-10-14T00:00:00"/>
        <d v="2012-10-15T00:00:00"/>
        <d v="2012-10-16T00:00:00"/>
        <d v="2012-10-17T00:00:00"/>
        <d v="2012-10-18T00:00:00"/>
        <d v="2012-10-19T00:00:00"/>
        <d v="2012-10-20T00:00:00"/>
        <d v="2012-10-21T00:00:00"/>
        <d v="2012-10-22T00:00:00"/>
        <d v="2012-10-23T00:00:00"/>
        <d v="2012-10-24T00:00:00"/>
        <d v="2012-10-25T00:00:00"/>
        <d v="2012-10-26T00:00:00"/>
        <d v="2012-10-27T00:00:00"/>
        <d v="2012-10-28T00:00:00"/>
        <d v="2012-10-29T00:00:00"/>
        <d v="2012-10-30T00:00:00"/>
        <d v="2012-10-31T00:00:00"/>
        <d v="2012-11-01T00:00:00"/>
        <d v="2012-11-02T00:00:00"/>
        <d v="2012-11-03T00:00:00"/>
        <d v="2012-11-04T00:00:00"/>
        <d v="2012-11-05T00:00:00"/>
        <d v="2012-11-06T00:00:00"/>
        <d v="2012-11-07T00:00:00"/>
        <d v="2012-11-08T00:00:00"/>
        <d v="2012-11-09T00:00:00"/>
        <d v="2012-11-10T00:00:00"/>
        <d v="2012-11-11T00:00:00"/>
        <d v="2012-11-12T00:00:00"/>
        <d v="2012-11-13T00:00:00"/>
        <d v="2012-11-14T00:00:00"/>
        <d v="2012-11-15T00:00:00"/>
        <d v="2012-11-16T00:00:00"/>
        <d v="2012-11-17T00:00:00"/>
        <d v="2012-11-18T00:00:00"/>
        <d v="2012-11-19T00:00:00"/>
        <d v="2012-11-20T00:00:00"/>
        <d v="2012-11-21T00:00:00"/>
        <d v="2012-11-22T00:00:00"/>
        <d v="2012-11-23T00:00:00"/>
        <d v="2012-11-24T00:00:00"/>
        <d v="2012-11-25T00:00:00"/>
        <d v="2012-11-26T00:00:00"/>
        <d v="2012-11-27T00:00:00"/>
        <d v="2012-11-28T00:00:00"/>
        <d v="2012-11-29T00:00:00"/>
        <d v="2012-11-30T00:00:00"/>
        <d v="2012-12-01T00:00:00"/>
        <d v="2012-12-02T00:00:00"/>
        <d v="2012-12-03T00:00:00"/>
        <d v="2012-12-04T00:00:00"/>
        <d v="2012-12-05T00:00:00"/>
        <d v="2012-12-06T00:00:00"/>
        <d v="2012-12-07T00:00:00"/>
        <d v="2012-12-08T00:00:00"/>
        <d v="2012-12-09T00:00:00"/>
        <d v="2012-12-10T00:00:00"/>
        <d v="2012-12-11T00:00:00"/>
        <d v="2012-12-12T00:00:00"/>
        <d v="2012-12-13T00:00:00"/>
        <d v="2012-12-14T00:00:00"/>
        <d v="2012-12-15T00:00:00"/>
        <d v="2012-12-16T00:00:00"/>
        <d v="2012-12-17T00:00:00"/>
        <d v="2012-12-18T00:00:00"/>
        <d v="2012-12-19T00:00:00"/>
        <d v="2012-12-20T00:00:00"/>
        <d v="2012-12-21T00:00:00"/>
        <d v="2012-12-22T00:00:00"/>
        <d v="2012-12-23T00:00:00"/>
        <d v="2012-12-24T00:00:00"/>
        <d v="2012-12-25T00:00:00"/>
        <d v="2012-12-26T00:00:00"/>
        <d v="2012-12-27T00:00:00"/>
        <d v="2012-12-28T00:00:00"/>
        <d v="2012-12-29T00:00:00"/>
        <d v="2012-12-30T00:00:00"/>
        <d v="2012-12-31T00:00:00"/>
        <d v="2013-01-01T00:00:00"/>
        <d v="2013-01-02T00:00:00"/>
        <d v="2013-01-03T00:00:00"/>
        <d v="2013-01-04T00:00:00"/>
        <d v="2013-01-05T00:00:00"/>
        <d v="2013-01-06T00:00:00"/>
        <d v="2013-01-07T00:00:00"/>
        <d v="2013-01-08T00:00:00"/>
        <d v="2013-01-09T00:00:00"/>
        <d v="2013-01-10T00:00:00"/>
        <d v="2013-01-11T00:00:00"/>
        <d v="2013-01-12T00:00:00"/>
        <d v="2013-01-13T00:00:00"/>
        <d v="2013-01-14T00:00:00"/>
        <d v="2013-01-15T00:00:00"/>
        <d v="2013-01-16T00:00:00"/>
        <d v="2013-01-17T00:00:00"/>
        <d v="2013-01-18T00:00:00"/>
        <d v="2013-01-19T00:00:00"/>
        <d v="2013-01-20T00:00:00"/>
        <d v="2013-01-21T00:00:00"/>
        <d v="2013-01-22T00:00:00"/>
        <d v="2013-01-23T00:00:00"/>
        <d v="2013-01-24T00:00:00"/>
        <d v="2013-01-25T00:00:00"/>
        <d v="2013-01-26T00:00:00"/>
        <d v="2013-01-27T00:00:00"/>
        <d v="2013-01-28T00:00:00"/>
        <d v="2013-01-29T00:00:00"/>
        <d v="2013-01-30T00:00:00"/>
        <d v="2013-01-31T00:00:00"/>
        <d v="2013-02-01T00:00:00"/>
        <d v="2013-02-02T00:00:00"/>
        <d v="2013-02-03T00:00:00"/>
        <d v="2013-02-04T00:00:00"/>
        <d v="2013-02-05T00:00:00"/>
        <d v="2013-02-06T00:00:00"/>
        <d v="2013-02-07T00:00:00"/>
        <d v="2013-02-08T00:00:00"/>
        <d v="2013-02-09T00:00:00"/>
        <d v="2013-02-10T00:00:00"/>
        <d v="2013-02-11T00:00:00"/>
        <d v="2013-02-12T00:00:00"/>
        <d v="2013-02-13T00:00:00"/>
        <d v="2013-02-14T00:00:00"/>
        <d v="2013-02-15T00:00:00"/>
        <d v="2013-02-16T00:00:00"/>
        <d v="2013-02-17T00:00:00"/>
        <d v="2013-02-18T00:00:00"/>
        <d v="2013-02-19T00:00:00"/>
        <d v="2013-02-20T00:00:00"/>
        <d v="2013-02-21T00:00:00"/>
        <d v="2013-02-22T00:00:00"/>
        <d v="2013-02-23T00:00:00"/>
        <d v="2013-02-24T00:00:00"/>
        <d v="2013-02-25T00:00:00"/>
        <d v="2013-02-26T00:00:00"/>
        <d v="2013-02-27T00:00:00"/>
        <d v="2013-02-28T00:00:00"/>
        <d v="2013-03-01T00:00:00"/>
        <d v="2013-03-02T00:00:00"/>
        <d v="2013-03-03T00:00:00"/>
        <d v="2013-03-04T00:00:00"/>
        <d v="2013-03-05T00:00:00"/>
        <d v="2013-03-06T00:00:00"/>
        <d v="2013-03-07T00:00:00"/>
        <d v="2013-03-08T00:00:00"/>
        <d v="2013-03-09T00:00:00"/>
        <d v="2013-03-10T00:00:00"/>
        <d v="2013-03-11T00:00:00"/>
        <d v="2013-03-12T00:00:00"/>
        <d v="2013-03-13T00:00:00"/>
        <d v="2013-03-14T00:00:00"/>
        <d v="2013-03-15T00:00:00"/>
        <d v="2013-03-16T00:00:00"/>
        <d v="2013-03-17T00:00:00"/>
        <d v="2013-03-18T00:00:00"/>
        <d v="2013-03-19T00:00:00"/>
        <d v="2013-03-20T00:00:00"/>
        <d v="2013-03-21T00:00:00"/>
        <d v="2013-03-22T00:00:00"/>
        <d v="2013-03-23T00:00:00"/>
        <d v="2013-03-24T00:00:00"/>
        <d v="2013-03-25T00:00:00"/>
        <d v="2013-03-26T00:00:00"/>
        <d v="2013-03-27T00:00:00"/>
        <d v="2013-03-28T00:00:00"/>
        <d v="2013-03-29T00:00:00"/>
        <d v="2013-03-30T00:00:00"/>
        <d v="2013-03-31T00:00:00"/>
        <d v="2013-04-01T00:00:00"/>
        <d v="2013-04-02T00:00:00"/>
        <d v="2013-04-03T00:00:00"/>
        <d v="2013-04-04T00:00:00"/>
        <d v="2013-04-05T00:00:00"/>
        <d v="2013-04-06T00:00:00"/>
        <d v="2013-04-07T00:00:00"/>
        <d v="2013-04-08T00:00:00"/>
        <d v="2013-04-09T00:00:00"/>
        <d v="2013-04-10T00:00:00"/>
        <d v="2013-04-11T00:00:00"/>
        <d v="2013-04-12T00:00:00"/>
        <d v="2013-04-13T00:00:00"/>
        <d v="2013-04-14T00:00:00"/>
        <d v="2013-04-15T00:00:00"/>
        <d v="2013-04-16T00:00:00"/>
        <d v="2013-04-17T00:00:00"/>
        <d v="2013-04-18T00:00:00"/>
        <d v="2013-04-19T00:00:00"/>
        <d v="2013-04-20T00:00:00"/>
        <d v="2013-04-21T00:00:00"/>
        <d v="2013-04-22T00:00:00"/>
        <d v="2013-04-23T00:00:00"/>
        <d v="2013-04-24T00:00:00"/>
        <d v="2013-04-25T00:00:00"/>
        <d v="2013-04-26T00:00:00"/>
        <d v="2013-04-27T00:00:00"/>
        <d v="2013-04-28T00:00:00"/>
        <d v="2013-04-29T00:00:00"/>
        <d v="2013-04-30T00:00:00"/>
        <d v="2013-05-01T00:00:00"/>
        <d v="2013-05-02T00:00:00"/>
        <d v="2013-05-03T00:00:00"/>
        <d v="2013-05-04T00:00:00"/>
        <d v="2013-05-05T00:00:00"/>
        <d v="2013-05-06T00:00:00"/>
        <d v="2013-05-07T00:00:00"/>
        <d v="2013-05-08T00:00:00"/>
        <d v="2013-05-09T00:00:00"/>
        <d v="2013-05-10T00:00:00"/>
        <d v="2013-05-11T00:00:00"/>
        <d v="2013-05-12T00:00:00"/>
        <d v="2013-05-13T00:00:00"/>
        <d v="2013-05-14T00:00:00"/>
        <d v="2013-05-15T00:00:00"/>
        <d v="2013-05-16T00:00:00"/>
        <d v="2013-05-17T00:00:00"/>
        <d v="2013-05-18T00:00:00"/>
        <d v="2013-05-19T00:00:00"/>
        <d v="2013-05-20T00:00:00"/>
        <d v="2013-05-21T00:00:00"/>
        <d v="2013-05-22T00:00:00"/>
        <d v="2013-05-23T00:00:00"/>
        <d v="2013-05-24T00:00:00"/>
        <d v="2013-05-25T00:00:00"/>
        <d v="2013-05-26T00:00:00"/>
        <d v="2013-05-27T00:00:00"/>
        <d v="2013-05-28T00:00:00"/>
        <d v="2013-05-29T00:00:00"/>
        <d v="2013-05-30T00:00:00"/>
        <d v="2013-05-31T00:00:00"/>
        <d v="2013-06-01T00:00:00"/>
        <d v="2013-06-02T00:00:00"/>
        <d v="2013-06-03T00:00:00"/>
        <d v="2013-06-04T00:00:00"/>
        <d v="2013-06-05T00:00:00"/>
        <d v="2013-06-06T00:00:00"/>
        <d v="2013-06-07T00:00:00"/>
        <d v="2013-06-08T00:00:00"/>
        <d v="2013-06-09T00:00:00"/>
        <d v="2013-06-10T00:00:00"/>
        <d v="2013-06-11T00:00:00"/>
        <d v="2013-06-12T00:00:00"/>
        <d v="2013-06-13T00:00:00"/>
        <d v="2013-06-14T00:00:00"/>
        <d v="2013-06-15T00:00:00"/>
        <d v="2013-06-16T00:00:00"/>
        <d v="2013-06-17T00:00:00"/>
        <d v="2013-06-18T00:00:00"/>
        <d v="2013-06-19T00:00:00"/>
        <d v="2013-06-20T00:00:00"/>
        <d v="2013-06-21T00:00:00"/>
        <d v="2013-06-22T00:00:00"/>
        <d v="2013-06-23T00:00:00"/>
        <d v="2013-06-24T00:00:00"/>
        <d v="2013-06-25T00:00:00"/>
        <d v="2013-06-26T00:00:00"/>
        <d v="2013-06-27T00:00:00"/>
        <d v="2013-06-28T00:00:00"/>
        <d v="2013-06-29T00:00:00"/>
        <d v="2013-06-30T00:00:00"/>
        <d v="2013-07-01T00:00:00"/>
        <d v="2013-07-02T00:00:00"/>
        <d v="2013-07-03T00:00:00"/>
        <d v="2013-07-04T00:00:00"/>
        <d v="2013-07-05T00:00:00"/>
        <d v="2013-07-06T00:00:00"/>
        <d v="2013-07-07T00:00:00"/>
        <d v="2013-07-08T00:00:00"/>
        <d v="2013-07-09T00:00:00"/>
        <d v="2013-07-10T00:00:00"/>
        <d v="2013-07-11T00:00:00"/>
        <d v="2013-07-12T00:00:00"/>
        <d v="2013-07-13T00:00:00"/>
        <d v="2013-07-14T00:00:00"/>
        <d v="2013-07-15T00:00:00"/>
        <d v="2013-07-16T00:00:00"/>
        <d v="2013-07-17T00:00:00"/>
        <d v="2013-07-18T00:00:00"/>
        <d v="2013-07-19T00:00:00"/>
        <d v="2013-07-20T00:00:00"/>
        <d v="2013-07-21T00:00:00"/>
        <d v="2013-07-22T00:00:00"/>
        <d v="2013-07-23T00:00:00"/>
        <d v="2013-07-24T00:00:00"/>
        <d v="2013-07-25T00:00:00"/>
        <d v="2013-07-26T00:00:00"/>
        <d v="2013-07-27T00:00:00"/>
        <d v="2013-07-28T00:00:00"/>
        <d v="2013-07-29T00:00:00"/>
        <d v="2013-07-30T00:00:00"/>
        <d v="2013-07-31T00:00:00"/>
        <d v="2013-08-01T00:00:00"/>
        <d v="2013-08-02T00:00:00"/>
        <d v="2013-08-03T00:00:00"/>
        <d v="2013-08-04T00:00:00"/>
        <d v="2013-08-05T00:00:00"/>
        <d v="2013-08-06T00:00:00"/>
        <d v="2013-08-07T00:00:00"/>
        <d v="2013-08-08T00:00:00"/>
        <d v="2013-08-09T00:00:00"/>
        <d v="2013-08-10T00:00:00"/>
        <d v="2013-08-11T00:00:00"/>
        <d v="2013-08-12T00:00:00"/>
        <d v="2013-08-13T00:00:00"/>
        <d v="2013-08-14T00:00:00"/>
        <d v="2013-08-15T00:00:00"/>
        <d v="2013-08-16T00:00:00"/>
        <d v="2013-08-17T00:00:00"/>
        <d v="2013-08-18T00:00:00"/>
        <d v="2013-08-19T00:00:00"/>
        <d v="2013-08-20T00:00:00"/>
        <d v="2013-08-21T00:00:00"/>
        <d v="2013-08-22T00:00:00"/>
        <d v="2013-08-23T00:00:00"/>
        <d v="2013-08-24T00:00:00"/>
        <d v="2013-08-25T00:00:00"/>
        <d v="2013-08-26T00:00:00"/>
        <d v="2013-08-27T00:00:00"/>
        <d v="2013-08-28T00:00:00"/>
        <d v="2013-08-29T00:00:00"/>
        <d v="2013-08-30T00:00:00"/>
        <d v="2013-08-31T00:00:00"/>
        <d v="2013-09-01T00:00:00"/>
        <d v="2013-09-02T00:00:00"/>
        <d v="2013-09-03T00:00:00"/>
        <d v="2013-09-04T00:00:00"/>
        <d v="2013-09-05T00:00:00"/>
        <d v="2013-09-06T00:00:00"/>
        <d v="2013-09-07T00:00:00"/>
        <d v="2013-09-08T00:00:00"/>
        <d v="2013-09-09T00:00:00"/>
        <d v="2013-09-10T00:00:00"/>
        <d v="2013-09-11T00:00:00"/>
        <d v="2013-09-12T00:00:00"/>
        <d v="2013-09-13T00:00:00"/>
        <d v="2013-09-14T00:00:00"/>
        <d v="2013-09-15T00:00:00"/>
        <d v="2013-09-16T00:00:00"/>
        <d v="2013-09-17T00:00:00"/>
        <d v="2013-09-18T00:00:00"/>
        <d v="2013-09-19T00:00:00"/>
        <d v="2013-09-20T00:00:00"/>
        <d v="2013-09-21T00:00:00"/>
        <d v="2013-09-22T00:00:00"/>
        <d v="2013-09-23T00:00:00"/>
        <d v="2013-09-24T00:00:00"/>
        <d v="2013-09-25T00:00:00"/>
        <d v="2013-09-26T00:00:00"/>
        <d v="2013-09-27T00:00:00"/>
        <d v="2013-09-28T00:00:00"/>
        <d v="2013-09-29T00:00:00"/>
        <d v="2013-09-30T00:00:00"/>
        <d v="2013-10-01T00:00:00"/>
        <d v="2013-10-02T00:00:00"/>
        <d v="2013-10-03T00:00:00"/>
        <d v="2013-10-04T00:00:00"/>
        <d v="2013-10-05T00:00:00"/>
        <d v="2013-10-06T00:00:00"/>
        <d v="2013-10-07T00:00:00"/>
        <d v="2013-10-08T00:00:00"/>
        <d v="2013-10-09T00:00:00"/>
        <d v="2013-10-10T00:00:00"/>
        <d v="2013-10-11T00:00:00"/>
        <d v="2013-10-12T00:00:00"/>
        <d v="2013-10-13T00:00:00"/>
        <d v="2013-10-14T00:00:00"/>
        <d v="2013-10-15T00:00:00"/>
        <d v="2013-10-16T00:00:00"/>
        <d v="2013-10-17T00:00:00"/>
        <d v="2013-10-18T00:00:00"/>
        <d v="2013-10-19T00:00:00"/>
        <d v="2013-10-20T00:00:00"/>
        <d v="2013-10-21T00:00:00"/>
        <d v="2013-10-22T00:00:00"/>
        <d v="2013-10-23T00:00:00"/>
        <d v="2013-10-24T00:00:00"/>
        <d v="2013-10-25T00:00:00"/>
        <d v="2013-10-26T00:00:00"/>
        <d v="2013-10-27T00:00:00"/>
        <d v="2013-10-28T00:00:00"/>
        <d v="2013-10-29T00:00:00"/>
        <d v="2013-10-30T00:00:00"/>
        <d v="2013-10-31T00:00:00"/>
        <d v="2013-11-01T00:00:00"/>
        <d v="2013-11-02T00:00:00"/>
        <d v="2013-11-03T00:00:00"/>
        <d v="2013-11-04T00:00:00"/>
        <d v="2013-11-05T00:00:00"/>
        <d v="2013-11-06T00:00:00"/>
        <d v="2013-11-07T00:00:00"/>
        <d v="2013-11-08T00:00:00"/>
        <d v="2013-11-09T00:00:00"/>
        <d v="2013-11-10T00:00:00"/>
        <d v="2013-11-11T00:00:00"/>
        <d v="2013-11-12T00:00:00"/>
        <d v="2013-11-13T00:00:00"/>
        <d v="2013-11-14T00:00:00"/>
        <d v="2013-11-15T00:00:00"/>
        <d v="2013-11-16T00:00:00"/>
        <d v="2013-11-17T00:00:00"/>
        <d v="2013-11-18T00:00:00"/>
        <d v="2013-11-19T00:00:00"/>
        <d v="2013-11-20T00:00:00"/>
        <d v="2013-11-21T00:00:00"/>
        <d v="2013-11-22T00:00:00"/>
        <d v="2013-11-23T00:00:00"/>
        <d v="2013-11-24T00:00:00"/>
        <d v="2013-11-25T00:00:00"/>
        <d v="2013-11-26T00:00:00"/>
        <d v="2013-11-27T00:00:00"/>
        <d v="2013-11-28T00:00:00"/>
        <d v="2013-11-29T00:00:00"/>
        <d v="2013-11-30T00:00:00"/>
        <d v="2013-12-01T00:00:00"/>
        <d v="2013-12-02T00:00:00"/>
        <d v="2013-12-03T00:00:00"/>
        <d v="2013-12-04T00:00:00"/>
        <d v="2013-12-05T00:00:00"/>
        <d v="2013-12-06T00:00:00"/>
        <d v="2013-12-07T00:00:00"/>
        <d v="2013-12-08T00:00:00"/>
        <d v="2013-12-09T00:00:00"/>
        <d v="2013-12-10T00:00:00"/>
        <d v="2013-12-11T00:00:00"/>
        <d v="2013-12-12T00:00:00"/>
        <d v="2013-12-13T00:00:00"/>
        <d v="2013-12-14T00:00:00"/>
        <d v="2013-12-15T00:00:00"/>
        <d v="2013-12-16T00:00:00"/>
        <d v="2013-12-17T00:00:00"/>
        <d v="2013-12-18T00:00:00"/>
        <d v="2013-12-19T00:00:00"/>
        <d v="2013-12-20T00:00:00"/>
        <d v="2013-12-21T00:00:00"/>
        <d v="2013-12-22T00:00:00"/>
        <d v="2013-12-23T00:00:00"/>
        <d v="2013-12-24T00:00:00"/>
        <d v="2013-12-25T00:00:00"/>
        <d v="2013-12-26T00:00:00"/>
        <d v="2013-12-27T00:00:00"/>
        <d v="2013-12-28T00:00:00"/>
        <d v="2013-12-29T00:00:00"/>
        <d v="2013-12-30T00:00:00"/>
        <d v="2013-12-31T00:00:00"/>
        <d v="2014-01-01T00:00:00"/>
        <d v="2014-01-02T00:00:00"/>
        <d v="2014-01-03T00:00:00"/>
        <d v="2014-01-04T00:00:00"/>
        <d v="2014-01-05T00:00:00"/>
        <d v="2014-01-06T00:00:00"/>
        <d v="2014-01-07T00:00:00"/>
        <d v="2014-01-08T00:00:00"/>
        <d v="2014-01-09T00:00:00"/>
        <d v="2014-01-10T00:00:00"/>
        <d v="2014-01-11T00:00:00"/>
        <d v="2014-01-12T00:00:00"/>
        <d v="2014-01-13T00:00:00"/>
        <d v="2014-01-14T00:00:00"/>
        <d v="2014-01-15T00:00:00"/>
        <d v="2014-01-16T00:00:00"/>
        <d v="2014-01-17T00:00:00"/>
        <d v="2014-01-18T00:00:00"/>
        <d v="2014-01-19T00:00:00"/>
        <d v="2014-01-20T00:00:00"/>
        <d v="2014-01-21T00:00:00"/>
        <d v="2014-01-22T00:00:00"/>
        <d v="2014-01-23T00:00:00"/>
        <d v="2014-01-24T00:00:00"/>
        <d v="2014-01-25T00:00:00"/>
        <d v="2014-01-26T00:00:00"/>
        <d v="2014-01-27T00:00:00"/>
        <d v="2014-01-28T00:00:00"/>
        <d v="2014-01-29T00:00:00"/>
        <d v="2014-01-30T00:00:00"/>
        <d v="2014-01-31T00:00:00"/>
        <d v="2014-02-01T00:00:00"/>
        <d v="2014-02-02T00:00:00"/>
        <d v="2014-02-03T00:00:00"/>
        <d v="2014-02-04T00:00:00"/>
        <d v="2014-02-05T00:00:00"/>
        <d v="2014-02-06T00:00:00"/>
        <d v="2014-02-07T00:00:00"/>
        <d v="2014-02-08T00:00:00"/>
        <d v="2014-02-09T00:00:00"/>
        <d v="2014-02-10T00:00:00"/>
        <d v="2014-02-11T00:00:00"/>
        <d v="2014-02-12T00:00:00"/>
        <d v="2014-02-13T00:00:00"/>
        <d v="2014-02-14T00:00:00"/>
        <d v="2014-02-15T00:00:00"/>
        <d v="2014-02-16T00:00:00"/>
        <d v="2014-02-17T00:00:00"/>
        <d v="2014-02-18T00:00:00"/>
        <d v="2014-02-19T00:00:00"/>
        <d v="2014-02-20T00:00:00"/>
        <d v="2014-02-21T00:00:00"/>
        <d v="2014-02-22T00:00:00"/>
        <d v="2014-02-23T00:00:00"/>
        <d v="2014-02-24T00:00:00"/>
        <d v="2014-02-25T00:00:00"/>
        <d v="2014-02-26T00:00:00"/>
        <d v="2014-02-27T00:00:00"/>
        <d v="2014-02-28T00:00:00"/>
        <d v="2014-03-01T00:00:00"/>
        <d v="2014-03-02T00:00:00"/>
        <d v="2014-03-03T00:00:00"/>
        <d v="2014-03-04T00:00:00"/>
        <d v="2014-03-05T00:00:00"/>
        <d v="2014-03-06T00:00:00"/>
        <d v="2014-03-07T00:00:00"/>
        <d v="2014-03-08T00:00:00"/>
        <d v="2014-03-09T00:00:00"/>
        <d v="2014-03-10T00:00:00"/>
        <d v="2014-03-11T00:00:00"/>
        <d v="2014-03-12T00:00:00"/>
        <d v="2014-03-13T00:00:00"/>
        <d v="2014-03-14T00:00:00"/>
        <d v="2014-03-15T00:00:00"/>
        <d v="2014-03-16T00:00:00"/>
        <d v="2014-03-17T00:00:00"/>
        <d v="2014-03-18T00:00:00"/>
        <d v="2014-03-19T00:00:00"/>
        <d v="2014-03-20T00:00:00"/>
        <d v="2014-03-21T00:00:00"/>
        <d v="2014-03-22T00:00:00"/>
        <d v="2014-03-23T00:00:00"/>
        <d v="2014-03-24T00:00:00"/>
        <d v="2014-03-25T00:00:00"/>
        <d v="2014-03-26T00:00:00"/>
        <d v="2014-03-27T00:00:00"/>
        <d v="2014-03-28T00:00:00"/>
        <d v="2014-03-29T00:00:00"/>
        <d v="2014-03-30T00:00:00"/>
        <d v="2014-03-31T00:00:00"/>
        <d v="2014-04-01T00:00:00"/>
        <d v="2014-04-02T00:00:00"/>
        <d v="2014-04-03T00:00:00"/>
        <d v="2014-04-04T00:00:00"/>
        <d v="2014-04-05T00:00:00"/>
        <d v="2014-04-06T00:00:00"/>
        <d v="2014-04-07T00:00:00"/>
        <d v="2014-04-08T00:00:00"/>
        <d v="2014-04-09T00:00:00"/>
        <d v="2014-04-10T00:00:00"/>
        <d v="2014-04-11T00:00:00"/>
        <d v="2014-04-12T00:00:00"/>
        <d v="2014-04-13T00:00:00"/>
        <d v="2014-04-14T00:00:00"/>
        <d v="2014-04-15T00:00:00"/>
        <d v="2014-04-16T00:00:00"/>
        <d v="2014-04-17T00:00:00"/>
        <d v="2014-04-18T00:00:00"/>
        <d v="2014-04-19T00:00:00"/>
        <d v="2014-04-20T00:00:00"/>
        <d v="2014-04-21T00:00:00"/>
        <d v="2014-04-22T00:00:00"/>
        <d v="2014-04-23T00:00:00"/>
        <d v="2014-04-24T00:00:00"/>
        <d v="2014-04-25T00:00:00"/>
        <d v="2014-04-26T00:00:00"/>
        <d v="2014-04-27T00:00:00"/>
        <d v="2014-04-28T00:00:00"/>
        <d v="2014-04-29T00:00:00"/>
        <d v="2014-04-30T00:00:00"/>
        <d v="2014-05-01T00:00:00"/>
        <d v="2014-05-02T00:00:00"/>
        <d v="2014-05-03T00:00:00"/>
        <d v="2014-05-04T00:00:00"/>
        <d v="2014-05-05T00:00:00"/>
        <d v="2014-05-06T00:00:00"/>
        <d v="2014-05-07T00:00:00"/>
        <d v="2014-05-08T00:00:00"/>
        <d v="2014-05-09T00:00:00"/>
        <d v="2014-05-10T00:00:00"/>
        <d v="2014-05-11T00:00:00"/>
        <d v="2014-05-12T00:00:00"/>
        <d v="2014-05-13T00:00:00"/>
        <d v="2014-05-14T00:00:00"/>
        <d v="2014-05-15T00:00:00"/>
        <d v="2014-05-16T00:00:00"/>
        <d v="2014-05-17T00:00:00"/>
        <d v="2014-05-18T00:00:00"/>
        <d v="2014-05-19T00:00:00"/>
        <d v="2014-05-20T00:00:00"/>
        <d v="2014-05-21T00:00:00"/>
        <d v="2014-05-22T00:00:00"/>
        <d v="2014-05-23T00:00:00"/>
        <d v="2014-05-24T00:00:00"/>
        <d v="2014-05-25T00:00:00"/>
        <d v="2014-05-26T00:00:00"/>
        <d v="2014-05-27T00:00:00"/>
        <d v="2014-05-28T00:00:00"/>
        <d v="2014-05-29T00:00:00"/>
        <d v="2014-05-30T00:00:00"/>
        <d v="2014-05-31T00:00:00"/>
        <d v="2014-06-01T00:00:00"/>
        <d v="2014-06-02T00:00:00"/>
        <d v="2014-06-03T00:00:00"/>
        <d v="2014-06-04T00:00:00"/>
        <d v="2014-06-05T00:00:00"/>
        <d v="2014-06-06T00:00:00"/>
        <d v="2014-06-07T00:00:00"/>
        <d v="2014-06-08T00:00:00"/>
        <d v="2014-06-09T00:00:00"/>
        <d v="2014-06-10T00:00:00"/>
        <d v="2014-06-11T00:00:00"/>
        <d v="2014-06-12T00:00:00"/>
        <d v="2014-06-13T00:00:00"/>
        <d v="2014-06-14T00:00:00"/>
        <d v="2014-06-15T00:00:00"/>
        <d v="2014-06-16T00:00:00"/>
        <d v="2014-06-17T00:00:00"/>
        <d v="2014-06-18T00:00:00"/>
        <d v="2014-06-19T00:00:00"/>
        <d v="2014-06-20T00:00:00"/>
        <d v="2014-06-21T00:00:00"/>
        <d v="2014-06-22T00:00:00"/>
        <d v="2014-06-23T00:00:00"/>
        <d v="2014-06-24T00:00:00"/>
        <d v="2014-06-25T00:00:00"/>
        <d v="2014-06-26T00:00:00"/>
        <d v="2014-06-27T00:00:00"/>
        <d v="2014-06-28T00:00:00"/>
        <d v="2014-06-29T00:00:00"/>
        <d v="2014-06-30T00:00:00"/>
        <d v="2014-07-01T00:00:00"/>
        <d v="2014-07-02T00:00:00"/>
        <d v="2014-07-03T00:00:00"/>
        <d v="2014-07-04T00:00:00"/>
        <d v="2014-07-05T00:00:00"/>
        <d v="2014-07-06T00:00:00"/>
        <d v="2014-07-07T00:00:00"/>
        <d v="2014-07-08T00:00:00"/>
        <d v="2014-07-09T00:00:00"/>
        <d v="2014-07-10T00:00:00"/>
        <d v="2014-07-11T00:00:00"/>
        <d v="2014-07-12T00:00:00"/>
        <d v="2014-07-13T00:00:00"/>
        <d v="2014-07-14T00:00:00"/>
        <d v="2014-07-15T00:00:00"/>
        <d v="2014-07-16T00:00:00"/>
        <d v="2014-07-17T00:00:00"/>
        <d v="2014-07-18T00:00:00"/>
        <d v="2014-07-19T00:00:00"/>
        <d v="2014-07-20T00:00:00"/>
        <d v="2014-07-21T00:00:00"/>
        <d v="2014-07-22T00:00:00"/>
        <d v="2014-07-23T00:00:00"/>
        <d v="2014-07-24T00:00:00"/>
        <d v="2014-07-25T00:00:00"/>
        <d v="2014-07-26T00:00:00"/>
        <d v="2014-07-27T00:00:00"/>
        <d v="2014-07-28T00:00:00"/>
        <d v="2014-07-29T00:00:00"/>
        <d v="2014-07-30T00:00:00"/>
        <d v="2014-07-31T00:00:00"/>
        <d v="2014-08-01T00:00:00"/>
        <d v="2014-08-02T00:00:00"/>
        <d v="2014-08-03T00:00:00"/>
        <d v="2014-08-04T00:00:00"/>
        <d v="2014-08-05T00:00:00"/>
        <d v="2014-08-06T00:00:00"/>
        <d v="2014-08-07T00:00:00"/>
        <d v="2014-08-08T00:00:00"/>
        <d v="2014-08-09T00:00:00"/>
        <d v="2014-08-10T00:00:00"/>
        <d v="2014-08-11T00:00:00"/>
        <d v="2014-08-12T00:00:00"/>
        <d v="2014-08-13T00:00:00"/>
        <d v="2014-08-14T00:00:00"/>
        <d v="2014-08-15T00:00:00"/>
        <d v="2014-08-16T00:00:00"/>
        <d v="2014-08-17T00:00:00"/>
        <d v="2014-08-18T00:00:00"/>
        <d v="2014-08-19T00:00:00"/>
        <d v="2014-08-20T00:00:00"/>
        <d v="2014-08-21T00:00:00"/>
        <d v="2014-08-22T00:00:00"/>
        <d v="2014-08-23T00:00:00"/>
        <d v="2014-08-24T00:00:00"/>
        <d v="2014-08-25T00:00:00"/>
        <d v="2014-08-26T00:00:00"/>
        <d v="2014-08-27T00:00:00"/>
        <d v="2014-08-28T00:00:00"/>
        <d v="2014-08-29T00:00:00"/>
        <d v="2014-08-30T00:00:00"/>
        <d v="2014-08-31T00:00:00"/>
        <d v="2014-09-01T00:00:00"/>
        <d v="2014-09-02T00:00:00"/>
        <d v="2014-09-03T00:00:00"/>
        <d v="2014-09-04T00:00:00"/>
        <d v="2014-09-05T00:00:00"/>
        <d v="2014-09-06T00:00:00"/>
        <d v="2014-09-07T00:00:00"/>
        <d v="2014-09-08T00:00:00"/>
        <d v="2014-09-09T00:00:00"/>
        <d v="2014-09-10T00:00:00"/>
        <d v="2014-09-11T00:00:00"/>
        <d v="2014-09-12T00:00:00"/>
        <d v="2014-09-13T00:00:00"/>
        <d v="2014-09-14T00:00:00"/>
        <d v="2014-09-15T00:00:00"/>
        <d v="2014-09-16T00:00:00"/>
        <d v="2014-09-17T00:00:00"/>
        <d v="2014-09-18T00:00:00"/>
        <d v="2014-09-19T00:00:00"/>
        <d v="2014-09-20T00:00:00"/>
        <d v="2014-09-21T00:00:00"/>
        <d v="2014-09-22T00:00:00"/>
        <d v="2014-09-23T00:00:00"/>
        <d v="2014-09-24T00:00:00"/>
        <d v="2014-09-25T00:00:00"/>
        <d v="2014-09-26T00:00:00"/>
        <d v="2014-09-27T00:00:00"/>
        <d v="2014-09-28T00:00:00"/>
        <d v="2014-09-29T00:00:00"/>
        <d v="2014-09-30T00:00:00"/>
        <d v="2014-10-01T00:00:00"/>
        <d v="2014-10-02T00:00:00"/>
        <d v="2014-10-03T00:00:00"/>
        <d v="2014-10-04T00:00:00"/>
        <d v="2014-10-05T00:00:00"/>
        <d v="2014-10-06T00:00:00"/>
        <d v="2014-10-07T00:00:00"/>
        <d v="2014-10-08T00:00:00"/>
        <d v="2014-10-09T00:00:00"/>
        <d v="2014-10-10T00:00:00"/>
        <d v="2014-10-11T00:00:00"/>
        <d v="2014-10-12T00:00:00"/>
        <d v="2014-10-13T00:00:00"/>
        <d v="2014-10-14T00:00:00"/>
        <d v="2014-10-15T00:00:00"/>
        <d v="2014-10-16T00:00:00"/>
        <d v="2014-10-17T00:00:00"/>
        <d v="2014-10-18T00:00:00"/>
        <d v="2014-10-19T00:00:00"/>
        <d v="2014-10-20T00:00:00"/>
        <d v="2014-10-21T00:00:00"/>
        <d v="2014-10-22T00:00:00"/>
        <d v="2014-10-23T00:00:00"/>
        <d v="2014-10-24T00:00:00"/>
        <d v="2014-10-25T00:00:00"/>
        <d v="2014-10-26T00:00:00"/>
        <d v="2014-10-27T00:00:00"/>
        <d v="2014-10-28T00:00:00"/>
        <d v="2014-10-29T00:00:00"/>
        <d v="2014-10-30T00:00:00"/>
        <d v="2014-10-31T00:00:00"/>
        <d v="2014-11-01T00:00:00"/>
        <d v="2014-11-02T00:00:00"/>
        <d v="2014-11-03T00:00:00"/>
        <d v="2014-11-04T00:00:00"/>
        <d v="2014-11-05T00:00:00"/>
        <d v="2014-11-06T00:00:00"/>
        <d v="2014-11-07T00:00:00"/>
        <d v="2014-11-08T00:00:00"/>
        <d v="2014-11-09T00:00:00"/>
        <d v="2014-11-10T00:00:00"/>
        <d v="2014-11-11T00:00:00"/>
        <d v="2014-11-12T00:00:00"/>
        <d v="2014-11-13T00:00:00"/>
        <d v="2014-11-14T00:00:00"/>
        <d v="2014-11-15T00:00:00"/>
        <d v="2014-11-16T00:00:00"/>
        <d v="2014-11-17T00:00:00"/>
        <d v="2014-11-18T00:00:00"/>
        <d v="2014-11-19T00:00:00"/>
        <d v="2014-11-20T00:00:00"/>
        <d v="2014-11-21T00:00:00"/>
        <d v="2014-11-22T00:00:00"/>
        <d v="2014-11-23T00:00:00"/>
        <d v="2014-11-24T00:00:00"/>
        <d v="2014-11-25T00:00:00"/>
        <d v="2014-11-26T00:00:00"/>
        <d v="2014-11-27T00:00:00"/>
        <d v="2014-11-28T00:00:00"/>
        <d v="2014-11-29T00:00:00"/>
        <d v="2014-11-30T00:00:00"/>
        <d v="2014-12-01T00:00:00"/>
        <d v="2014-12-02T00:00:00"/>
        <d v="2014-12-03T00:00:00"/>
        <d v="2014-12-04T00:00:00"/>
        <d v="2014-12-05T00:00:00"/>
        <d v="2014-12-06T00:00:00"/>
        <d v="2014-12-07T00:00:00"/>
        <d v="2014-12-08T00:00:00"/>
        <d v="2014-12-09T00:00:00"/>
        <d v="2014-12-10T00:00:00"/>
        <d v="2014-12-11T00:00:00"/>
        <d v="2014-12-12T00:00:00"/>
        <d v="2014-12-13T00:00:00"/>
        <d v="2014-12-14T00:00:00"/>
        <d v="2014-12-15T00:00:00"/>
        <d v="2014-12-16T00:00:00"/>
        <d v="2014-12-17T00:00:00"/>
        <d v="2014-12-18T00:00:00"/>
        <d v="2014-12-19T00:00:00"/>
        <d v="2014-12-20T00:00:00"/>
        <d v="2014-12-21T00:00:00"/>
        <d v="2014-12-22T00:00:00"/>
        <d v="2014-12-23T00:00:00"/>
        <d v="2014-12-24T00:00:00"/>
        <d v="2014-12-25T00:00:00"/>
        <d v="2014-12-26T00:00:00"/>
        <d v="2014-12-27T00:00:00"/>
        <d v="2014-12-28T00:00:00"/>
        <d v="2014-12-29T00:00:00"/>
        <d v="2014-12-30T00:00:00"/>
        <d v="2014-12-31T00:00:00"/>
        <d v="2015-01-01T00:00:00"/>
        <d v="2015-01-02T00:00:00"/>
        <d v="2015-01-03T00:00:00"/>
        <d v="2015-01-04T00:00:00"/>
        <d v="2015-01-05T00:00:00"/>
        <d v="2015-01-06T00:00:00"/>
        <d v="2015-01-07T00:00:00"/>
        <d v="2015-01-08T00:00:00"/>
        <d v="2015-01-09T00:00:00"/>
        <d v="2015-01-10T00:00:00"/>
        <d v="2015-01-11T00:00:00"/>
        <d v="2015-01-12T00:00:00"/>
        <d v="2015-01-13T00:00:00"/>
        <d v="2015-01-14T00:00:00"/>
        <d v="2015-01-15T00:00:00"/>
        <d v="2015-01-16T00:00:00"/>
        <d v="2015-01-17T00:00:00"/>
        <d v="2015-01-18T00:00:00"/>
        <d v="2015-01-19T00:00:00"/>
        <d v="2015-01-20T00:00:00"/>
        <d v="2015-01-21T00:00:00"/>
        <d v="2015-01-22T00:00:00"/>
        <d v="2015-01-23T00:00:00"/>
        <d v="2015-01-24T00:00:00"/>
        <d v="2015-01-25T00:00:00"/>
        <d v="2015-01-26T00:00:00"/>
        <d v="2015-01-27T00:00:00"/>
        <d v="2015-01-28T00:00:00"/>
        <d v="2015-01-29T00:00:00"/>
        <d v="2015-01-30T00:00:00"/>
        <d v="2015-01-31T00:00:00"/>
        <d v="2015-02-01T00:00:00"/>
        <d v="2015-02-02T00:00:00"/>
        <d v="2015-02-03T00:00:00"/>
        <d v="2015-02-04T00:00:00"/>
        <d v="2015-02-05T00:00:00"/>
        <d v="2015-02-06T00:00:00"/>
        <d v="2015-02-07T00:00:00"/>
        <d v="2015-02-08T00:00:00"/>
        <d v="2015-02-09T00:00:00"/>
        <d v="2015-02-10T00:00:00"/>
        <d v="2015-02-11T00:00:00"/>
        <d v="2015-02-12T00:00:00"/>
        <d v="2015-02-13T00:00:00"/>
        <d v="2015-02-14T00:00:00"/>
        <d v="2015-02-15T00:00:00"/>
        <d v="2015-02-16T00:00:00"/>
        <d v="2015-02-17T00:00:00"/>
        <d v="2015-02-18T00:00:00"/>
        <d v="2015-02-19T00:00:00"/>
        <d v="2015-02-20T00:00:00"/>
        <d v="2015-02-21T00:00:00"/>
        <d v="2015-02-22T00:00:00"/>
        <d v="2015-02-23T00:00:00"/>
        <d v="2015-02-24T00:00:00"/>
        <d v="2015-02-25T00:00:00"/>
        <d v="2015-02-26T00:00:00"/>
        <d v="2015-02-27T00:00:00"/>
        <d v="2015-02-28T00:00:00"/>
        <d v="2015-03-01T00:00:00"/>
        <d v="2015-03-02T00:00:00"/>
        <d v="2015-03-03T00:00:00"/>
        <d v="2015-03-04T00:00:00"/>
        <d v="2015-03-05T00:00:00"/>
        <d v="2015-03-06T00:00:00"/>
        <d v="2015-03-07T00:00:00"/>
        <d v="2015-03-08T00:00:00"/>
        <d v="2015-03-09T00:00:00"/>
        <d v="2015-03-10T00:00:00"/>
        <d v="2015-03-11T00:00:00"/>
        <d v="2015-03-12T00:00:00"/>
        <d v="2015-03-13T00:00:00"/>
        <d v="2015-03-14T00:00:00"/>
        <d v="2015-03-15T00:00:00"/>
        <d v="2015-03-16T00:00:00"/>
        <d v="2015-03-17T00:00:00"/>
        <d v="2015-03-18T00:00:00"/>
        <d v="2015-03-19T00:00:00"/>
        <d v="2015-03-20T00:00:00"/>
        <d v="2015-03-21T00:00:00"/>
        <d v="2015-03-22T00:00:00"/>
        <d v="2015-03-23T00:00:00"/>
        <d v="2015-03-24T00:00:00"/>
        <d v="2015-03-25T00:00:00"/>
        <d v="2015-03-26T00:00:00"/>
        <d v="2015-03-27T00:00:00"/>
        <d v="2015-03-28T00:00:00"/>
        <d v="2015-03-29T00:00:00"/>
        <d v="2015-03-30T00:00:00"/>
        <d v="2015-03-31T00:00:00"/>
        <d v="2015-04-01T00:00:00"/>
        <d v="2015-04-02T00:00:00"/>
        <d v="2015-04-03T00:00:00"/>
        <d v="2015-04-04T00:00:00"/>
        <d v="2015-04-05T00:00:00"/>
        <d v="2015-04-06T00:00:00"/>
        <d v="2015-04-07T00:00:00"/>
        <d v="2015-04-08T00:00:00"/>
        <d v="2015-04-09T00:00:00"/>
        <d v="2015-04-10T00:00:00"/>
        <d v="2015-04-11T00:00:00"/>
        <d v="2015-04-12T00:00:00"/>
        <d v="2015-04-13T00:00:00"/>
        <d v="2015-04-14T00:00:00"/>
        <d v="2015-04-15T00:00:00"/>
        <d v="2015-04-16T00:00:00"/>
        <d v="2015-04-17T00:00:00"/>
        <d v="2015-04-18T00:00:00"/>
        <d v="2015-04-19T00:00:00"/>
        <d v="2015-04-20T00:00:00"/>
        <d v="2015-04-21T00:00:00"/>
        <d v="2015-04-22T00:00:00"/>
        <d v="2015-04-23T00:00:00"/>
        <d v="2015-04-24T00:00:00"/>
        <d v="2015-04-25T00:00:00"/>
        <d v="2015-04-26T00:00:00"/>
        <d v="2015-04-27T00:00:00"/>
        <d v="2015-04-28T00:00:00"/>
        <d v="2015-04-29T00:00:00"/>
        <d v="2015-04-30T00:00:00"/>
        <d v="2015-05-01T00:00:00"/>
        <d v="2015-05-02T00:00:00"/>
        <d v="2015-05-03T00:00:00"/>
        <d v="2015-05-04T00:00:00"/>
        <d v="2015-05-05T00:00:00"/>
        <d v="2015-05-06T00:00:00"/>
        <d v="2015-05-07T00:00:00"/>
        <d v="2015-05-08T00:00:00"/>
        <d v="2015-05-09T00:00:00"/>
        <d v="2015-05-10T00:00:00"/>
        <d v="2015-05-11T00:00:00"/>
        <d v="2015-05-12T00:00:00"/>
        <d v="2015-05-13T00:00:00"/>
        <d v="2015-05-14T00:00:00"/>
        <d v="2015-05-15T00:00:00"/>
        <d v="2015-05-16T00:00:00"/>
        <d v="2015-05-17T00:00:00"/>
        <d v="2015-05-18T00:00:00"/>
        <d v="2015-05-19T00:00:00"/>
        <d v="2015-05-20T00:00:00"/>
        <d v="2015-05-21T00:00:00"/>
        <d v="2015-05-22T00:00:00"/>
        <d v="2015-05-23T00:00:00"/>
        <d v="2015-05-24T00:00:00"/>
        <d v="2015-05-25T00:00:00"/>
        <d v="2015-05-26T00:00:00"/>
        <d v="2015-05-27T00:00:00"/>
        <d v="2015-05-28T00:00:00"/>
        <d v="2015-05-29T00:00:00"/>
        <d v="2015-05-30T00:00:00"/>
        <d v="2015-05-31T00:00:00"/>
        <d v="2015-06-01T00:00:00"/>
        <d v="2015-06-02T00:00:00"/>
        <d v="2015-06-03T00:00:00"/>
        <d v="2015-06-04T00:00:00"/>
        <d v="2015-06-05T00:00:00"/>
        <d v="2015-06-06T00:00:00"/>
        <d v="2015-06-07T00:00:00"/>
        <d v="2015-06-08T00:00:00"/>
        <d v="2015-06-09T00:00:00"/>
        <d v="2015-06-10T00:00:00"/>
        <d v="2015-06-11T00:00:00"/>
        <d v="2015-06-12T00:00:00"/>
        <d v="2015-06-13T00:00:00"/>
        <d v="2015-06-14T00:00:00"/>
        <d v="2015-06-15T00:00:00"/>
        <d v="2015-06-16T00:00:00"/>
        <d v="2015-06-17T00:00:00"/>
        <d v="2015-06-18T00:00:00"/>
        <d v="2015-06-19T00:00:00"/>
        <d v="2015-06-20T00:00:00"/>
        <d v="2015-06-21T00:00:00"/>
        <d v="2015-06-22T00:00:00"/>
        <d v="2015-06-23T00:00:00"/>
        <d v="2015-06-24T00:00:00"/>
        <d v="2015-06-25T00:00:00"/>
        <d v="2015-06-26T00:00:00"/>
        <d v="2015-06-27T00:00:00"/>
        <d v="2015-06-28T00:00:00"/>
        <d v="2015-06-29T00:00:00"/>
        <d v="2015-06-30T00:00:00"/>
        <d v="2015-07-01T00:00:00"/>
        <d v="2015-07-02T00:00:00"/>
        <d v="2015-07-03T00:00:00"/>
        <d v="2015-07-04T00:00:00"/>
        <d v="2015-07-05T00:00:00"/>
        <d v="2015-07-06T00:00:00"/>
        <d v="2015-07-07T00:00:00"/>
        <d v="2015-07-08T00:00:00"/>
        <d v="2015-07-09T00:00:00"/>
        <d v="2015-07-10T00:00:00"/>
        <d v="2015-07-11T00:00:00"/>
        <d v="2015-07-12T00:00:00"/>
        <d v="2015-07-13T00:00:00"/>
        <d v="2015-07-14T00:00:00"/>
        <d v="2015-07-15T00:00:00"/>
        <d v="2015-07-16T00:00:00"/>
        <d v="2015-07-17T00:00:00"/>
        <d v="2015-07-18T00:00:00"/>
        <d v="2015-07-19T00:00:00"/>
        <d v="2015-07-20T00:00:00"/>
        <d v="2015-07-21T00:00:00"/>
        <d v="2015-07-22T00:00:00"/>
        <d v="2015-07-23T00:00:00"/>
        <d v="2015-07-24T00:00:00"/>
        <d v="2015-07-25T00:00:00"/>
        <d v="2015-07-26T00:00:00"/>
        <d v="2015-07-27T00:00:00"/>
        <d v="2015-07-28T00:00:00"/>
        <d v="2015-07-29T00:00:00"/>
        <d v="2015-07-30T00:00:00"/>
        <d v="2015-07-31T00:00:00"/>
        <d v="2015-08-01T00:00:00"/>
        <d v="2015-08-02T00:00:00"/>
        <d v="2015-08-03T00:00:00"/>
        <d v="2015-08-04T00:00:00"/>
        <d v="2015-08-05T00:00:00"/>
        <d v="2015-08-06T00:00:00"/>
        <d v="2015-08-07T00:00:00"/>
        <d v="2015-08-08T00:00:00"/>
        <d v="2015-08-09T00:00:00"/>
        <d v="2015-08-10T00:00:00"/>
        <d v="2015-08-11T00:00:00"/>
        <d v="2015-08-12T00:00:00"/>
        <d v="2015-08-13T00:00:00"/>
        <d v="2015-08-14T00:00:00"/>
        <d v="2015-08-15T00:00:00"/>
        <d v="2015-08-16T00:00:00"/>
        <d v="2015-08-17T00:00:00"/>
        <d v="2015-08-18T00:00:00"/>
        <d v="2015-08-19T00:00:00"/>
        <d v="2015-08-20T00:00:00"/>
        <d v="2015-08-21T00:00:00"/>
        <d v="2015-08-22T00:00:00"/>
        <d v="2015-08-23T00:00:00"/>
        <d v="2015-08-24T00:00:00"/>
        <d v="2015-08-25T00:00:00"/>
        <d v="2015-08-26T00:00:00"/>
        <d v="2015-08-27T00:00:00"/>
        <d v="2015-08-28T00:00:00"/>
        <d v="2015-08-29T00:00:00"/>
        <d v="2015-08-30T00:00:00"/>
        <d v="2015-08-31T00:00:00"/>
        <d v="2015-09-01T00:00:00"/>
        <d v="2015-09-02T00:00:00"/>
        <d v="2015-09-03T00:00:00"/>
        <d v="2015-09-04T00:00:00"/>
        <d v="2015-09-05T00:00:00"/>
        <d v="2015-09-06T00:00:00"/>
        <d v="2015-09-07T00:00:00"/>
        <d v="2015-09-08T00:00:00"/>
        <d v="2015-09-09T00:00:00"/>
        <d v="2015-09-10T00:00:00"/>
        <d v="2015-09-11T00:00:00"/>
        <d v="2015-09-12T00:00:00"/>
        <d v="2015-09-13T00:00:00"/>
        <d v="2015-09-14T00:00:00"/>
        <d v="2015-09-15T00:00:00"/>
        <d v="2015-09-16T00:00:00"/>
        <d v="2015-09-17T00:00:00"/>
        <d v="2015-09-18T00:00:00"/>
        <d v="2015-09-19T00:00:00"/>
        <d v="2015-09-20T00:00:00"/>
        <d v="2015-09-21T00:00:00"/>
        <d v="2015-09-22T00:00:00"/>
        <d v="2015-09-23T00:00:00"/>
        <d v="2015-09-24T00:00:00"/>
        <d v="2015-09-25T00:00:00"/>
        <d v="2015-09-26T00:00:00"/>
        <d v="2015-09-27T00:00:00"/>
        <d v="2015-09-28T00:00:00"/>
        <d v="2015-09-29T00:00:00"/>
        <d v="2015-09-30T00:00:00"/>
        <d v="2015-10-01T00:00:00"/>
        <d v="2015-10-02T00:00:00"/>
        <d v="2015-10-03T00:00:00"/>
        <d v="2015-10-04T00:00:00"/>
        <d v="2015-10-05T00:00:00"/>
        <d v="2015-10-06T00:00:00"/>
        <d v="2015-10-07T00:00:00"/>
        <d v="2015-10-08T00:00:00"/>
        <d v="2015-10-09T00:00:00"/>
        <d v="2015-10-10T00:00:00"/>
        <d v="2015-10-11T00:00:00"/>
        <d v="2015-10-12T00:00:00"/>
        <d v="2015-10-13T00:00:00"/>
        <d v="2015-10-14T00:00:00"/>
        <d v="2015-10-15T00:00:00"/>
        <d v="2015-10-16T00:00:00"/>
        <d v="2015-10-17T00:00:00"/>
        <d v="2015-10-18T00:00:00"/>
        <d v="2015-10-19T00:00:00"/>
        <d v="2015-10-20T00:00:00"/>
        <d v="2015-10-21T00:00:00"/>
        <d v="2015-10-22T00:00:00"/>
        <d v="2015-10-23T00:00:00"/>
        <d v="2015-10-24T00:00:00"/>
        <d v="2015-10-25T00:00:00"/>
        <d v="2015-10-26T00:00:00"/>
        <d v="2015-10-27T00:00:00"/>
        <d v="2015-10-28T00:00:00"/>
        <d v="2015-10-29T00:00:00"/>
        <d v="2015-10-30T00:00:00"/>
        <d v="2015-10-31T00:00:00"/>
        <d v="2015-11-01T00:00:00"/>
        <d v="2015-11-02T00:00:00"/>
        <d v="2015-11-03T00:00:00"/>
        <d v="2015-11-04T00:00:00"/>
        <d v="2015-11-05T00:00:00"/>
        <d v="2015-11-06T00:00:00"/>
        <d v="2015-11-07T00:00:00"/>
        <d v="2015-11-08T00:00:00"/>
        <d v="2015-11-09T00:00:00"/>
        <d v="2015-11-10T00:00:00"/>
        <d v="2015-11-11T00:00:00"/>
        <d v="2015-11-12T00:00:00"/>
        <d v="2015-11-13T00:00:00"/>
        <d v="2015-11-14T00:00:00"/>
        <d v="2015-11-15T00:00:00"/>
        <d v="2015-11-16T00:00:00"/>
        <d v="2015-11-17T00:00:00"/>
        <d v="2015-11-18T00:00:00"/>
        <d v="2015-11-19T00:00:00"/>
        <d v="2015-11-20T00:00:00"/>
        <d v="2015-11-21T00:00:00"/>
        <d v="2015-11-22T00:00:00"/>
        <d v="2015-11-23T00:00:00"/>
        <d v="2015-11-24T00:00:00"/>
        <d v="2015-11-25T00:00:00"/>
        <d v="2015-11-26T00:00:00"/>
        <d v="2015-11-27T00:00:00"/>
        <d v="2015-11-28T00:00:00"/>
        <d v="2015-11-29T00:00:00"/>
        <d v="2015-11-30T00:00:00"/>
        <d v="2015-12-01T00:00:00"/>
        <d v="2015-12-02T00:00:00"/>
        <d v="2015-12-03T00:00:00"/>
        <d v="2015-12-04T00:00:00"/>
        <d v="2015-12-05T00:00:00"/>
        <d v="2015-12-06T00:00:00"/>
        <d v="2015-12-07T00:00:00"/>
        <d v="2015-12-08T00:00:00"/>
        <d v="2015-12-09T00:00:00"/>
        <d v="2015-12-10T00:00:00"/>
        <d v="2015-12-11T00:00:00"/>
        <d v="2015-12-12T00:00:00"/>
        <d v="2015-12-13T00:00:00"/>
        <d v="2015-12-14T00:00:00"/>
        <d v="2015-12-15T00:00:00"/>
        <d v="2015-12-16T00:00:00"/>
        <d v="2015-12-17T00:00:00"/>
        <d v="2015-12-18T00:00:00"/>
        <d v="2015-12-19T00:00:00"/>
        <d v="2015-12-20T00:00:00"/>
        <d v="2015-12-21T00:00:00"/>
        <d v="2015-12-22T00:00:00"/>
        <d v="2015-12-23T00:00:00"/>
        <d v="2015-12-24T00:00:00"/>
        <d v="2015-12-25T00:00:00"/>
        <d v="2015-12-26T00:00:00"/>
        <d v="2015-12-27T00:00:00"/>
        <d v="2015-12-28T00:00:00"/>
        <d v="2015-12-29T00:00:00"/>
        <d v="2015-12-30T00:00:00"/>
        <d v="2015-12-31T00:00:00"/>
        <d v="2016-01-01T00:00:00"/>
        <d v="2016-01-02T00:00:00"/>
        <d v="2016-01-03T00:00:00"/>
        <d v="2016-01-04T00:00:00"/>
        <d v="2016-01-05T00:00:00"/>
        <d v="2016-01-06T00:00:00"/>
        <d v="2016-01-07T00:00:00"/>
        <d v="2016-01-08T00:00:00"/>
        <d v="2016-01-09T00:00:00"/>
        <d v="2016-01-10T00:00:00"/>
        <d v="2016-01-11T00:00:00"/>
        <d v="2016-01-12T00:00:00"/>
        <d v="2016-01-13T00:00:00"/>
        <d v="2016-01-14T00:00:00"/>
        <d v="2016-01-15T00:00:00"/>
        <d v="2016-01-16T00:00:00"/>
        <d v="2016-01-17T00:00:00"/>
        <d v="2016-01-18T00:00:00"/>
        <d v="2016-01-19T00:00:00"/>
        <d v="2016-01-20T00:00:00"/>
        <d v="2016-01-21T00:00:00"/>
        <d v="2016-01-22T00:00:00"/>
        <d v="2016-01-23T00:00:00"/>
        <d v="2016-01-24T00:00:00"/>
        <d v="2016-01-25T00:00:00"/>
        <d v="2016-01-26T00:00:00"/>
        <d v="2016-01-27T00:00:00"/>
        <d v="2016-01-28T00:00:00"/>
        <d v="2016-01-29T00:00:00"/>
        <d v="2016-01-30T00:00:00"/>
        <d v="2016-01-31T00:00:00"/>
        <d v="2016-02-01T00:00:00"/>
        <d v="2016-02-02T00:00:00"/>
        <d v="2016-02-03T00:00:00"/>
        <d v="2016-02-04T00:00:00"/>
        <d v="2016-02-05T00:00:00"/>
        <d v="2016-02-06T00:00:00"/>
        <d v="2016-02-07T00:00:00"/>
        <d v="2016-02-08T00:00:00"/>
        <d v="2016-02-09T00:00:00"/>
        <d v="2016-02-10T00:00:00"/>
        <d v="2016-02-11T00:00:00"/>
        <d v="2016-02-12T00:00:00"/>
        <d v="2016-02-13T00:00:00"/>
        <d v="2016-02-14T00:00:00"/>
        <d v="2016-02-15T00:00:00"/>
        <d v="2016-02-16T00:00:00"/>
        <d v="2016-02-17T00:00:00"/>
        <d v="2016-02-18T00:00:00"/>
        <d v="2016-02-19T00:00:00"/>
        <d v="2016-02-20T00:00:00"/>
        <d v="2016-02-21T00:00:00"/>
        <d v="2016-02-22T00:00:00"/>
        <d v="2016-02-23T00:00:00"/>
        <d v="2016-02-24T00:00:00"/>
        <d v="2016-02-25T00:00:00"/>
        <d v="2016-02-26T00:00:00"/>
        <d v="2016-02-27T00:00:00"/>
        <d v="2016-02-28T00:00:00"/>
        <d v="2016-02-29T00:00:00"/>
        <d v="2016-03-01T00:00:00"/>
        <d v="2016-03-02T00:00:00"/>
        <d v="2016-03-03T00:00:00"/>
        <d v="2016-03-04T00:00:00"/>
        <d v="2016-03-05T00:00:00"/>
        <d v="2016-03-06T00:00:00"/>
        <d v="2016-03-07T00:00:00"/>
        <d v="2016-03-08T00:00:00"/>
        <d v="2016-03-09T00:00:00"/>
        <d v="2016-03-10T00:00:00"/>
        <d v="2016-03-11T00:00:00"/>
        <d v="2016-03-12T00:00:00"/>
        <d v="2016-03-13T00:00:00"/>
        <d v="2016-03-14T00:00:00"/>
        <d v="2016-03-15T00:00:00"/>
        <d v="2016-03-16T00:00:00"/>
        <d v="2016-03-17T00:00:00"/>
        <d v="2016-03-18T00:00:00"/>
        <d v="2016-03-19T00:00:00"/>
        <d v="2016-03-20T00:00:00"/>
        <d v="2016-03-21T00:00:00"/>
        <d v="2016-03-22T00:00:00"/>
        <d v="2016-03-23T00:00:00"/>
        <d v="2016-03-24T00:00:00"/>
        <d v="2016-03-25T00:00:00"/>
        <d v="2016-03-26T00:00:00"/>
        <d v="2016-03-27T00:00:00"/>
        <d v="2016-03-28T00:00:00"/>
        <d v="2016-03-29T00:00:00"/>
        <d v="2016-03-30T00:00:00"/>
        <d v="2016-03-31T00:00:00"/>
        <d v="2016-04-01T00:00:00"/>
        <d v="2016-04-02T00:00:00"/>
        <d v="2016-04-03T00:00:00"/>
        <d v="2016-04-04T00:00:00"/>
        <d v="2016-04-05T00:00:00"/>
        <d v="2016-04-06T00:00:00"/>
        <d v="2016-04-07T00:00:00"/>
        <d v="2016-04-08T00:00:00"/>
        <d v="2016-04-09T00:00:00"/>
        <d v="2016-04-10T00:00:00"/>
        <d v="2016-04-11T00:00:00"/>
        <d v="2016-04-12T00:00:00"/>
        <d v="2016-04-13T00:00:00"/>
        <d v="2016-04-14T00:00:00"/>
        <d v="2016-04-15T00:00:00"/>
        <d v="2016-04-16T00:00:00"/>
        <d v="2016-04-17T00:00:00"/>
        <d v="2016-04-18T00:00:00"/>
        <d v="2016-04-19T00:00:00"/>
        <d v="2016-04-20T00:00:00"/>
        <d v="2016-04-21T00:00:00"/>
        <d v="2016-04-22T00:00:00"/>
        <d v="2016-04-23T00:00:00"/>
        <d v="2016-04-24T00:00:00"/>
        <d v="2016-04-25T00:00:00"/>
        <d v="2016-04-26T00:00:00"/>
        <d v="2016-04-27T00:00:00"/>
        <d v="2016-04-28T00:00:00"/>
        <d v="2016-04-29T00:00:00"/>
        <d v="2016-04-30T00:00:00"/>
        <d v="2016-05-01T00:00:00"/>
        <d v="2016-05-02T00:00:00"/>
        <d v="2016-05-03T00:00:00"/>
        <d v="2016-05-04T00:00:00"/>
        <d v="2016-05-05T00:00:00"/>
        <d v="2016-05-06T00:00:00"/>
        <d v="2016-05-07T00:00:00"/>
        <d v="2016-05-08T00:00:00"/>
        <d v="2016-05-09T00:00:00"/>
        <d v="2016-05-10T00:00:00"/>
        <d v="2016-05-11T00:00:00"/>
        <d v="2016-05-12T00:00:00"/>
        <d v="2016-05-13T00:00:00"/>
        <d v="2016-05-14T00:00:00"/>
        <d v="2016-05-15T00:00:00"/>
        <d v="2016-05-16T00:00:00"/>
        <d v="2016-05-17T00:00:00"/>
        <d v="2016-05-18T00:00:00"/>
        <d v="2016-05-19T00:00:00"/>
        <d v="2016-05-20T00:00:00"/>
        <d v="2016-05-21T00:00:00"/>
        <d v="2016-05-22T00:00:00"/>
        <d v="2016-05-23T00:00:00"/>
        <d v="2016-05-24T00:00:00"/>
        <d v="2016-05-25T00:00:00"/>
        <d v="2016-05-26T00:00:00"/>
        <d v="2016-05-27T00:00:00"/>
        <d v="2016-05-28T00:00:00"/>
        <d v="2016-05-29T00:00:00"/>
        <d v="2016-05-30T00:00:00"/>
        <d v="2016-05-31T00:00:00"/>
        <d v="2016-06-01T00:00:00"/>
        <d v="2016-06-02T00:00:00"/>
        <d v="2016-06-03T00:00:00"/>
        <d v="2016-06-04T00:00:00"/>
        <d v="2016-06-05T00:00:00"/>
        <d v="2016-06-06T00:00:00"/>
        <d v="2016-06-07T00:00:00"/>
        <d v="2016-06-08T00:00:00"/>
        <d v="2016-06-09T00:00:00"/>
        <d v="2016-06-10T00:00:00"/>
        <d v="2016-06-11T00:00:00"/>
        <d v="2016-06-12T00:00:00"/>
        <d v="2016-06-13T00:00:00"/>
        <d v="2016-06-14T00:00:00"/>
        <d v="2016-06-15T00:00:00"/>
        <d v="2016-06-16T00:00:00"/>
        <d v="2016-06-17T00:00:00"/>
        <d v="2016-06-18T00:00:00"/>
        <d v="2016-06-19T00:00:00"/>
        <d v="2016-06-20T00:00:00"/>
        <d v="2016-06-21T00:00:00"/>
        <d v="2016-06-22T00:00:00"/>
        <d v="2016-06-23T00:00:00"/>
        <d v="2016-06-24T00:00:00"/>
        <d v="2016-06-25T00:00:00"/>
        <d v="2016-06-26T00:00:00"/>
        <d v="2016-06-27T00:00:00"/>
        <d v="2016-06-28T00:00:00"/>
        <d v="2016-06-29T00:00:00"/>
        <d v="2016-06-30T00:00:00"/>
        <d v="2016-07-01T00:00:00"/>
        <d v="2016-07-02T00:00:00"/>
        <d v="2016-07-03T00:00:00"/>
        <d v="2016-07-04T00:00:00"/>
        <d v="2016-07-05T00:00:00"/>
        <d v="2016-07-06T00:00:00"/>
        <d v="2016-07-07T00:00:00"/>
        <d v="2016-07-08T00:00:00"/>
        <d v="2016-07-09T00:00:00"/>
        <d v="2016-07-10T00:00:00"/>
        <d v="2016-07-11T00:00:00"/>
        <d v="2016-07-12T00:00:00"/>
        <d v="2016-07-13T00:00:00"/>
        <d v="2016-07-14T00:00:00"/>
        <d v="2016-07-15T00:00:00"/>
        <d v="2016-07-16T00:00:00"/>
        <d v="2016-07-17T00:00:00"/>
        <d v="2016-07-18T00:00:00"/>
        <d v="2016-07-19T00:00:00"/>
        <d v="2016-07-20T00:00:00"/>
        <d v="2016-07-21T00:00:00"/>
        <d v="2016-07-22T00:00:00"/>
        <d v="2016-07-23T00:00:00"/>
        <d v="2016-07-24T00:00:00"/>
        <d v="2016-07-25T00:00:00"/>
        <d v="2016-07-26T00:00:00"/>
        <d v="2016-07-27T00:00:00"/>
        <d v="2016-07-28T00:00:00"/>
        <d v="2016-07-29T00:00:00"/>
        <d v="2016-07-30T00:00:00"/>
        <d v="2016-07-31T00:00:00"/>
        <d v="2016-08-01T00:00:00"/>
        <d v="2016-08-02T00:00:00"/>
        <d v="2016-08-03T00:00:00"/>
        <d v="2016-08-04T00:00:00"/>
        <d v="2016-08-05T00:00:00"/>
        <d v="2016-08-06T00:00:00"/>
        <d v="2016-08-07T00:00:00"/>
        <d v="2016-08-08T00:00:00"/>
        <d v="2016-08-09T00:00:00"/>
        <d v="2016-08-10T00:00:00"/>
        <d v="2016-08-11T00:00:00"/>
        <d v="2016-08-12T00:00:00"/>
        <d v="2016-08-13T00:00:00"/>
        <d v="2016-08-14T00:00:00"/>
        <d v="2016-08-15T00:00:00"/>
        <d v="2016-08-16T00:00:00"/>
        <d v="2016-08-17T00:00:00"/>
        <d v="2016-08-18T00:00:00"/>
        <d v="2016-08-19T00:00:00"/>
        <d v="2016-08-20T00:00:00"/>
        <d v="2016-08-21T00:00:00"/>
        <d v="2016-08-22T00:00:00"/>
        <d v="2016-08-23T00:00:00"/>
        <d v="2016-08-24T00:00:00"/>
        <d v="2016-08-25T00:00:00"/>
        <d v="2016-08-26T00:00:00"/>
        <d v="2016-08-27T00:00:00"/>
        <d v="2016-08-28T00:00:00"/>
        <d v="2016-08-29T00:00:00"/>
        <d v="2016-08-30T00:00:00"/>
        <d v="2016-08-31T00:00:00"/>
        <d v="2016-09-01T00:00:00"/>
        <d v="2016-09-02T00:00:00"/>
        <d v="2016-09-03T00:00:00"/>
        <d v="2016-09-04T00:00:00"/>
        <d v="2016-09-05T00:00:00"/>
        <d v="2016-09-06T00:00:00"/>
        <d v="2016-09-07T00:00:00"/>
        <d v="2016-09-08T00:00:00"/>
        <d v="2016-09-09T00:00:00"/>
        <d v="2016-09-10T00:00:00"/>
        <d v="2016-09-11T00:00:00"/>
        <d v="2016-09-12T00:00:00"/>
        <d v="2016-09-13T00:00:00"/>
        <d v="2016-09-14T00:00:00"/>
        <d v="2016-09-15T00:00:00"/>
        <d v="2016-09-16T00:00:00"/>
        <d v="2016-09-17T00:00:00"/>
        <d v="2016-09-18T00:00:00"/>
        <d v="2016-09-19T00:00:00"/>
        <d v="2016-09-20T00:00:00"/>
        <d v="2016-09-21T00:00:00"/>
        <d v="2016-09-22T00:00:00"/>
        <d v="2016-09-23T00:00:00"/>
        <d v="2016-09-24T00:00:00"/>
        <d v="2016-09-25T00:00:00"/>
        <d v="2016-09-26T00:00:00"/>
        <d v="2016-09-27T00:00:00"/>
        <d v="2016-09-28T00:00:00"/>
        <d v="2016-09-29T00:00:00"/>
        <d v="2016-09-30T00:00:00"/>
        <d v="2016-10-01T00:00:00"/>
        <d v="2016-10-02T00:00:00"/>
        <d v="2016-10-03T00:00:00"/>
        <d v="2016-10-04T00:00:00"/>
        <d v="2016-10-05T00:00:00"/>
        <d v="2016-10-06T00:00:00"/>
        <d v="2016-10-07T00:00:00"/>
        <d v="2016-10-08T00:00:00"/>
        <d v="2016-10-09T00:00:00"/>
        <d v="2016-10-10T00:00:00"/>
        <d v="2016-10-11T00:00:00"/>
        <d v="2016-10-12T00:00:00"/>
        <d v="2016-10-13T00:00:00"/>
        <d v="2016-10-14T00:00:00"/>
        <d v="2016-10-15T00:00:00"/>
        <d v="2016-10-16T00:00:00"/>
        <d v="2016-10-17T00:00:00"/>
        <d v="2016-10-18T00:00:00"/>
        <d v="2016-10-19T00:00:00"/>
        <d v="2016-10-20T00:00:00"/>
        <d v="2016-10-21T00:00:00"/>
        <d v="2016-10-22T00:00:00"/>
        <d v="2016-10-23T00:00:00"/>
        <d v="2016-10-24T00:00:00"/>
        <d v="2016-10-25T00:00:00"/>
        <d v="2016-10-26T00:00:00"/>
        <d v="2016-10-27T00:00:00"/>
        <d v="2016-10-28T00:00:00"/>
        <d v="2016-10-29T00:00:00"/>
        <d v="2016-10-30T00:00:00"/>
        <d v="2016-10-31T00:00:00"/>
        <d v="2016-11-01T00:00:00"/>
        <d v="2016-11-02T00:00:00"/>
        <d v="2016-11-03T00:00:00"/>
        <d v="2016-11-04T00:00:00"/>
        <d v="2016-11-05T00:00:00"/>
        <d v="2016-11-06T00:00:00"/>
        <d v="2016-11-07T00:00:00"/>
        <d v="2016-11-08T00:00:00"/>
        <d v="2016-11-09T00:00:00"/>
        <d v="2016-11-10T00:00:00"/>
        <d v="2016-11-11T00:00:00"/>
        <d v="2016-11-12T00:00:00"/>
        <d v="2016-11-13T00:00:00"/>
        <d v="2016-11-14T00:00:00"/>
        <d v="2016-11-15T00:00:00"/>
        <d v="2016-11-16T00:00:00"/>
        <d v="2016-11-17T00:00:00"/>
        <d v="2016-11-18T00:00:00"/>
        <d v="2016-11-19T00:00:00"/>
        <d v="2016-11-20T00:00:00"/>
        <d v="2016-11-21T00:00:00"/>
        <d v="2016-11-22T00:00:00"/>
        <d v="2016-11-23T00:00:00"/>
        <d v="2016-11-24T00:00:00"/>
        <d v="2016-11-25T00:00:00"/>
        <d v="2016-11-26T00:00:00"/>
        <d v="2016-11-27T00:00:00"/>
        <d v="2016-11-28T00:00:00"/>
        <d v="2016-11-29T00:00:00"/>
        <d v="2016-11-30T00:00:00"/>
        <d v="2016-12-01T00:00:00"/>
        <d v="2016-12-02T00:00:00"/>
        <d v="2016-12-03T00:00:00"/>
        <d v="2016-12-04T00:00:00"/>
        <d v="2016-12-05T00:00:00"/>
        <d v="2016-12-06T00:00:00"/>
        <d v="2016-12-07T00:00:00"/>
        <d v="2016-12-08T00:00:00"/>
        <d v="2016-12-09T00:00:00"/>
        <d v="2016-12-10T00:00:00"/>
        <d v="2016-12-11T00:00:00"/>
        <d v="2016-12-12T00:00:00"/>
        <d v="2016-12-13T00:00:00"/>
        <d v="2016-12-14T00:00:00"/>
        <d v="2016-12-15T00:00:00"/>
        <d v="2016-12-16T00:00:00"/>
        <d v="2016-12-17T00:00:00"/>
        <d v="2016-12-18T00:00:00"/>
        <d v="2016-12-19T00:00:00"/>
        <d v="2016-12-20T00:00:00"/>
        <d v="2016-12-21T00:00:00"/>
        <d v="2016-12-22T00:00:00"/>
        <d v="2016-12-23T00:00:00"/>
        <d v="2016-12-24T00:00:00"/>
        <d v="2016-12-25T00:00:00"/>
        <d v="2016-12-26T00:00:00"/>
        <d v="2016-12-27T00:00:00"/>
        <d v="2016-12-28T00:00:00"/>
        <d v="2016-12-29T00:00:00"/>
        <d v="2016-12-30T00:00:00"/>
        <d v="2016-12-31T00:00:00"/>
        <d v="2017-01-01T00:00:00"/>
        <d v="2017-01-02T00:00:00"/>
        <d v="2017-01-03T00:00:00"/>
        <d v="2017-01-04T00:00:00"/>
        <d v="2017-01-05T00:00:00"/>
        <d v="2017-01-06T00:00:00"/>
        <d v="2017-01-07T00:00:00"/>
        <d v="2017-01-08T00:00:00"/>
        <d v="2017-01-09T00:00:00"/>
        <d v="2017-01-10T00:00:00"/>
        <d v="2017-01-11T00:00:00"/>
        <d v="2017-01-12T00:00:00"/>
        <d v="2017-01-13T00:00:00"/>
        <d v="2017-01-14T00:00:00"/>
        <d v="2017-01-15T00:00:00"/>
        <d v="2017-01-16T00:00:00"/>
        <d v="2017-01-17T00:00:00"/>
        <d v="2017-01-18T00:00:00"/>
        <d v="2017-01-19T00:00:00"/>
        <d v="2017-01-20T00:00:00"/>
        <d v="2017-01-21T00:00:00"/>
        <d v="2017-01-22T00:00:00"/>
        <d v="2017-01-23T00:00:00"/>
        <d v="2017-01-24T00:00:00"/>
        <d v="2017-01-25T00:00:00"/>
        <d v="2017-01-26T00:00:00"/>
        <d v="2017-01-27T00:00:00"/>
        <d v="2017-01-28T00:00:00"/>
        <d v="2017-01-29T00:00:00"/>
        <d v="2017-01-30T00:00:00"/>
        <d v="2017-01-31T00:00:00"/>
        <d v="2017-02-01T00:00:00"/>
        <d v="2017-02-02T00:00:00"/>
        <d v="2017-02-03T00:00:00"/>
        <d v="2017-02-04T00:00:00"/>
        <d v="2017-02-05T00:00:00"/>
        <d v="2017-02-06T00:00:00"/>
        <d v="2017-02-07T00:00:00"/>
        <d v="2017-02-08T00:00:00"/>
        <d v="2017-02-09T00:00:00"/>
        <d v="2017-02-10T00:00:00"/>
        <d v="2017-02-11T00:00:00"/>
        <d v="2017-02-12T00:00:00"/>
        <d v="2017-02-13T00:00:00"/>
        <d v="2017-02-14T00:00:00"/>
        <d v="2017-02-15T00:00:00"/>
        <d v="2017-02-16T00:00:00"/>
        <d v="2017-02-17T00:00:00"/>
        <d v="2017-02-18T00:00:00"/>
        <d v="2017-02-19T00:00:00"/>
        <d v="2017-02-20T00:00:00"/>
        <d v="2017-02-21T00:00:00"/>
        <d v="2017-02-22T00:00:00"/>
        <d v="2017-02-23T00:00:00"/>
        <d v="2017-02-24T00:00:00"/>
        <d v="2017-02-25T00:00:00"/>
        <d v="2017-02-26T00:00:00"/>
        <d v="2017-02-27T00:00:00"/>
        <d v="2017-02-28T00:00:00"/>
        <d v="2017-03-01T00:00:00"/>
        <d v="2017-03-02T00:00:00"/>
        <d v="2017-03-03T00:00:00"/>
        <d v="2017-03-04T00:00:00"/>
        <d v="2017-03-05T00:00:00"/>
        <d v="2017-03-06T00:00:00"/>
        <d v="2017-03-07T00:00:00"/>
        <d v="2017-03-08T00:00:00"/>
        <d v="2017-03-09T00:00:00"/>
        <d v="2017-03-10T00:00:00"/>
        <d v="2017-03-11T00:00:00"/>
        <d v="2017-03-12T00:00:00"/>
        <d v="2017-03-13T00:00:00"/>
        <d v="2017-03-14T00:00:00"/>
        <d v="2017-03-15T00:00:00"/>
        <d v="2017-03-16T00:00:00"/>
        <d v="2017-03-17T00:00:00"/>
        <d v="2017-03-18T00:00:00"/>
        <d v="2017-03-19T00:00:00"/>
        <d v="2017-03-20T00:00:00"/>
        <d v="2017-03-21T00:00:00"/>
        <d v="2017-03-22T00:00:00"/>
        <d v="2017-03-23T00:00:00"/>
        <d v="2017-03-24T00:00:00"/>
        <d v="2017-03-25T00:00:00"/>
        <d v="2017-03-26T00:00:00"/>
        <d v="2017-03-27T00:00:00"/>
        <d v="2017-03-28T00:00:00"/>
        <d v="2017-03-29T00:00:00"/>
        <d v="2017-03-30T00:00:00"/>
        <d v="2017-03-31T00:00:00"/>
        <d v="2017-04-01T00:00:00"/>
        <d v="2017-04-02T00:00:00"/>
        <d v="2017-04-03T00:00:00"/>
        <d v="2017-04-04T00:00:00"/>
        <d v="2017-04-05T00:00:00"/>
        <d v="2017-04-06T00:00:00"/>
        <d v="2017-04-07T00:00:00"/>
        <d v="2017-04-08T00:00:00"/>
        <d v="2017-04-09T00:00:00"/>
        <d v="2017-04-10T00:00:00"/>
        <d v="2017-04-11T00:00:00"/>
        <d v="2017-04-12T00:00:00"/>
        <d v="2017-04-13T00:00:00"/>
        <d v="2017-04-14T00:00:00"/>
        <d v="2017-04-15T00:00:00"/>
        <d v="2017-04-16T00:00:00"/>
        <d v="2017-04-17T00:00:00"/>
        <d v="2017-04-18T00:00:00"/>
        <d v="2017-04-19T00:00:00"/>
        <d v="2017-04-20T00:00:00"/>
        <d v="2017-04-21T00:00:00"/>
        <d v="2017-04-22T00:00:00"/>
        <d v="2017-04-23T00:00:00"/>
        <d v="2017-04-24T00:00:00"/>
        <d v="2017-04-25T00:00:00"/>
        <d v="2017-04-26T00:00:00"/>
        <d v="2017-04-27T00:00:00"/>
        <d v="2017-04-28T00:00:00"/>
        <d v="2017-04-29T00:00:00"/>
        <d v="2017-04-30T00:00:00"/>
        <d v="2017-05-01T00:00:00"/>
        <d v="2017-05-02T00:00:00"/>
        <d v="2017-05-03T00:00:00"/>
        <d v="2017-05-04T00:00:00"/>
        <d v="2017-05-05T00:00:00"/>
        <d v="2017-05-06T00:00:00"/>
        <d v="2017-05-07T00:00:00"/>
        <d v="2017-05-08T00:00:00"/>
        <d v="2017-05-09T00:00:00"/>
        <d v="2017-05-10T00:00:00"/>
        <d v="2017-05-11T00:00:00"/>
        <d v="2017-05-12T00:00:00"/>
        <d v="2017-05-13T00:00:00"/>
        <d v="2017-05-14T00:00:00"/>
        <d v="2017-05-15T00:00:00"/>
        <d v="2017-05-16T00:00:00"/>
        <d v="2017-05-17T00:00:00"/>
        <d v="2017-05-18T00:00:00"/>
        <d v="2017-05-19T00:00:00"/>
        <d v="2017-05-20T00:00:00"/>
        <d v="2017-05-21T00:00:00"/>
        <d v="2017-05-22T00:00:00"/>
        <d v="2017-05-23T00:00:00"/>
        <d v="2017-05-24T00:00:00"/>
        <d v="2017-05-25T00:00:00"/>
        <d v="2017-05-26T00:00:00"/>
        <d v="2017-05-27T00:00:00"/>
        <d v="2017-05-28T00:00:00"/>
        <d v="2017-05-29T00:00:00"/>
        <d v="2017-05-30T00:00:00"/>
        <d v="2017-05-31T00:00:00"/>
        <d v="2017-06-01T00:00:00"/>
        <d v="2017-06-02T00:00:00"/>
        <d v="2017-06-03T00:00:00"/>
        <d v="2017-06-04T00:00:00"/>
        <d v="2017-06-05T00:00:00"/>
        <d v="2017-06-06T00:00:00"/>
        <d v="2017-06-07T00:00:00"/>
        <d v="2017-06-08T00:00:00"/>
        <d v="2017-06-09T00:00:00"/>
        <d v="2017-06-10T00:00:00"/>
        <d v="2017-06-11T00:00:00"/>
        <d v="2017-06-12T00:00:00"/>
        <d v="2017-06-13T00:00:00"/>
        <d v="2017-06-14T00:00:00"/>
        <d v="2017-06-15T00:00:00"/>
        <d v="2017-06-16T00:00:00"/>
        <d v="2017-06-17T00:00:00"/>
        <d v="2017-06-18T00:00:00"/>
        <d v="2017-06-19T00:00:00"/>
        <d v="2017-06-20T00:00:00"/>
        <d v="2017-06-21T00:00:00"/>
        <d v="2017-06-22T00:00:00"/>
        <d v="2017-06-23T00:00:00"/>
        <d v="2017-06-24T00:00:00"/>
        <d v="2017-06-25T00:00:00"/>
        <d v="2017-06-26T00:00:00"/>
        <d v="2017-06-27T00:00:00"/>
        <d v="2017-06-28T00:00:00"/>
        <d v="2017-06-29T00:00:00"/>
        <d v="2017-06-30T00:00:00"/>
        <d v="2017-07-01T00:00:00"/>
        <d v="2017-07-02T00:00:00"/>
        <d v="2017-07-03T00:00:00"/>
        <d v="2017-07-04T00:00:00"/>
        <d v="2017-07-05T00:00:00"/>
        <d v="2017-07-06T00:00:00"/>
        <d v="2017-07-07T00:00:00"/>
        <d v="2017-07-08T00:00:00"/>
        <d v="2017-07-09T00:00:00"/>
        <d v="2017-07-10T00:00:00"/>
        <d v="2017-07-11T00:00:00"/>
        <d v="2017-07-12T00:00:00"/>
        <d v="2017-07-13T00:00:00"/>
        <d v="2017-07-14T00:00:00"/>
        <d v="2017-07-15T00:00:00"/>
        <d v="2017-07-16T00:00:00"/>
        <d v="2017-07-17T00:00:00"/>
        <d v="2017-07-18T00:00:00"/>
        <d v="2017-07-19T00:00:00"/>
        <d v="2017-07-20T00:00:00"/>
        <d v="2017-07-21T00:00:00"/>
        <d v="2017-07-22T00:00:00"/>
        <d v="2017-07-23T00:00:00"/>
        <d v="2017-07-24T00:00:00"/>
        <d v="2017-07-25T00:00:00"/>
        <d v="2017-07-26T00:00:00"/>
        <d v="2017-07-27T00:00:00"/>
        <d v="2017-07-28T00:00:00"/>
        <d v="2017-07-29T00:00:00"/>
        <d v="2017-07-30T00:00:00"/>
        <d v="2017-07-31T00:00:00"/>
        <d v="2017-08-01T00:00:00"/>
        <d v="2017-08-02T00:00:00"/>
        <d v="2017-08-03T00:00:00"/>
        <d v="2017-08-04T00:00:00"/>
        <d v="2017-08-05T00:00:00"/>
        <d v="2017-08-06T00:00:00"/>
        <d v="2017-08-07T00:00:00"/>
        <d v="2017-08-08T00:00:00"/>
        <d v="2017-08-09T00:00:00"/>
        <d v="2017-08-10T00:00:00"/>
        <d v="2017-08-11T00:00:00"/>
        <d v="2017-08-12T00:00:00"/>
        <d v="2017-08-13T00:00:00"/>
        <d v="2017-08-14T00:00:00"/>
        <d v="2017-08-15T00:00:00"/>
        <d v="2017-08-16T00:00:00"/>
        <d v="2017-08-17T00:00:00"/>
        <d v="2017-08-18T00:00:00"/>
        <d v="2017-08-19T00:00:00"/>
        <d v="2017-08-20T00:00:00"/>
        <d v="2017-08-21T00:00:00"/>
        <d v="2017-08-22T00:00:00"/>
        <d v="2017-08-23T00:00:00"/>
        <d v="2017-08-24T00:00:00"/>
        <d v="2017-08-25T00:00:00"/>
        <d v="2017-08-26T00:00:00"/>
        <d v="2017-08-27T00:00:00"/>
        <d v="2017-08-28T00:00:00"/>
        <d v="2017-08-29T00:00:00"/>
        <d v="2017-08-30T00:00:00"/>
        <d v="2017-08-31T00:00:00"/>
        <d v="2017-09-01T00:00:00"/>
        <d v="2017-09-02T00:00:00"/>
        <d v="2017-09-03T00:00:00"/>
        <d v="2017-09-04T00:00:00"/>
        <d v="2017-09-05T00:00:00"/>
        <d v="2017-09-06T00:00:00"/>
        <d v="2017-09-07T00:00:00"/>
        <d v="2017-09-08T00:00:00"/>
        <d v="2017-09-09T00:00:00"/>
        <d v="2017-09-10T00:00:00"/>
        <d v="2017-09-11T00:00:00"/>
        <d v="2017-09-12T00:00:00"/>
        <d v="2017-09-13T00:00:00"/>
        <d v="2017-09-14T00:00:00"/>
        <d v="2017-09-15T00:00:00"/>
        <d v="2017-09-16T00:00:00"/>
        <d v="2017-09-17T00:00:00"/>
        <d v="2017-09-18T00:00:00"/>
        <d v="2017-09-19T00:00:00"/>
        <d v="2017-09-20T00:00:00"/>
        <d v="2017-09-21T00:00:00"/>
        <d v="2017-09-22T00:00:00"/>
        <d v="2017-09-23T00:00:00"/>
        <d v="2017-09-24T00:00:00"/>
        <d v="2017-09-25T00:00:00"/>
        <d v="2017-09-26T00:00:00"/>
        <d v="2017-09-27T00:00:00"/>
        <d v="2017-09-28T00:00:00"/>
        <d v="2017-09-29T00:00:00"/>
        <d v="2017-09-30T00:00:00"/>
        <d v="2017-10-01T00:00:00"/>
        <d v="2017-10-02T00:00:00"/>
        <d v="2017-10-03T00:00:00"/>
        <d v="2017-10-04T00:00:00"/>
        <d v="2017-10-05T00:00:00"/>
        <d v="2017-10-06T00:00:00"/>
        <d v="2017-10-07T00:00:00"/>
        <d v="2017-10-08T00:00:00"/>
        <d v="2017-10-09T00:00:00"/>
        <d v="2017-10-10T00:00:00"/>
        <d v="2017-10-11T00:00:00"/>
        <d v="2017-10-12T00:00:00"/>
        <d v="2017-10-13T00:00:00"/>
        <d v="2017-10-14T00:00:00"/>
        <d v="2017-10-15T00:00:00"/>
        <d v="2017-10-16T00:00:00"/>
        <d v="2017-10-17T00:00:00"/>
        <d v="2017-10-18T00:00:00"/>
        <d v="2017-10-19T00:00:00"/>
        <d v="2017-10-20T00:00:00"/>
        <d v="2017-10-21T00:00:00"/>
        <d v="2017-10-22T00:00:00"/>
        <d v="2017-10-23T00:00:00"/>
        <d v="2017-10-24T00:00:00"/>
        <d v="2017-10-25T00:00:00"/>
        <d v="2017-10-26T00:00:00"/>
        <d v="2017-10-27T00:00:00"/>
        <d v="2017-10-28T00:00:00"/>
        <d v="2017-10-29T00:00:00"/>
        <d v="2017-10-30T00:00:00"/>
        <d v="2017-10-31T00:00:00"/>
        <d v="2017-11-01T00:00:00"/>
        <d v="2017-11-02T00:00:00"/>
        <d v="2017-11-03T00:00:00"/>
        <d v="2017-11-04T00:00:00"/>
        <d v="2017-11-05T00:00:00"/>
        <d v="2017-11-06T00:00:00"/>
        <d v="2017-11-07T00:00:00"/>
        <d v="2017-11-08T00:00:00"/>
        <d v="2017-11-09T00:00:00"/>
        <d v="2017-11-10T00:00:00"/>
        <d v="2017-11-11T00:00:00"/>
        <d v="2017-11-12T00:00:00"/>
        <d v="2017-11-13T00:00:00"/>
        <d v="2017-11-14T00:00:00"/>
        <d v="2017-11-15T00:00:00"/>
        <d v="2017-11-16T00:00:00"/>
        <d v="2017-11-17T00:00:00"/>
        <d v="2017-11-18T00:00:00"/>
        <d v="2017-11-19T00:00:00"/>
        <d v="2017-11-20T00:00:00"/>
        <d v="2017-11-21T00:00:00"/>
        <d v="2017-11-22T00:00:00"/>
        <d v="2017-11-23T00:00:00"/>
        <d v="2017-11-24T00:00:00"/>
        <d v="2017-11-25T00:00:00"/>
        <d v="2017-11-26T00:00:00"/>
        <d v="2017-11-27T00:00:00"/>
        <d v="2017-11-28T00:00:00"/>
        <d v="2017-11-29T00:00:00"/>
        <d v="2017-11-30T00:00:00"/>
        <d v="2017-12-01T00:00:00"/>
        <d v="2017-12-02T00:00:00"/>
        <d v="2017-12-03T00:00:00"/>
        <d v="2017-12-04T00:00:00"/>
        <d v="2017-12-05T00:00:00"/>
        <d v="2017-12-06T00:00:00"/>
        <d v="2017-12-07T00:00:00"/>
        <d v="2017-12-08T00:00:00"/>
        <d v="2017-12-09T00:00:00"/>
        <d v="2017-12-10T00:00:00"/>
        <d v="2017-12-11T00:00:00"/>
        <d v="2017-12-12T00:00:00"/>
        <d v="2017-12-13T00:00:00"/>
        <d v="2017-12-14T00:00:00"/>
        <d v="2017-12-15T00:00:00"/>
        <d v="2017-12-16T00:00:00"/>
        <d v="2017-12-17T00:00:00"/>
        <d v="2017-12-18T00:00:00"/>
        <d v="2017-12-19T00:00:00"/>
        <d v="2017-12-20T00:00:00"/>
        <d v="2017-12-21T00:00:00"/>
        <d v="2017-12-22T00:00:00"/>
        <d v="2017-12-23T00:00:00"/>
        <d v="2017-12-24T00:00:00"/>
        <d v="2017-12-25T00:00:00"/>
        <d v="2017-12-26T00:00:00"/>
        <d v="2017-12-27T00:00:00"/>
        <d v="2017-12-28T00:00:00"/>
        <d v="2017-12-29T00:00:00"/>
        <d v="2017-12-30T00:00:00"/>
        <d v="2017-12-31T00:00:00"/>
        <d v="2018-01-01T00:00:00"/>
        <d v="2018-01-02T00:00:00"/>
        <d v="2018-01-03T00:00:00"/>
        <d v="2018-01-04T00:00:00"/>
        <d v="2018-01-05T00:00:00"/>
        <d v="2018-01-06T00:00:00"/>
        <d v="2018-01-07T00:00:00"/>
        <d v="2018-01-08T00:00:00"/>
        <d v="2018-01-09T00:00:00"/>
        <d v="2018-01-10T00:00:00"/>
        <d v="2018-01-11T00:00:00"/>
        <d v="2018-01-12T00:00:00"/>
        <d v="2018-01-13T00:00:00"/>
        <d v="2018-01-14T00:00:00"/>
        <d v="2018-01-15T00:00:00"/>
        <d v="2018-01-16T00:00:00"/>
        <d v="2018-01-17T00:00:00"/>
        <d v="2018-01-18T00:00:00"/>
        <d v="2018-01-19T00:00:00"/>
        <d v="2018-01-20T00:00:00"/>
        <d v="2018-01-21T00:00:00"/>
        <d v="2018-01-22T00:00:00"/>
        <d v="2018-01-23T00:00:00"/>
        <d v="2018-01-24T00:00:00"/>
        <d v="2018-01-25T00:00:00"/>
        <d v="2018-01-26T00:00:00"/>
        <d v="2018-01-27T00:00:00"/>
        <d v="2018-01-28T00:00:00"/>
        <d v="2018-01-29T00:00:00"/>
        <d v="2018-01-30T00:00:00"/>
        <d v="2018-01-31T00:00:00"/>
        <d v="2018-02-01T00:00:00"/>
        <d v="2018-02-02T00:00:00"/>
        <d v="2018-02-03T00:00:00"/>
        <d v="2018-02-04T00:00:00"/>
        <d v="2018-02-05T00:00:00"/>
        <d v="2018-02-06T00:00:00"/>
        <d v="2018-02-07T00:00:00"/>
        <d v="2018-02-08T00:00:00"/>
        <d v="2018-02-09T00:00:00"/>
        <d v="2018-02-10T00:00:00"/>
        <d v="2018-02-11T00:00:00"/>
        <d v="2018-02-12T00:00:00"/>
        <d v="2018-02-13T00:00:00"/>
        <d v="2018-02-14T00:00:00"/>
        <d v="2018-02-15T00:00:00"/>
        <d v="2018-02-16T00:00:00"/>
        <d v="2018-02-17T00:00:00"/>
        <d v="2018-02-18T00:00:00"/>
        <d v="2018-02-19T00:00:00"/>
        <d v="2018-02-20T00:00:00"/>
        <d v="2018-02-21T00:00:00"/>
        <d v="2018-02-22T00:00:00"/>
        <d v="2018-02-23T00:00:00"/>
        <d v="2018-02-24T00:00:00"/>
        <d v="2018-02-25T00:00:00"/>
        <d v="2018-02-26T00:00:00"/>
        <d v="2018-02-27T00:00:00"/>
        <d v="2018-02-28T00:00:00"/>
        <d v="2018-03-01T00:00:00"/>
        <d v="2018-03-02T00:00:00"/>
        <d v="2018-03-03T00:00:00"/>
        <d v="2018-03-04T00:00:00"/>
        <d v="2018-03-05T00:00:00"/>
        <d v="2018-03-06T00:00:00"/>
        <d v="2018-03-07T00:00:00"/>
        <d v="2018-03-08T00:00:00"/>
        <d v="2018-03-09T00:00:00"/>
        <d v="2018-03-10T00:00:00"/>
        <d v="2018-03-11T00:00:00"/>
        <d v="2018-03-12T00:00:00"/>
        <d v="2018-03-13T00:00:00"/>
        <d v="2018-03-14T00:00:00"/>
        <d v="2018-03-15T00:00:00"/>
        <d v="2018-03-16T00:00:00"/>
        <d v="2018-03-17T00:00:00"/>
        <d v="2018-03-18T00:00:00"/>
        <d v="2018-03-19T00:00:00"/>
        <d v="2018-03-20T00:00:00"/>
        <d v="2018-03-21T00:00:00"/>
        <d v="2018-03-22T00:00:00"/>
        <d v="2018-03-23T00:00:00"/>
        <d v="2018-03-24T00:00:00"/>
        <d v="2018-03-25T00:00:00"/>
        <d v="2018-03-26T00:00:00"/>
        <d v="2018-03-27T00:00:00"/>
        <d v="2018-03-28T00:00:00"/>
        <d v="2018-03-29T00:00:00"/>
        <d v="2018-03-30T00:00:00"/>
        <d v="2018-03-31T00:00:00"/>
        <d v="2018-04-01T00:00:00"/>
        <d v="2018-04-02T00:00:00"/>
        <d v="2018-04-03T00:00:00"/>
        <d v="2018-04-04T00:00:00"/>
        <d v="2018-04-05T00:00:00"/>
        <d v="2018-04-06T00:00:00"/>
        <d v="2018-04-07T00:00:00"/>
        <d v="2018-04-08T00:00:00"/>
        <d v="2018-04-09T00:00:00"/>
        <d v="2018-04-10T00:00:00"/>
        <d v="2018-04-11T00:00:00"/>
        <d v="2018-04-12T00:00:00"/>
        <d v="2018-04-13T00:00:00"/>
        <d v="2018-04-14T00:00:00"/>
        <d v="2018-04-15T00:00:00"/>
        <d v="2018-04-16T00:00:00"/>
        <d v="2018-04-17T00:00:00"/>
        <d v="2018-04-18T00:00:00"/>
        <d v="2018-04-19T00:00:00"/>
        <d v="2018-04-20T00:00:00"/>
        <d v="2018-04-21T00:00:00"/>
        <d v="2018-04-22T00:00:00"/>
        <d v="2018-04-23T00:00:00"/>
        <d v="2018-04-24T00:00:00"/>
        <d v="2018-04-25T00:00:00"/>
        <d v="2018-04-26T00:00:00"/>
        <d v="2018-04-27T00:00:00"/>
        <d v="2018-04-28T00:00:00"/>
        <d v="2018-04-29T00:00:00"/>
        <d v="2018-04-30T00:00:00"/>
        <d v="2018-05-01T00:00:00"/>
        <d v="2018-05-02T00:00:00"/>
        <d v="2018-05-03T00:00:00"/>
        <d v="2018-05-04T00:00:00"/>
        <d v="2018-05-05T00:00:00"/>
        <d v="2018-05-06T00:00:00"/>
        <d v="2018-05-07T00:00:00"/>
        <d v="2018-05-08T00:00:00"/>
        <d v="2018-05-09T00:00:00"/>
        <d v="2018-05-10T00:00:00"/>
        <d v="2018-05-11T00:00:00"/>
        <d v="2018-05-12T00:00:00"/>
        <d v="2018-05-13T00:00:00"/>
        <d v="2018-05-14T00:00:00"/>
        <d v="2018-05-15T00:00:00"/>
        <d v="2018-05-16T00:00:00"/>
        <d v="2018-05-17T00:00:00"/>
        <d v="2018-05-18T00:00:00"/>
        <d v="2018-05-19T00:00:00"/>
        <d v="2018-05-20T00:00:00"/>
        <d v="2018-05-21T00:00:00"/>
        <d v="2018-05-22T00:00:00"/>
        <d v="2018-05-23T00:00:00"/>
        <d v="2018-05-24T00:00:00"/>
        <d v="2018-05-25T00:00:00"/>
        <d v="2018-05-26T00:00:00"/>
        <d v="2018-05-27T00:00:00"/>
        <d v="2018-05-28T00:00:00"/>
        <d v="2018-05-29T00:00:00"/>
        <d v="2018-05-30T00:00:00"/>
        <d v="2018-05-31T00:00:00"/>
        <d v="2018-06-01T00:00:00"/>
        <d v="2018-06-02T00:00:00"/>
        <d v="2018-06-03T00:00:00"/>
        <d v="2018-06-04T00:00:00"/>
        <d v="2018-06-05T00:00:00"/>
        <d v="2018-06-06T00:00:00"/>
        <d v="2018-06-07T00:00:00"/>
        <d v="2018-06-08T00:00:00"/>
        <d v="2018-06-09T00:00:00"/>
        <d v="2018-06-10T00:00:00"/>
        <d v="2018-06-11T00:00:00"/>
        <d v="2018-06-12T00:00:00"/>
        <d v="2018-06-13T00:00:00"/>
        <d v="2018-06-14T00:00:00"/>
        <d v="2018-06-15T00:00:00"/>
        <d v="2018-06-16T00:00:00"/>
        <d v="2018-06-17T00:00:00"/>
        <d v="2018-06-18T00:00:00"/>
        <d v="2018-06-19T00:00:00"/>
        <d v="2018-06-20T00:00:00"/>
        <d v="2018-06-21T00:00:00"/>
        <d v="2018-06-22T00:00:00"/>
        <d v="2018-06-23T00:00:00"/>
        <d v="2018-06-24T00:00:00"/>
        <d v="2018-06-25T00:00:00"/>
        <d v="2018-06-26T00:00:00"/>
        <d v="2018-06-27T00:00:00"/>
        <d v="2018-06-28T00:00:00"/>
        <d v="2018-06-29T00:00:00"/>
        <d v="2018-06-30T00:00:00"/>
        <d v="2018-07-01T00:00:00"/>
        <d v="2018-07-02T00:00:00"/>
        <d v="2018-07-03T00:00:00"/>
        <d v="2018-07-04T00:00:00"/>
        <d v="2018-07-05T00:00:00"/>
        <d v="2018-07-06T00:00:00"/>
        <d v="2018-07-07T00:00:00"/>
        <d v="2018-07-08T00:00:00"/>
        <d v="2018-07-09T00:00:00"/>
        <d v="2018-07-10T00:00:00"/>
        <d v="2018-07-11T00:00:00"/>
        <d v="2018-07-12T00:00:00"/>
        <d v="2018-07-13T00:00:00"/>
        <d v="2018-07-14T00:00:00"/>
        <d v="2018-07-15T00:00:00"/>
        <d v="2018-07-16T00:00:00"/>
        <d v="2018-07-17T00:00:00"/>
        <d v="2018-07-18T00:00:00"/>
        <d v="2018-07-19T00:00:00"/>
        <d v="2018-07-20T00:00:00"/>
        <d v="2018-07-21T00:00:00"/>
        <d v="2018-07-22T00:00:00"/>
        <d v="2018-07-23T00:00:00"/>
        <d v="2018-07-24T00:00:00"/>
        <d v="2018-07-25T00:00:00"/>
        <d v="2018-07-26T00:00:00"/>
        <d v="2018-07-27T00:00:00"/>
        <d v="2018-07-28T00:00:00"/>
        <d v="2018-07-29T00:00:00"/>
        <d v="2018-07-30T00:00:00"/>
        <d v="2018-07-31T00:00:00"/>
        <d v="2018-08-01T00:00:00"/>
        <d v="2018-08-02T00:00:00"/>
        <d v="2018-08-03T00:00:00"/>
        <d v="2018-08-04T00:00:00"/>
        <d v="2018-08-05T00:00:00"/>
        <d v="2018-08-06T00:00:00"/>
        <d v="2018-08-07T00:00:00"/>
        <d v="2018-08-08T00:00:00"/>
        <d v="2018-08-09T00:00:00"/>
        <d v="2018-08-10T00:00:00"/>
        <d v="2018-08-11T00:00:00"/>
        <d v="2018-08-12T00:00:00"/>
        <d v="2018-08-13T00:00:00"/>
        <d v="2018-08-14T00:00:00"/>
        <d v="2018-08-15T00:00:00"/>
        <d v="2018-08-16T00:00:00"/>
        <d v="2018-08-17T00:00:00"/>
        <d v="2018-08-18T00:00:00"/>
        <d v="2018-08-19T00:00:00"/>
        <d v="2018-08-20T00:00:00"/>
        <d v="2018-08-21T00:00:00"/>
        <d v="2018-08-22T00:00:00"/>
        <d v="2018-08-23T00:00:00"/>
        <d v="2018-08-24T00:00:00"/>
        <d v="2018-08-25T00:00:00"/>
        <d v="2018-08-26T00:00:00"/>
        <d v="2018-08-27T00:00:00"/>
        <d v="2018-08-28T00:00:00"/>
        <d v="2018-08-29T00:00:00"/>
        <d v="2018-08-30T00:00:00"/>
        <d v="2018-08-31T00:00:00"/>
        <d v="2018-09-01T00:00:00"/>
        <d v="2018-09-02T00:00:00"/>
        <d v="2018-09-03T00:00:00"/>
        <d v="2018-09-04T00:00:00"/>
        <d v="2018-09-05T00:00:00"/>
        <d v="2018-09-06T00:00:00"/>
        <d v="2018-09-07T00:00:00"/>
        <d v="2018-09-08T00:00:00"/>
        <d v="2018-09-09T00:00:00"/>
        <d v="2018-09-10T00:00:00"/>
        <d v="2018-09-11T00:00:00"/>
        <d v="2018-09-12T00:00:00"/>
        <d v="2018-09-13T00:00:00"/>
        <d v="2018-09-14T00:00:00"/>
        <d v="2018-09-15T00:00:00"/>
        <d v="2018-09-16T00:00:00"/>
        <d v="2018-09-17T00:00:00"/>
        <d v="2018-09-18T00:00:00"/>
        <d v="2018-09-19T00:00:00"/>
        <d v="2018-09-20T00:00:00"/>
        <d v="2018-09-21T00:00:00"/>
        <d v="2018-09-22T00:00:00"/>
        <d v="2018-09-23T00:00:00"/>
        <d v="2018-09-24T00:00:00"/>
        <d v="2018-09-25T00:00:00"/>
        <d v="2018-09-26T00:00:00"/>
        <d v="2018-09-27T00:00:00"/>
        <d v="2018-09-28T00:00:00"/>
        <d v="2018-09-29T00:00:00"/>
        <d v="2018-09-30T00:00:00"/>
        <d v="2018-10-01T00:00:00"/>
        <d v="2018-10-02T00:00:00"/>
        <d v="2018-10-03T00:00:00"/>
        <d v="2018-10-04T00:00:00"/>
        <d v="2018-10-05T00:00:00"/>
        <d v="2018-10-06T00:00:00"/>
        <d v="2018-10-07T00:00:00"/>
        <d v="2018-10-08T00:00:00"/>
        <d v="2018-10-09T00:00:00"/>
        <d v="2018-10-10T00:00:00"/>
        <d v="2018-10-11T00:00:00"/>
        <d v="2018-10-12T00:00:00"/>
        <d v="2018-10-13T00:00:00"/>
        <d v="2018-10-14T00:00:00"/>
        <d v="2018-10-15T00:00:00"/>
        <d v="2018-10-16T00:00:00"/>
        <d v="2018-10-17T00:00:00"/>
        <d v="2018-10-18T00:00:00"/>
        <d v="2018-10-19T00:00:00"/>
        <d v="2018-10-20T00:00:00"/>
        <d v="2018-10-21T00:00:00"/>
        <d v="2018-10-22T00:00:00"/>
        <d v="2018-10-23T00:00:00"/>
        <d v="2018-10-24T00:00:00"/>
        <d v="2018-10-25T00:00:00"/>
        <d v="2018-10-26T00:00:00"/>
        <d v="2018-10-27T00:00:00"/>
        <d v="2018-10-28T00:00:00"/>
        <d v="2018-10-29T00:00:00"/>
        <d v="2018-10-30T00:00:00"/>
        <d v="2018-10-31T00:00:00"/>
        <d v="2018-11-01T00:00:00"/>
        <d v="2018-11-02T00:00:00"/>
        <d v="2018-11-03T00:00:00"/>
        <d v="2018-11-04T00:00:00"/>
        <d v="2018-11-05T00:00:00"/>
        <d v="2018-11-06T00:00:00"/>
        <d v="2018-11-07T00:00:00"/>
        <d v="2018-11-08T00:00:00"/>
        <d v="2018-11-09T00:00:00"/>
        <d v="2018-11-10T00:00:00"/>
        <d v="2018-11-11T00:00:00"/>
        <d v="2018-11-12T00:00:00"/>
        <d v="2018-11-13T00:00:00"/>
        <d v="2018-11-14T00:00:00"/>
        <d v="2018-11-15T00:00:00"/>
        <d v="2018-11-16T00:00:00"/>
        <d v="2018-11-17T00:00:00"/>
        <d v="2018-11-18T00:00:00"/>
        <d v="2018-11-19T00:00:00"/>
        <d v="2018-11-20T00:00:00"/>
        <d v="2018-11-21T00:00:00"/>
        <d v="2018-11-22T00:00:00"/>
        <d v="2018-11-23T00:00:00"/>
        <d v="2018-11-24T00:00:00"/>
        <d v="2018-11-25T00:00:00"/>
        <d v="2018-11-26T00:00:00"/>
        <d v="2018-11-27T00:00:00"/>
        <d v="2018-11-28T00:00:00"/>
        <d v="2018-11-29T00:00:00"/>
        <d v="2018-11-30T00:00:00"/>
        <d v="2018-12-01T00:00:00"/>
        <d v="2018-12-02T00:00:00"/>
        <d v="2018-12-03T00:00:00"/>
        <d v="2018-12-04T00:00:00"/>
        <d v="2018-12-05T00:00:00"/>
        <d v="2018-12-06T00:00:00"/>
        <d v="2018-12-07T00:00:00"/>
        <d v="2018-12-08T00:00:00"/>
        <d v="2018-12-09T00:00:00"/>
        <d v="2018-12-10T00:00:00"/>
        <d v="2018-12-11T00:00:00"/>
        <d v="2018-12-12T00:00:00"/>
        <d v="2018-12-13T00:00:00"/>
        <d v="2018-12-14T00:00:00"/>
        <d v="2018-12-15T00:00:00"/>
        <d v="2018-12-16T00:00:00"/>
        <d v="2018-12-17T00:00:00"/>
        <d v="2018-12-18T00:00:00"/>
        <d v="2018-12-19T00:00:00"/>
        <d v="2018-12-20T00:00:00"/>
        <d v="2018-12-21T00:00:00"/>
        <d v="2018-12-22T00:00:00"/>
        <d v="2018-12-23T00:00:00"/>
        <d v="2018-12-24T00:00:00"/>
        <d v="2018-12-25T00:00:00"/>
        <d v="2018-12-26T00:00:00"/>
        <d v="2018-12-27T00:00:00"/>
        <d v="2018-12-28T00:00:00"/>
        <d v="2018-12-29T00:00:00"/>
        <d v="2018-12-30T00:00:00"/>
        <d v="2018-12-31T00:00:00"/>
        <d v="2019-01-01T00:00:00"/>
        <d v="2019-01-02T00:00:00"/>
        <d v="2019-01-03T00:00:00"/>
        <d v="2019-01-04T00:00:00"/>
        <d v="2019-01-05T00:00:00"/>
        <d v="2019-01-06T00:00:00"/>
        <d v="2019-01-07T00:00:00"/>
        <d v="2019-01-08T00:00:00"/>
        <d v="2019-01-09T00:00:00"/>
        <d v="2019-01-10T00:00:00"/>
        <d v="2019-01-11T00:00:00"/>
        <d v="2019-01-12T00:00:00"/>
        <d v="2019-01-13T00:00:00"/>
        <d v="2019-01-14T00:00:00"/>
        <d v="2019-01-15T00:00:00"/>
        <d v="2019-01-16T00:00:00"/>
        <d v="2019-01-17T00:00:00"/>
        <d v="2019-01-18T00:00:00"/>
        <d v="2019-01-19T00:00:00"/>
        <d v="2019-01-20T00:00:00"/>
        <d v="2019-01-21T00:00:00"/>
        <d v="2019-01-22T00:00:00"/>
        <d v="2019-01-23T00:00:00"/>
        <d v="2019-01-24T00:00:00"/>
        <d v="2019-01-25T00:00:00"/>
        <d v="2019-01-26T00:00:00"/>
        <d v="2019-01-27T00:00:00"/>
        <d v="2019-01-28T00:00:00"/>
        <d v="2019-01-29T00:00:00"/>
        <d v="2019-01-30T00:00:00"/>
        <d v="2019-01-31T00:00:00"/>
        <d v="2019-02-01T00:00:00"/>
        <d v="2019-02-02T00:00:00"/>
        <d v="2019-02-03T00:00:00"/>
        <d v="2019-02-04T00:00:00"/>
        <d v="2019-02-05T00:00:00"/>
        <d v="2019-02-06T00:00:00"/>
        <d v="2019-02-07T00:00:00"/>
        <d v="2019-02-08T00:00:00"/>
        <d v="2019-02-09T00:00:00"/>
        <d v="2019-02-10T00:00:00"/>
        <d v="2019-02-11T00:00:00"/>
        <d v="2019-02-12T00:00:00"/>
        <d v="2019-02-13T00:00:00"/>
        <d v="2019-02-14T00:00:00"/>
        <d v="2019-02-15T00:00:00"/>
        <d v="2019-02-16T00:00:00"/>
        <d v="2019-02-17T00:00:00"/>
        <d v="2019-02-18T00:00:00"/>
        <d v="2019-02-19T00:00:00"/>
        <d v="2019-02-20T00:00:00"/>
        <d v="2019-02-21T00:00:00"/>
        <d v="2019-02-22T00:00:00"/>
        <d v="2019-02-23T00:00:00"/>
        <d v="2019-02-24T00:00:00"/>
        <d v="2019-02-25T00:00:00"/>
        <d v="2019-02-26T00:00:00"/>
        <d v="2019-02-27T00:00:00"/>
        <d v="2019-02-28T00:00:00"/>
        <d v="2019-03-01T00:00:00"/>
        <d v="2019-03-02T00:00:00"/>
        <d v="2019-03-03T00:00:00"/>
        <d v="2019-03-04T00:00:00"/>
        <d v="2019-03-05T00:00:00"/>
        <d v="2019-03-06T00:00:00"/>
        <d v="2019-03-07T00:00:00"/>
        <d v="2019-03-08T00:00:00"/>
        <d v="2019-03-09T00:00:00"/>
        <d v="2019-03-10T00:00:00"/>
        <d v="2019-03-11T00:00:00"/>
        <d v="2019-03-12T00:00:00"/>
        <d v="2019-03-13T00:00:00"/>
        <d v="2019-03-14T00:00:00"/>
        <d v="2019-03-15T00:00:00"/>
        <d v="2019-03-16T00:00:00"/>
        <d v="2019-03-17T00:00:00"/>
        <d v="2019-03-18T00:00:00"/>
        <d v="2019-03-19T00:00:00"/>
        <d v="2019-03-20T00:00:00"/>
        <d v="2019-03-21T00:00:00"/>
        <d v="2019-03-22T00:00:00"/>
        <d v="2019-03-23T00:00:00"/>
        <d v="2019-03-24T00:00:00"/>
        <d v="2019-03-25T00:00:00"/>
        <d v="2019-03-26T00:00:00"/>
        <d v="2019-03-27T00:00:00"/>
        <d v="2019-03-28T00:00:00"/>
        <d v="2019-03-29T00:00:00"/>
        <d v="2019-03-30T00:00:00"/>
        <d v="2019-03-31T00:00:00"/>
        <d v="2019-04-01T00:00:00"/>
        <d v="2019-04-02T00:00:00"/>
        <d v="2019-04-03T00:00:00"/>
        <d v="2019-04-04T00:00:00"/>
        <d v="2019-04-05T00:00:00"/>
        <d v="2019-04-06T00:00:00"/>
        <d v="2019-04-07T00:00:00"/>
        <d v="2019-04-08T00:00:00"/>
        <d v="2019-04-09T00:00:00"/>
        <d v="2019-04-10T00:00:00"/>
        <d v="2019-04-11T00:00:00"/>
        <d v="2019-04-12T00:00:00"/>
        <d v="2019-04-13T00:00:00"/>
        <d v="2019-04-14T00:00:00"/>
        <d v="2019-04-15T00:00:00"/>
        <d v="2019-04-16T00:00:00"/>
        <d v="2019-04-17T00:00:00"/>
        <d v="2019-04-18T00:00:00"/>
        <d v="2019-04-19T00:00:00"/>
        <d v="2019-04-20T00:00:00"/>
        <d v="2019-04-21T00:00:00"/>
        <d v="2019-04-22T00:00:00"/>
        <d v="2019-04-23T00:00:00"/>
        <d v="2019-04-24T00:00:00"/>
        <d v="2019-04-25T00:00:00"/>
        <d v="2019-04-26T00:00:00"/>
        <d v="2019-04-27T00:00:00"/>
        <d v="2019-04-28T00:00:00"/>
        <d v="2019-04-29T00:00:00"/>
        <d v="2019-04-30T00:00:00"/>
        <d v="2019-05-01T00:00:00"/>
        <d v="2019-05-02T00:00:00"/>
        <d v="2019-05-03T00:00:00"/>
        <d v="2019-05-04T00:00:00"/>
        <d v="2019-05-05T00:00:00"/>
        <d v="2019-05-06T00:00:00"/>
        <d v="2019-05-07T00:00:00"/>
        <d v="2019-05-08T00:00:00"/>
        <d v="2019-05-09T00:00:00"/>
        <d v="2019-05-10T00:00:00"/>
        <d v="2019-05-11T00:00:00"/>
        <d v="2019-05-12T00:00:00"/>
        <d v="2019-05-13T00:00:00"/>
        <d v="2019-05-14T00:00:00"/>
        <d v="2019-05-15T00:00:00"/>
        <d v="2019-05-16T00:00:00"/>
        <d v="2019-05-17T00:00:00"/>
        <d v="2019-05-18T00:00:00"/>
        <d v="2019-05-19T00:00:00"/>
        <d v="2019-05-20T00:00:00"/>
        <d v="2019-05-21T00:00:00"/>
        <d v="2019-05-22T00:00:00"/>
        <d v="2019-05-23T00:00:00"/>
        <d v="2019-05-24T00:00:00"/>
        <d v="2019-05-25T00:00:00"/>
        <d v="2019-05-26T00:00:00"/>
        <d v="2019-05-27T00:00:00"/>
        <d v="2019-05-28T00:00:00"/>
        <d v="2019-05-29T00:00:00"/>
        <d v="2019-05-30T00:00:00"/>
        <d v="2019-05-31T00:00:00"/>
        <d v="2019-06-01T00:00:00"/>
        <d v="2019-06-02T00:00:00"/>
        <d v="2019-06-03T00:00:00"/>
        <d v="2019-06-04T00:00:00"/>
        <d v="2019-06-05T00:00:00"/>
        <d v="2019-06-06T00:00:00"/>
        <d v="2019-06-07T00:00:00"/>
        <d v="2019-06-08T00:00:00"/>
        <d v="2019-06-09T00:00:00"/>
        <d v="2019-06-10T00:00:00"/>
        <d v="2019-06-11T00:00:00"/>
        <d v="2019-06-12T00:00:00"/>
        <d v="2019-06-13T00:00:00"/>
        <d v="2019-06-14T00:00:00"/>
        <d v="2019-06-15T00:00:00"/>
        <d v="2019-06-16T00:00:00"/>
        <d v="2019-06-17T00:00:00"/>
        <d v="2019-06-18T00:00:00"/>
        <d v="2019-06-19T00:00:00"/>
        <d v="2019-06-20T00:00:00"/>
        <d v="2019-06-21T00:00:00"/>
        <d v="2019-06-22T00:00:00"/>
        <d v="2019-06-23T00:00:00"/>
        <d v="2019-06-24T00:00:00"/>
        <d v="2019-06-25T00:00:00"/>
        <d v="2019-06-26T00:00:00"/>
        <d v="2019-06-27T00:00:00"/>
        <d v="2019-06-28T00:00:00"/>
        <d v="2019-06-29T00:00:00"/>
        <d v="2019-06-30T00:00:00"/>
        <d v="2019-07-01T00:00:00"/>
        <d v="2019-07-02T00:00:00"/>
        <d v="2019-07-03T00:00:00"/>
        <d v="2019-07-04T00:00:00"/>
        <d v="2019-07-05T00:00:00"/>
        <d v="2019-07-06T00:00:00"/>
        <d v="2019-07-07T00:00:00"/>
        <d v="2019-07-08T00:00:00"/>
        <d v="2019-07-09T00:00:00"/>
        <d v="2019-07-10T00:00:00"/>
        <d v="2019-07-11T00:00:00"/>
        <d v="2019-07-12T00:00:00"/>
        <d v="2019-07-13T00:00:00"/>
        <d v="2019-07-14T00:00:00"/>
        <d v="2019-07-15T00:00:00"/>
        <d v="2019-07-16T00:00:00"/>
        <d v="2019-07-17T00:00:00"/>
        <d v="2019-07-18T00:00:00"/>
        <d v="2019-07-19T00:00:00"/>
        <d v="2019-07-20T00:00:00"/>
        <d v="2019-07-21T00:00:00"/>
        <d v="2019-07-22T00:00:00"/>
        <d v="2019-07-23T00:00:00"/>
        <d v="2019-07-24T00:00:00"/>
        <d v="2019-07-25T00:00:00"/>
        <d v="2019-07-26T00:00:00"/>
        <d v="2019-07-27T00:00:00"/>
        <d v="2019-07-28T00:00:00"/>
        <d v="2019-07-29T00:00:00"/>
        <d v="2019-07-30T00:00:00"/>
        <d v="2019-07-31T00:00:00"/>
        <d v="2019-08-01T00:00:00"/>
        <d v="2019-08-02T00:00:00"/>
        <d v="2019-08-03T00:00:00"/>
        <d v="2019-08-04T00:00:00"/>
        <d v="2019-08-05T00:00:00"/>
        <d v="2019-08-06T00:00:00"/>
        <d v="2019-08-07T00:00:00"/>
        <d v="2019-08-08T00:00:00"/>
        <d v="2019-08-09T00:00:00"/>
        <d v="2019-08-10T00:00:00"/>
        <d v="2019-08-11T00:00:00"/>
        <d v="2019-08-12T00:00:00"/>
        <d v="2019-08-13T00:00:00"/>
        <d v="2019-08-14T00:00:00"/>
        <d v="2019-08-15T00:00:00"/>
        <d v="2019-08-16T00:00:00"/>
        <d v="2019-08-17T00:00:00"/>
        <d v="2019-08-18T00:00:00"/>
        <d v="2019-08-19T00:00:00"/>
        <d v="2019-08-20T00:00:00"/>
        <d v="2019-08-21T00:00:00"/>
        <d v="2019-08-22T00:00:00"/>
        <d v="2019-08-23T00:00:00"/>
        <d v="2019-08-24T00:00:00"/>
        <d v="2019-08-25T00:00:00"/>
        <d v="2019-08-26T00:00:00"/>
        <d v="2019-08-27T00:00:00"/>
        <d v="2019-08-28T00:00:00"/>
        <d v="2019-08-29T00:00:00"/>
        <d v="2019-08-30T00:00:00"/>
        <d v="2019-08-31T00:00:00"/>
        <d v="2019-09-01T00:00:00"/>
        <d v="2019-09-02T00:00:00"/>
        <d v="2019-09-03T00:00:00"/>
        <d v="2019-09-04T00:00:00"/>
        <d v="2019-09-05T00:00:00"/>
        <d v="2019-09-06T00:00:00"/>
        <d v="2019-09-07T00:00:00"/>
        <d v="2019-09-08T00:00:00"/>
        <d v="2019-09-09T00:00:00"/>
        <d v="2019-09-10T00:00:00"/>
        <d v="2019-09-11T00:00:00"/>
        <d v="2019-09-12T00:00:00"/>
        <d v="2019-09-13T00:00:00"/>
        <d v="2019-09-14T00:00:00"/>
        <d v="2019-09-15T00:00:00"/>
        <d v="2019-09-16T00:00:00"/>
        <d v="2019-09-17T00:00:00"/>
        <d v="2019-09-18T00:00:00"/>
        <d v="2019-09-19T00:00:00"/>
        <d v="2019-09-20T00:00:00"/>
        <d v="2019-09-21T00:00:00"/>
        <d v="2019-09-22T00:00:00"/>
        <d v="2019-09-23T00:00:00"/>
        <d v="2019-09-24T00:00:00"/>
        <d v="2019-09-25T00:00:00"/>
        <d v="2019-09-26T00:00:00"/>
        <d v="2019-09-27T00:00:00"/>
        <d v="2019-09-28T00:00:00"/>
        <d v="2019-09-29T00:00:00"/>
        <d v="2019-09-30T00:00:00"/>
        <d v="2019-10-01T00:00:00"/>
        <d v="2019-10-02T00:00:00"/>
        <d v="2019-10-03T00:00:00"/>
        <d v="2019-10-04T00:00:00"/>
        <d v="2019-10-05T00:00:00"/>
        <d v="2019-10-06T00:00:00"/>
        <d v="2019-10-07T00:00:00"/>
        <d v="2019-10-08T00:00:00"/>
        <d v="2019-10-09T00:00:00"/>
        <d v="2019-10-10T00:00:00"/>
        <d v="2019-10-11T00:00:00"/>
        <d v="2019-10-12T00:00:00"/>
        <d v="2019-10-13T00:00:00"/>
        <d v="2019-10-14T00:00:00"/>
        <d v="2019-10-15T00:00:00"/>
        <d v="2019-10-16T00:00:00"/>
        <d v="2019-10-17T00:00:00"/>
        <d v="2019-10-18T00:00:00"/>
        <d v="2019-10-19T00:00:00"/>
        <d v="2019-10-20T00:00:00"/>
        <d v="2019-10-21T00:00:00"/>
        <d v="2019-10-22T00:00:00"/>
        <d v="2019-10-23T00:00:00"/>
        <d v="2019-10-24T00:00:00"/>
        <d v="2019-10-25T00:00:00"/>
        <d v="2019-10-26T00:00:00"/>
        <d v="2019-10-27T00:00:00"/>
        <d v="2019-10-28T00:00:00"/>
        <d v="2019-10-29T00:00:00"/>
        <d v="2019-10-30T00:00:00"/>
        <d v="2019-10-31T00:00:00"/>
        <d v="2019-11-01T00:00:00"/>
        <d v="2019-11-02T00:00:00"/>
        <d v="2019-11-03T00:00:00"/>
        <d v="2019-11-04T00:00:00"/>
        <d v="2019-11-05T00:00:00"/>
        <d v="2019-11-06T00:00:00"/>
        <d v="2019-11-07T00:00:00"/>
        <d v="2019-11-08T00:00:00"/>
        <d v="2019-11-09T00:00:00"/>
        <d v="2019-11-10T00:00:00"/>
        <d v="2019-11-11T00:00:00"/>
        <d v="2019-11-12T00:00:00"/>
        <d v="2019-11-13T00:00:00"/>
        <d v="2019-11-14T00:00:00"/>
        <d v="2019-11-15T00:00:00"/>
        <d v="2019-11-16T00:00:00"/>
        <d v="2019-11-17T00:00:00"/>
        <d v="2019-11-18T00:00:00"/>
        <d v="2019-11-19T00:00:00"/>
        <d v="2019-11-20T00:00:00"/>
        <d v="2019-11-21T00:00:00"/>
        <d v="2019-11-22T00:00:00"/>
        <d v="2019-11-23T00:00:00"/>
        <d v="2019-11-24T00:00:00"/>
        <d v="2019-11-25T00:00:00"/>
        <d v="2019-11-26T00:00:00"/>
        <d v="2019-11-27T00:00:00"/>
        <d v="2019-11-28T00:00:00"/>
        <d v="2019-11-29T00:00:00"/>
        <d v="2019-11-30T00:00:00"/>
        <d v="2019-12-01T00:00:00"/>
        <d v="2019-12-02T00:00:00"/>
        <d v="2019-12-03T00:00:00"/>
        <d v="2019-12-04T00:00:00"/>
        <d v="2019-12-05T00:00:00"/>
        <d v="2019-12-06T00:00:00"/>
        <d v="2019-12-07T00:00:00"/>
        <d v="2019-12-08T00:00:00"/>
        <d v="2019-12-09T00:00:00"/>
        <d v="2019-12-10T00:00:00"/>
        <d v="2019-12-11T00:00:00"/>
        <d v="2019-12-12T00:00:00"/>
        <d v="2019-12-13T00:00:00"/>
        <d v="2019-12-14T00:00:00"/>
        <d v="2019-12-15T00:00:00"/>
        <d v="2019-12-16T00:00:00"/>
        <d v="2019-12-17T00:00:00"/>
        <d v="2019-12-18T00:00:00"/>
        <d v="2019-12-19T00:00:00"/>
        <d v="2019-12-20T00:00:00"/>
        <d v="2019-12-21T00:00:00"/>
        <d v="2019-12-22T00:00:00"/>
        <d v="2019-12-23T00:00:00"/>
        <d v="2019-12-24T00:00:00"/>
        <d v="2019-12-25T00:00:00"/>
        <d v="2019-12-26T00:00:00"/>
        <d v="2019-12-27T00:00:00"/>
        <d v="2019-12-28T00:00:00"/>
        <d v="2019-12-29T00:00:00"/>
        <d v="2019-12-30T00:00:00"/>
        <d v="2019-12-31T00:00:00"/>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2-29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6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05T00:00:00"/>
        <d v="2021-04-06T00:00:00"/>
        <d v="2021-04-07T00:00:00"/>
        <d v="2021-04-08T00:00:00"/>
        <d v="2021-04-09T00:00:00"/>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d v="2021-05-11T00:00:00"/>
        <d v="2021-05-12T00:00:00"/>
        <d v="2021-05-13T00:00:00"/>
        <d v="2021-05-14T00:00:00"/>
        <d v="2021-05-15T00:00:00"/>
        <d v="2021-05-16T00:00:00"/>
        <d v="2021-05-17T00:00:00"/>
        <d v="2021-05-18T00:00:00"/>
        <d v="2021-05-19T00:00:00"/>
        <d v="2021-05-20T00:00:00"/>
        <d v="2021-05-21T00:00:00"/>
        <d v="2021-05-22T00:00:00"/>
        <d v="2021-05-23T00:00:00"/>
        <d v="2021-05-24T00:00:00"/>
        <d v="2021-05-25T00:00:00"/>
        <d v="2021-05-26T00:00:00"/>
        <d v="2021-05-27T00:00:00"/>
        <d v="2021-05-28T00:00:00"/>
        <d v="2021-05-29T00:00:00"/>
        <d v="2021-05-30T00:00:00"/>
        <d v="2021-05-31T00:00:00"/>
        <d v="2021-06-01T00:00:00"/>
        <d v="2021-06-02T00:00:00"/>
        <d v="2021-06-03T00:00:00"/>
        <d v="2021-06-04T00:00:00"/>
        <d v="2021-06-05T00:00:00"/>
        <d v="2021-06-06T00:00:00"/>
        <d v="2021-06-07T00:00:00"/>
        <d v="2021-06-08T00:00:00"/>
        <d v="2021-06-09T00:00:00"/>
        <d v="2021-06-10T00:00:00"/>
        <d v="2021-06-11T00:00:00"/>
        <d v="2021-06-12T00:00:00"/>
        <d v="2021-06-13T00:00:00"/>
        <d v="2021-06-14T00:00:00"/>
        <d v="2021-06-15T00:00:00"/>
        <d v="2021-06-16T00:00:00"/>
        <d v="2021-06-17T00:00:00"/>
        <d v="2021-06-18T00:00:00"/>
        <d v="2021-06-19T00:00:00"/>
        <d v="2021-06-20T00:00:00"/>
        <d v="2021-06-21T00:00:00"/>
        <d v="2021-06-22T00:00:00"/>
        <d v="2021-06-23T00:00:00"/>
        <d v="2021-06-24T00:00:00"/>
        <d v="2021-06-25T00:00:00"/>
        <d v="2021-06-26T00:00:00"/>
        <d v="2021-06-27T00:00:00"/>
        <d v="2021-06-28T00:00:00"/>
        <d v="2021-06-29T00:00:00"/>
        <d v="2021-06-30T00:00:00"/>
        <d v="2021-07-01T00:00:00"/>
        <d v="2021-07-02T00:00:00"/>
        <d v="2021-07-03T00:00:00"/>
        <d v="2021-07-04T00:00:00"/>
        <d v="2021-07-05T00:00:00"/>
        <d v="2021-07-06T00:00:00"/>
        <d v="2021-07-07T00:00:00"/>
        <d v="2021-07-08T00:00:00"/>
        <d v="2021-07-09T00:00:00"/>
        <d v="2021-07-10T00:00:00"/>
        <d v="2021-07-11T00:00:00"/>
        <d v="2021-07-12T00:00:00"/>
        <d v="2021-07-13T00:00:00"/>
        <d v="2021-07-14T00:00:00"/>
        <d v="2021-07-15T00:00:00"/>
        <d v="2021-07-16T00:00:00"/>
        <d v="2021-07-17T00:00:00"/>
        <d v="2021-07-18T00:00:00"/>
        <d v="2021-07-19T00:00:00"/>
        <d v="2021-07-20T00:00:00"/>
        <d v="2021-07-21T00:00:00"/>
        <d v="2021-07-22T00:00:00"/>
        <d v="2021-07-23T00:00:00"/>
        <d v="2021-07-24T00:00:00"/>
        <d v="2021-07-25T00:00:00"/>
        <d v="2021-07-26T00:00:00"/>
        <d v="2021-07-27T00:00:00"/>
        <d v="2021-07-28T00:00:00"/>
        <d v="2021-07-29T00:00:00"/>
        <d v="2021-07-30T00:00:00"/>
        <d v="2021-07-31T00:00:00"/>
        <d v="2021-08-01T00:00:00"/>
        <d v="2021-08-02T00:00:00"/>
        <d v="2021-08-03T00:00:00"/>
        <d v="2021-08-04T00:00:00"/>
        <d v="2021-08-05T00:00:00"/>
        <d v="2021-08-06T00:00:00"/>
        <d v="2021-08-07T00:00:00"/>
        <d v="2021-08-08T00:00:00"/>
        <d v="2021-08-09T00:00:00"/>
        <d v="2021-08-10T00:00:00"/>
        <d v="2021-08-11T00:00:00"/>
        <d v="2021-08-12T00:00:00"/>
        <d v="2021-08-13T00:00:00"/>
        <d v="2021-08-14T00:00:00"/>
        <d v="2021-08-15T00:00:00"/>
        <d v="2021-08-16T00:00:00"/>
        <d v="2021-08-17T00:00:00"/>
        <d v="2021-08-18T00:00:00"/>
        <d v="2021-08-19T00:00:00"/>
        <d v="2021-08-20T00:00:00"/>
        <d v="2021-08-21T00:00:00"/>
        <d v="2021-08-22T00:00:00"/>
        <d v="2021-08-23T00:00:00"/>
        <d v="2021-08-24T00:00:00"/>
        <d v="2021-08-25T00:00:00"/>
        <d v="2021-08-26T00:00:00"/>
        <d v="2021-08-27T00:00:00"/>
        <d v="2021-08-28T00:00:00"/>
        <d v="2021-08-29T00:00:00"/>
        <d v="2021-08-30T00:00:00"/>
        <d v="2021-08-31T00:00:00"/>
        <d v="2021-09-01T00:00:00"/>
        <d v="2021-09-02T00:00:00"/>
        <d v="2021-09-03T00:00:00"/>
        <d v="2021-09-04T00:00:00"/>
        <d v="2021-09-05T00:00:00"/>
        <d v="2021-09-06T00:00:00"/>
        <d v="2021-09-07T00:00:00"/>
        <d v="2021-09-08T00:00:00"/>
        <d v="2021-09-09T00:00:00"/>
        <d v="2021-09-10T00:00:00"/>
        <d v="2021-09-11T00:00:00"/>
        <d v="2021-09-12T00:00:00"/>
        <d v="2021-09-13T00:00:00"/>
        <d v="2021-09-14T00:00:00"/>
        <d v="2021-09-15T00:00:00"/>
        <d v="2021-09-16T00:00:00"/>
        <d v="2021-09-17T00:00:00"/>
        <d v="2021-09-18T00:00:00"/>
        <d v="2021-09-19T00:00:00"/>
        <d v="2021-09-20T00:00:00"/>
        <d v="2021-09-21T00:00:00"/>
        <d v="2021-09-22T00:00:00"/>
        <d v="2021-09-23T00:00:00"/>
        <d v="2021-09-24T00:00:00"/>
        <d v="2021-09-25T00:00:00"/>
        <d v="2021-09-26T00:00:00"/>
        <d v="2021-09-27T00:00:00"/>
        <d v="2021-09-28T00:00:00"/>
        <d v="2021-09-29T00:00:00"/>
        <d v="2021-09-30T00:00:00"/>
        <d v="2021-10-01T00:00:00"/>
        <d v="2021-10-02T00:00:00"/>
        <d v="2021-10-03T00:00:00"/>
        <d v="2021-10-04T00:00:00"/>
        <d v="2021-10-05T00:00:00"/>
        <d v="2021-10-06T00:00:00"/>
        <d v="2021-10-07T00:00:00"/>
        <d v="2021-10-08T00:00:00"/>
        <d v="2021-10-09T00:00:00"/>
        <d v="2021-10-10T00:00:00"/>
        <d v="2021-10-11T00:00:00"/>
        <d v="2021-10-12T00:00:00"/>
        <d v="2021-10-13T00:00:00"/>
        <d v="2021-10-14T00:00:00"/>
        <d v="2021-10-15T00:00:00"/>
        <d v="2021-10-16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d v="2022-01-01T00:00:00"/>
        <d v="2022-01-02T00:00:00"/>
        <d v="2022-01-03T00:00:00"/>
        <d v="2022-01-04T00:00:00"/>
        <d v="2022-01-05T00:00:00"/>
        <d v="2022-01-06T00:00:00"/>
        <d v="2022-01-07T00:00:00"/>
        <d v="2022-01-08T00:00:00"/>
        <d v="2022-01-09T00:00:00"/>
        <d v="2022-01-10T00:00:00"/>
        <d v="2022-01-11T00:00:00"/>
        <d v="2022-01-12T00:00:00"/>
        <d v="2022-01-13T00:00:00"/>
        <d v="2022-01-14T00:00:00"/>
        <d v="2022-01-15T00:00:00"/>
        <d v="2022-01-16T00:00:00"/>
        <d v="2022-01-17T00:00:00"/>
        <d v="2022-01-18T00:00:00"/>
        <d v="2022-01-19T00:00:00"/>
        <d v="2022-01-20T00:00:00"/>
        <d v="2022-01-21T00:00:00"/>
        <d v="2022-01-22T00:00:00"/>
        <d v="2022-01-23T00:00:00"/>
        <d v="2022-01-24T00:00:00"/>
        <d v="2022-01-25T00:00:00"/>
        <d v="2022-01-26T00:00:00"/>
        <d v="2022-01-27T00:00:00"/>
        <d v="2022-01-28T00:00:00"/>
        <d v="2022-01-29T00:00:00"/>
        <d v="2022-01-30T00:00:00"/>
        <d v="2022-01-31T00:00:00"/>
        <d v="2022-02-01T00:00:00"/>
        <d v="2022-02-02T00:00:00"/>
        <d v="2022-02-03T00:00:00"/>
        <d v="2022-02-04T00:00:00"/>
        <d v="2022-02-05T00:00:00"/>
        <d v="2022-02-06T00:00:00"/>
        <d v="2022-02-07T00:00:00"/>
        <d v="2022-02-08T00:00:00"/>
        <d v="2022-02-09T00:00:00"/>
        <d v="2022-02-10T00:00:00"/>
        <d v="2022-02-11T00:00:00"/>
        <d v="2022-02-12T00:00:00"/>
        <d v="2022-02-13T00:00:00"/>
        <d v="2022-02-14T00:00:00"/>
        <d v="2022-02-15T00:00:00"/>
        <d v="2022-02-16T00:00:00"/>
        <d v="2022-02-17T00:00:00"/>
        <d v="2022-02-18T00:00:00"/>
        <d v="2022-02-19T00:00:00"/>
        <d v="2022-02-20T00:00:00"/>
        <d v="2022-02-21T00:00:00"/>
        <d v="2022-02-22T00:00:00"/>
        <d v="2022-02-23T00:00:00"/>
        <d v="2022-02-24T00:00:00"/>
        <d v="2022-02-25T00:00:00"/>
        <d v="2022-02-26T00:00:00"/>
        <d v="2022-02-27T00:00:00"/>
        <d v="2022-02-28T00:00:00"/>
        <d v="2022-03-01T00:00:00"/>
        <d v="2022-03-02T00:00:00"/>
        <d v="2022-03-03T00:00:00"/>
        <d v="2022-03-04T00:00:00"/>
        <d v="2022-03-05T00:00:00"/>
        <d v="2022-03-06T00:00:00"/>
        <d v="2022-03-07T00:00:00"/>
        <d v="2022-03-08T00:00:00"/>
        <d v="2022-03-09T00:00:00"/>
        <d v="2022-03-10T00:00:00"/>
        <d v="2022-03-11T00:00:00"/>
        <d v="2022-03-12T00:00:00"/>
        <d v="2022-03-13T00:00:00"/>
        <d v="2022-03-14T00:00:00"/>
        <d v="2022-03-15T00:00:00"/>
        <d v="2022-03-16T00:00:00"/>
        <d v="2022-03-17T00:00:00"/>
        <d v="2022-03-18T00:00:00"/>
        <d v="2022-03-19T00:00:00"/>
        <d v="2022-03-20T00:00:00"/>
        <d v="2022-03-21T00:00:00"/>
        <d v="2022-03-22T00:00:00"/>
        <d v="2022-03-23T00:00:00"/>
        <d v="2022-03-24T00:00:00"/>
        <d v="2022-03-25T00:00:00"/>
        <d v="2022-03-26T00:00:00"/>
        <d v="2022-03-27T00:00:00"/>
        <d v="2022-03-28T00:00:00"/>
        <d v="2022-03-29T00:00:00"/>
        <d v="2022-03-30T00:00:00"/>
        <d v="2022-03-31T00:00:00"/>
        <d v="2022-04-01T00:00:00"/>
        <d v="2022-04-02T00:00:00"/>
        <d v="2022-04-03T00:00:00"/>
        <d v="2022-04-04T00:00:00"/>
        <d v="2022-04-05T00:00:00"/>
        <d v="2022-04-06T00:00:00"/>
        <d v="2022-04-07T00:00:00"/>
        <d v="2022-04-08T00:00:00"/>
        <d v="2022-04-09T00:00:00"/>
        <d v="2022-04-10T00:00:00"/>
        <d v="2022-04-11T00:00:00"/>
        <d v="2022-04-12T00:00:00"/>
        <d v="2022-04-13T00:00:00"/>
        <d v="2022-04-14T00:00:00"/>
        <d v="2022-04-15T00:00:00"/>
        <d v="2022-04-16T00:00:00"/>
        <d v="2022-04-17T00:00:00"/>
        <d v="2022-04-18T00:00:00"/>
        <d v="2022-04-19T00:00:00"/>
        <d v="2022-04-20T00:00:00"/>
        <d v="2022-04-21T00:00:00"/>
        <d v="2022-04-22T00:00:00"/>
        <d v="2022-04-23T00:00:00"/>
        <d v="2022-04-24T00:00:00"/>
        <d v="2022-04-25T00:00:00"/>
        <d v="2022-04-26T00:00:00"/>
        <d v="2022-04-27T00:00:00"/>
        <d v="2022-04-28T00:00:00"/>
        <d v="2022-04-29T00:00:00"/>
        <d v="2022-04-30T00:00:00"/>
        <d v="2022-05-01T00:00:00"/>
        <d v="2022-05-02T00:00:00"/>
        <d v="2022-05-03T00:00:00"/>
        <d v="2022-05-04T00:00:00"/>
        <d v="2022-05-05T00:00:00"/>
        <d v="2022-05-06T00:00:00"/>
        <d v="2022-05-07T00:00:00"/>
        <d v="2022-05-08T00:00:00"/>
        <d v="2022-05-09T00:00:00"/>
        <d v="2022-05-10T00:00:00"/>
        <d v="2022-05-11T00:00:00"/>
        <d v="2022-05-12T00:00:00"/>
        <d v="2022-05-13T00:00:00"/>
        <d v="2022-05-14T00:00:00"/>
        <d v="2022-05-15T00:00:00"/>
        <d v="2022-05-16T00:00:00"/>
        <d v="2022-05-17T00:00:00"/>
        <d v="2022-05-18T00:00:00"/>
        <d v="2022-05-19T00:00:00"/>
        <d v="2022-05-20T00:00:00"/>
        <d v="2022-05-21T00:00:00"/>
        <d v="2022-05-22T00:00:00"/>
        <d v="2022-05-23T00:00:00"/>
        <d v="2022-05-24T00:00:00"/>
        <d v="2022-05-25T00:00:00"/>
        <d v="2022-05-26T00:00:00"/>
        <d v="2022-05-27T00:00:00"/>
        <d v="2022-05-28T00:00:00"/>
        <d v="2022-05-29T00:00:00"/>
        <d v="2022-05-30T00:00:00"/>
        <d v="2022-05-31T00:00:00"/>
        <d v="2022-06-01T00:00:00"/>
        <d v="2022-06-02T00:00:00"/>
        <d v="2022-06-03T00:00:00"/>
        <d v="2022-06-04T00:00:00"/>
        <d v="2022-06-05T00:00:00"/>
        <d v="2022-06-06T00:00:00"/>
        <d v="2022-06-07T00:00:00"/>
        <d v="2022-06-08T00:00:00"/>
        <d v="2022-06-09T00:00:00"/>
        <d v="2022-06-10T00:00:00"/>
        <d v="2022-06-11T00:00:00"/>
        <d v="2022-06-12T00:00:00"/>
        <d v="2022-06-13T00:00:00"/>
        <d v="2022-06-14T00:00:00"/>
        <d v="2022-06-15T00:00:00"/>
        <d v="2022-06-16T00:00:00"/>
        <d v="2022-06-17T00:00:00"/>
        <d v="2022-06-18T00:00:00"/>
        <d v="2022-06-19T00:00:00"/>
        <d v="2022-06-20T00:00:00"/>
        <d v="2022-06-21T00:00:00"/>
        <d v="2022-06-22T00:00:00"/>
        <d v="2022-06-23T00:00:00"/>
        <d v="2022-06-24T00:00:00"/>
        <d v="2022-06-25T00:00:00"/>
        <d v="2022-06-26T00:00:00"/>
        <d v="2022-06-27T00:00:00"/>
        <d v="2022-06-28T00:00:00"/>
        <d v="2022-06-29T00:00:00"/>
        <d v="2022-06-30T00:00:00"/>
        <d v="2022-07-01T00:00:00"/>
        <d v="2022-07-02T00:00:00"/>
        <d v="2022-07-03T00:00:00"/>
        <d v="2022-07-04T00:00:00"/>
        <d v="2022-07-05T00:00:00"/>
        <d v="2022-07-06T00:00:00"/>
        <d v="2022-07-07T00:00:00"/>
        <d v="2022-07-08T00:00:00"/>
        <d v="2022-07-09T00:00:00"/>
        <d v="2022-07-10T00:00:00"/>
        <d v="2022-07-11T00:00:00"/>
        <d v="2022-07-12T00:00:00"/>
        <d v="2022-07-13T00:00:00"/>
        <d v="2022-07-14T00:00:00"/>
        <d v="2022-07-15T00:00:00"/>
        <d v="2022-07-16T00:00:00"/>
        <d v="2022-07-17T00:00:00"/>
        <d v="2022-07-18T00:00:00"/>
        <d v="2022-07-19T00:00:00"/>
        <d v="2022-07-20T00:00:00"/>
        <d v="2022-07-21T00:00:00"/>
        <d v="2022-07-22T00:00:00"/>
        <d v="2022-07-23T00:00:00"/>
        <d v="2022-07-24T00:00:00"/>
        <d v="2022-07-25T00:00:00"/>
        <d v="2022-07-26T00:00:00"/>
        <d v="2022-07-27T00:00:00"/>
        <d v="2022-07-28T00:00:00"/>
        <d v="2022-07-29T00:00:00"/>
        <d v="2022-07-30T00:00:00"/>
        <d v="2022-07-31T00:00:00"/>
        <d v="2022-08-01T00:00:00"/>
        <d v="2022-08-02T00:00:00"/>
        <d v="2022-08-03T00:00:00"/>
        <d v="2022-08-04T00:00:00"/>
        <d v="2022-08-05T00:00:00"/>
        <d v="2022-08-06T00:00:00"/>
        <d v="2022-08-07T00:00:00"/>
        <d v="2022-08-08T00:00:00"/>
        <d v="2022-08-09T00:00:00"/>
        <d v="2022-08-10T00:00:00"/>
        <d v="2022-08-11T00:00:00"/>
        <d v="2022-08-12T00:00:00"/>
        <d v="2022-08-13T00:00:00"/>
        <d v="2022-08-14T00:00:00"/>
        <d v="2022-08-15T00:00:00"/>
        <d v="2022-08-16T00:00:00"/>
        <d v="2022-08-17T00:00:00"/>
        <d v="2022-08-18T00:00:00"/>
        <d v="2022-08-19T00:00:00"/>
        <d v="2022-08-20T00:00:00"/>
        <d v="2022-08-21T00:00:00"/>
        <d v="2022-08-22T00:00:00"/>
        <d v="2022-08-23T00:00:00"/>
        <d v="2022-08-24T00:00:00"/>
        <d v="2022-08-25T00:00:00"/>
        <d v="2022-08-26T00:00:00"/>
        <d v="2022-08-27T00:00:00"/>
        <d v="2022-08-28T00:00:00"/>
        <d v="2022-08-29T00:00:00"/>
        <d v="2022-08-30T00:00:00"/>
        <d v="2022-08-31T00:00:00"/>
        <d v="2022-09-01T00:00:00"/>
        <d v="2022-09-02T00:00:00"/>
        <d v="2022-09-03T00:00:00"/>
        <d v="2022-09-04T00:00:00"/>
        <d v="2022-09-05T00:00:00"/>
        <d v="2022-09-06T00:00:00"/>
        <d v="2022-09-07T00:00:00"/>
        <d v="2022-09-08T00:00:00"/>
        <d v="2022-09-09T00:00:00"/>
        <d v="2022-09-10T00:00:00"/>
        <d v="2022-09-11T00:00:00"/>
        <d v="2022-09-12T00:00:00"/>
        <d v="2022-09-13T00:00:00"/>
        <d v="2022-09-14T00:00:00"/>
        <d v="2022-09-15T00:00:00"/>
        <d v="2022-09-16T00:00:00"/>
        <d v="2022-09-17T00:00:00"/>
        <d v="2022-09-18T00:00:00"/>
        <d v="2022-09-19T00:00:00"/>
        <d v="2022-09-20T00:00:00"/>
        <d v="2022-09-21T00:00:00"/>
        <d v="2022-09-22T00:00:00"/>
        <d v="2022-09-23T00:00:00"/>
        <d v="2022-09-24T00:00:00"/>
        <d v="2022-09-25T00:00:00"/>
        <d v="2022-09-26T00:00:00"/>
        <d v="2022-09-27T00:00:00"/>
        <d v="2022-09-28T00:00:00"/>
        <d v="2022-09-29T00:00:00"/>
        <d v="2022-09-30T00:00:00"/>
        <d v="2022-10-01T00:00:00"/>
        <d v="2022-10-02T00:00:00"/>
        <d v="2022-10-03T00:00:00"/>
        <d v="2022-10-04T00:00:00"/>
        <d v="2022-10-05T00:00:00"/>
        <d v="2022-10-06T00:00:00"/>
        <d v="2022-10-07T00:00:00"/>
        <d v="2022-10-08T00:00:00"/>
        <d v="2022-10-09T00:00:00"/>
        <d v="2022-10-10T00:00:00"/>
        <d v="2022-10-11T00:00:00"/>
        <d v="2022-10-12T00:00:00"/>
        <d v="2022-10-13T00:00:00"/>
        <d v="2022-10-14T00:00:00"/>
        <d v="2022-10-15T00:00:00"/>
        <d v="2022-10-16T00:00:00"/>
        <d v="2022-10-17T00:00:00"/>
        <d v="2022-10-18T00:00:00"/>
        <d v="2022-10-19T00:00:00"/>
        <d v="2022-10-20T00:00:00"/>
        <d v="2022-10-21T00:00:00"/>
        <d v="2022-10-22T00:00:00"/>
        <d v="2022-10-23T00:00:00"/>
        <d v="2022-10-24T00:00:00"/>
        <d v="2022-10-25T00:00:00"/>
        <d v="2022-10-26T00:00:00"/>
        <d v="2022-10-27T00:00:00"/>
        <d v="2022-10-28T00:00:00"/>
        <d v="2022-10-29T00:00:00"/>
        <d v="2022-10-30T00:00:00"/>
        <d v="2022-10-31T00:00:00"/>
        <d v="2022-11-01T00:00:00"/>
        <d v="2022-11-02T00:00:00"/>
        <d v="2022-11-03T00:00:00"/>
        <d v="2022-11-04T00:00:00"/>
        <d v="2022-11-05T00:00:00"/>
        <d v="2022-11-06T00:00:00"/>
        <d v="2022-11-07T00:00:00"/>
        <d v="2022-11-08T00:00:00"/>
        <d v="2022-11-09T00:00:00"/>
        <d v="2022-11-10T00:00:00"/>
        <d v="2022-11-11T00:00:00"/>
        <d v="2022-11-12T00:00:00"/>
        <d v="2022-11-13T00:00:00"/>
        <d v="2022-11-14T00:00:00"/>
        <d v="2022-11-15T00:00:00"/>
        <d v="2022-11-16T00:00:00"/>
        <d v="2022-11-17T00:00:00"/>
        <d v="2022-11-18T00:00:00"/>
        <d v="2022-11-19T00:00:00"/>
        <d v="2022-11-20T00:00:00"/>
        <d v="2022-11-21T00:00:00"/>
        <d v="2022-11-22T00:00:00"/>
        <d v="2022-11-23T00:00:00"/>
        <d v="2022-11-24T00:00:00"/>
        <d v="2022-11-25T00:00:00"/>
        <d v="2022-11-26T00:00:00"/>
        <d v="2022-11-27T00:00:00"/>
        <d v="2022-11-28T00:00:00"/>
        <d v="2022-11-29T00:00:00"/>
        <d v="2022-11-30T00:00:00"/>
        <d v="2022-12-01T00:00:00"/>
        <d v="2022-12-02T00:00:00"/>
        <d v="2022-12-03T00:00:00"/>
        <d v="2022-12-04T00:00:00"/>
        <d v="2022-12-05T00:00:00"/>
        <d v="2022-12-06T00:00:00"/>
        <d v="2022-12-07T00:00:00"/>
        <d v="2022-12-08T00:00:00"/>
        <d v="2022-12-09T00:00:00"/>
        <d v="2022-12-10T00:00:00"/>
        <d v="2022-12-11T00:00:00"/>
        <d v="2022-12-12T00:00:00"/>
        <d v="2022-12-13T00:00:00"/>
        <d v="2022-12-14T00:00:00"/>
        <d v="2022-12-15T00:00:00"/>
        <d v="2022-12-16T00:00:00"/>
        <d v="2022-12-17T00:00:00"/>
        <d v="2022-12-18T00:00:00"/>
        <d v="2022-12-19T00:00:00"/>
        <d v="2022-12-20T00:00:00"/>
        <d v="2022-12-21T00:00:00"/>
        <d v="2022-12-22T00:00:00"/>
        <d v="2022-12-23T00:00:00"/>
        <d v="2022-12-24T00:00:00"/>
        <d v="2022-12-25T00:00:00"/>
        <d v="2022-12-26T00:00:00"/>
        <d v="2022-12-27T00:00:00"/>
        <d v="2022-12-28T00:00:00"/>
        <d v="2022-12-29T00:00:00"/>
        <d v="2022-12-30T00:00:00"/>
        <d v="2022-12-31T00:00:00"/>
        <d v="2023-01-01T00:00:00"/>
        <d v="2023-01-02T00:00:00"/>
        <d v="2023-01-03T00:00:00"/>
        <d v="2023-01-04T00:00:00"/>
        <d v="2023-01-05T00:00:00"/>
        <d v="2023-01-06T00:00:00"/>
        <d v="2023-01-07T00:00:00"/>
        <d v="2023-01-08T00:00:00"/>
        <d v="2023-01-09T00:00:00"/>
        <d v="2023-01-10T00:00:00"/>
        <d v="2023-01-11T00:00:00"/>
        <d v="2023-01-12T00:00:00"/>
        <d v="2023-01-13T00:00:00"/>
        <d v="2023-01-14T00:00:00"/>
        <d v="2023-01-15T00:00:00"/>
        <d v="2023-01-16T00:00:00"/>
        <d v="2023-01-17T00:00:00"/>
        <d v="2023-01-18T00:00:00"/>
        <d v="2023-01-19T00:00:00"/>
        <d v="2023-01-20T00:00:00"/>
        <d v="2023-01-21T00:00:00"/>
        <d v="2023-01-22T00:00:00"/>
        <d v="2023-01-23T00:00:00"/>
        <d v="2023-01-24T00:00:00"/>
        <d v="2023-01-25T00:00:00"/>
        <d v="2023-01-26T00:00:00"/>
        <d v="2023-01-27T00:00:00"/>
        <d v="2023-01-28T00:00:00"/>
        <d v="2023-01-29T00:00:00"/>
        <d v="2023-01-30T00:00:00"/>
        <d v="2023-01-31T00:00:00"/>
        <d v="2023-02-01T00:00:00"/>
        <d v="2023-02-02T00:00:00"/>
        <d v="2023-02-03T00:00:00"/>
        <d v="2023-02-04T00:00:00"/>
        <d v="2023-02-05T00:00:00"/>
        <d v="2023-02-06T00:00:00"/>
        <d v="2023-02-07T00:00:00"/>
        <d v="2023-02-08T00:00:00"/>
        <d v="2023-02-09T00:00:00"/>
        <d v="2023-02-10T00:00:00"/>
        <d v="2023-02-11T00:00:00"/>
        <d v="2023-02-12T00:00:00"/>
        <d v="2023-02-13T00:00:00"/>
        <d v="2023-02-14T00:00:00"/>
        <d v="2023-02-15T00:00:00"/>
        <d v="2023-02-16T00:00:00"/>
        <d v="2023-02-17T00:00:00"/>
        <d v="2023-02-18T00:00:00"/>
        <d v="2023-02-19T00:00:00"/>
        <d v="2023-02-20T00:00:00"/>
        <d v="2023-02-21T00:00:00"/>
        <d v="2023-02-22T00:00:00"/>
        <d v="2023-02-23T00:00:00"/>
        <d v="2023-02-24T00:00:00"/>
        <d v="2023-02-25T00:00:00"/>
        <d v="2023-02-26T00:00:00"/>
        <d v="2023-02-27T00:00:00"/>
        <d v="2023-02-28T00:00:00"/>
        <d v="2023-03-01T00:00:00"/>
        <d v="2023-03-02T00:00:00"/>
        <d v="2023-03-03T00:00:00"/>
        <d v="2023-03-04T00:00:00"/>
        <d v="2023-03-05T00:00:00"/>
        <d v="2023-03-06T00:00:00"/>
        <d v="2023-03-07T00:00:00"/>
        <d v="2023-03-08T00:00:00"/>
        <d v="2023-03-09T00:00:00"/>
        <d v="2023-03-10T00:00:00"/>
        <d v="2023-03-11T00:00:00"/>
        <d v="2023-03-12T00:00:00"/>
        <d v="2023-03-13T00:00:00"/>
        <d v="2023-03-14T00:00:00"/>
        <d v="2023-03-15T00:00:00"/>
        <d v="2023-03-16T00:00:00"/>
        <d v="2023-03-17T00:00:00"/>
        <d v="2023-03-18T00:00:00"/>
        <d v="2023-03-19T00:00:00"/>
        <d v="2023-03-20T00:00:00"/>
        <d v="2023-03-21T00:00:00"/>
        <d v="2023-03-22T00:00:00"/>
        <d v="2023-03-23T00:00:00"/>
        <d v="2023-03-24T00:00:00"/>
        <d v="2023-03-25T00:00:00"/>
        <d v="2023-03-26T00:00:00"/>
        <d v="2023-03-27T00:00:00"/>
        <d v="2023-03-28T00:00:00"/>
        <d v="2023-03-29T00:00:00"/>
        <d v="2023-03-30T00:00:00"/>
        <d v="2023-03-31T00:00:00"/>
        <d v="2023-04-01T00:00:00"/>
        <d v="2023-04-02T00:00:00"/>
        <d v="2023-04-03T00:00:00"/>
        <d v="2023-04-04T00:00:00"/>
        <d v="2023-04-05T00:00:00"/>
        <d v="2023-04-06T00:00:00"/>
        <d v="2023-04-07T00:00:00"/>
        <d v="2023-04-08T00:00:00"/>
        <d v="2023-04-09T00:00:00"/>
        <d v="2023-04-10T00:00:00"/>
        <d v="2023-04-11T00:00:00"/>
        <d v="2023-04-12T00:00:00"/>
        <d v="2023-04-13T00:00:00"/>
        <d v="2023-04-14T00:00:00"/>
        <d v="2023-04-15T00:00:00"/>
        <d v="2023-04-16T00:00:00"/>
        <d v="2023-04-17T00:00:00"/>
        <d v="2023-04-18T00:00:00"/>
        <d v="2023-04-19T00:00:00"/>
        <d v="2023-04-20T00:00:00"/>
        <d v="2023-04-21T00:00:00"/>
        <d v="2023-04-22T00:00:00"/>
        <d v="2023-04-23T00:00:00"/>
        <d v="2023-04-24T00:00:00"/>
        <d v="2023-04-25T00:00:00"/>
        <d v="2023-04-26T00:00:00"/>
        <d v="2023-04-27T00:00:00"/>
        <d v="2023-04-28T00:00:00"/>
        <d v="2023-04-29T00:00:00"/>
        <d v="2023-04-30T00:00:00"/>
        <d v="2023-05-01T00:00:00"/>
        <d v="2023-05-02T00:00:00"/>
        <d v="2023-05-03T00:00:00"/>
        <d v="2023-05-04T00:00:00"/>
        <d v="2023-05-05T00:00:00"/>
        <d v="2023-05-06T00:00:00"/>
        <d v="2023-05-07T00:00:00"/>
        <d v="2023-05-08T00:00:00"/>
        <d v="2023-05-09T00:00:00"/>
        <d v="2023-05-10T00:00:00"/>
        <d v="2023-05-11T00:00:00"/>
        <d v="2023-05-12T00:00:00"/>
        <d v="2023-05-13T00:00:00"/>
        <d v="2023-05-14T00:00:00"/>
        <d v="2023-05-15T00:00:00"/>
        <d v="2023-05-16T00:00:00"/>
        <d v="2023-05-17T00:00:00"/>
        <d v="2023-05-18T00:00:00"/>
        <d v="2023-05-19T00:00:00"/>
        <d v="2023-05-20T00:00:00"/>
        <d v="2023-05-21T00:00:00"/>
        <d v="2023-05-22T00:00:00"/>
        <d v="2023-05-23T00:00:00"/>
        <d v="2023-05-24T00:00:00"/>
        <d v="2023-05-25T00:00:00"/>
        <d v="2023-05-26T00:00:00"/>
        <d v="2023-05-27T00:00:00"/>
        <d v="2023-05-28T00:00:00"/>
        <d v="2023-05-29T00:00:00"/>
        <d v="2023-05-30T00:00:00"/>
        <d v="2023-05-31T00:00:00"/>
        <d v="2023-06-01T00:00:00"/>
        <d v="2023-06-02T00:00:00"/>
        <d v="2023-06-03T00:00:00"/>
        <d v="2023-06-04T00:00:00"/>
        <d v="2023-06-05T00:00:00"/>
        <d v="2023-06-06T00:00:00"/>
        <d v="2023-06-07T00:00:00"/>
        <d v="2023-06-08T00:00:00"/>
        <d v="2023-06-09T00:00:00"/>
        <d v="2023-06-10T00:00:00"/>
        <d v="2023-06-11T00:00:00"/>
        <d v="2023-06-12T00:00:00"/>
        <d v="2023-06-13T00:00:00"/>
        <d v="2023-06-14T00:00:00"/>
        <d v="2023-06-15T00:00:00"/>
        <d v="2023-06-16T00:00:00"/>
        <d v="2023-06-17T00:00:00"/>
        <d v="2023-06-18T00:00:00"/>
        <d v="2023-06-19T00:00:00"/>
        <d v="2023-06-20T00:00:00"/>
        <d v="2023-06-21T00:00:00"/>
        <d v="2023-06-22T00:00:00"/>
        <d v="2023-06-23T00:00:00"/>
        <d v="2023-06-24T00:00:00"/>
        <d v="2023-06-25T00:00:00"/>
        <d v="2023-06-26T00:00:00"/>
        <d v="2023-06-27T00:00:00"/>
        <d v="2023-06-28T00:00:00"/>
        <d v="2023-06-29T00:00:00"/>
        <d v="2023-06-30T00:00:00"/>
        <d v="2023-07-01T00:00:00"/>
        <d v="2023-07-02T00:00:00"/>
        <d v="2023-07-03T00:00:00"/>
        <d v="2023-07-04T00:00:00"/>
        <d v="2023-07-05T00:00:00"/>
        <d v="2023-07-06T00:00:00"/>
        <d v="2023-07-07T00:00:00"/>
        <d v="2023-07-08T00:00:00"/>
        <d v="2023-07-09T00:00:00"/>
        <d v="2023-07-10T00:00:00"/>
        <d v="2023-07-11T00:00:00"/>
        <d v="2023-07-12T00:00:00"/>
        <d v="2023-07-13T00:00:00"/>
        <d v="2023-07-14T00:00:00"/>
        <d v="2023-07-15T00:00:00"/>
        <d v="2023-07-16T00:00:00"/>
        <d v="2023-07-17T00:00:00"/>
        <d v="2023-07-18T00:00:00"/>
        <d v="2023-07-19T00:00:00"/>
        <d v="2023-07-20T00:00:00"/>
        <d v="2023-07-21T00:00:00"/>
        <d v="2023-07-22T00:00:00"/>
        <d v="2023-07-23T00:00:00"/>
        <d v="2023-07-24T00:00:00"/>
        <d v="2023-07-25T00:00:00"/>
        <d v="2023-07-26T00:00:00"/>
        <d v="2023-07-27T00:00:00"/>
        <d v="2023-07-28T00:00:00"/>
        <d v="2023-07-29T00:00:00"/>
        <d v="2023-07-30T00:00:00"/>
        <d v="2023-07-31T00:00:00"/>
        <d v="2023-08-01T00:00:00"/>
        <d v="2023-08-02T00:00:00"/>
        <d v="2023-08-03T00:00:00"/>
        <d v="2023-08-04T00:00:00"/>
        <d v="2023-08-05T00:00:00"/>
        <d v="2023-08-06T00:00:00"/>
        <d v="2023-08-07T00:00:00"/>
        <d v="2023-08-08T00:00:00"/>
        <d v="2023-08-09T00:00:00"/>
        <d v="2023-08-10T00:00:00"/>
        <d v="2023-08-11T00:00:00"/>
        <d v="2023-08-12T00:00:00"/>
        <d v="2023-08-13T00:00:00"/>
        <d v="2023-08-14T00:00:00"/>
        <d v="2023-08-15T00:00:00"/>
        <d v="2023-08-16T00:00:00"/>
        <d v="2023-08-17T00:00:00"/>
        <d v="2023-08-18T00:00:00"/>
        <d v="2023-08-19T00:00:00"/>
        <d v="2023-08-20T00:00:00"/>
        <d v="2023-08-21T00:00:00"/>
        <d v="2023-08-22T00:00:00"/>
        <d v="2023-08-23T00:00:00"/>
        <d v="2023-08-24T00:00:00"/>
        <d v="2023-08-25T00:00:00"/>
        <d v="2023-08-26T00:00:00"/>
        <d v="2023-08-27T00:00:00"/>
        <d v="2023-08-28T00:00:00"/>
        <d v="2023-08-29T00:00:00"/>
        <d v="2023-08-30T00:00:00"/>
        <d v="2023-08-31T00:00:00"/>
        <d v="2023-09-01T00:00:00"/>
        <d v="2023-09-02T00:00:00"/>
        <d v="2023-09-03T00:00:00"/>
        <d v="2023-09-04T00:00:00"/>
        <d v="2023-09-05T00:00:00"/>
        <d v="2023-09-06T00:00:00"/>
        <d v="2023-09-07T00:00:00"/>
        <d v="2023-09-08T00:00:00"/>
        <d v="2023-09-09T00:00:00"/>
        <d v="2023-09-10T00:00:00"/>
        <d v="2023-09-11T00:00:00"/>
        <d v="2023-09-12T00:00:00"/>
        <d v="2023-09-13T00:00:00"/>
        <d v="2023-09-14T00:00:00"/>
        <d v="2023-09-15T00:00:00"/>
        <d v="2023-09-16T00:00:00"/>
        <d v="2023-09-17T00:00:00"/>
        <d v="2023-09-18T00:00:00"/>
        <d v="2023-09-19T00:00:00"/>
        <d v="2023-09-20T00:00:00"/>
        <d v="2023-09-21T00:00:00"/>
        <d v="2023-09-22T00:00:00"/>
        <d v="2023-09-23T00:00:00"/>
        <d v="2023-09-24T00:00:00"/>
        <d v="2023-09-25T00:00:00"/>
        <d v="2023-09-26T00:00:00"/>
        <d v="2023-09-27T00:00:00"/>
        <d v="2023-09-28T00:00:00"/>
        <d v="2023-09-29T00:00:00"/>
        <d v="2023-09-30T00:00:00"/>
        <d v="2023-10-01T00:00:00"/>
        <d v="2023-10-02T00:00:00"/>
        <d v="2023-10-03T00:00:00"/>
        <d v="2023-10-04T00:00:00"/>
        <d v="2023-10-05T00:00:00"/>
        <d v="2023-10-06T00:00:00"/>
        <d v="2023-10-07T00:00:00"/>
        <d v="2023-10-08T00:00:00"/>
        <d v="2023-10-09T00:00:00"/>
        <d v="2023-10-10T00:00:00"/>
        <d v="2023-10-11T00:00:00"/>
        <d v="2023-10-12T00:00:00"/>
        <d v="2023-10-13T00:00:00"/>
        <d v="2023-10-14T00:00:00"/>
        <d v="2023-10-15T00:00:00"/>
        <d v="2023-10-16T00:00:00"/>
        <d v="2023-10-17T00:00:00"/>
        <d v="2023-10-18T00:00:00"/>
        <d v="2023-10-19T00:00:00"/>
        <d v="2023-10-20T00:00:00"/>
        <d v="2023-10-21T00:00:00"/>
        <d v="2023-10-22T00:00:00"/>
        <d v="2023-10-23T00:00:00"/>
        <d v="2023-10-24T00:00:00"/>
        <d v="2023-10-25T00:00:00"/>
        <d v="2023-10-26T00:00:00"/>
        <d v="2023-10-27T00:00:00"/>
        <d v="2023-10-28T00:00:00"/>
        <d v="2023-10-29T00:00:00"/>
        <d v="2023-10-30T00:00:00"/>
        <d v="2023-10-31T00:00:00"/>
        <d v="2023-11-01T00:00:00"/>
        <d v="2023-11-02T00:00:00"/>
        <d v="2023-11-03T00:00:00"/>
        <d v="2023-11-04T00:00:00"/>
        <d v="2023-11-05T00:00:00"/>
        <d v="2023-11-06T00:00:00"/>
        <d v="2023-11-07T00:00:00"/>
        <d v="2023-11-08T00:00:00"/>
        <d v="2023-11-09T00:00:00"/>
        <d v="2023-11-10T00:00:00"/>
        <d v="2023-11-11T00:00:00"/>
        <d v="2023-11-12T00:00:00"/>
        <d v="2023-11-13T00:00:00"/>
        <d v="2023-11-14T00:00:00"/>
        <d v="2023-11-15T00:00:00"/>
        <d v="2023-11-16T00:00:00"/>
        <d v="2023-11-17T00:00:00"/>
        <d v="2023-11-18T00:00:00"/>
        <d v="2023-11-19T00:00:00"/>
        <d v="2023-11-20T00:00:00"/>
        <d v="2023-11-21T00:00:00"/>
        <d v="2023-11-22T00:00:00"/>
        <d v="2023-11-23T00:00:00"/>
        <d v="2023-11-24T00:00:00"/>
        <d v="2023-11-25T00:00:00"/>
        <d v="2023-11-26T00:00:00"/>
        <d v="2023-11-27T00:00:00"/>
        <d v="2023-11-28T00:00:00"/>
        <d v="2023-11-29T00:00:00"/>
        <d v="2023-11-30T00:00:00"/>
        <d v="2023-12-01T00:00:00"/>
        <d v="2023-12-02T00:00:00"/>
        <d v="2023-12-03T00:00:00"/>
        <d v="2023-12-04T00:00:00"/>
        <d v="2023-12-05T00:00:00"/>
        <d v="2023-12-06T00:00:00"/>
        <d v="2023-12-07T00:00:00"/>
        <d v="2023-12-08T00:00:00"/>
        <d v="2023-12-09T00:00:00"/>
        <d v="2023-12-10T00:00:00"/>
        <d v="2023-12-11T00:00:00"/>
        <d v="2023-12-12T00:00:00"/>
        <d v="2023-12-13T00:00:00"/>
        <d v="2023-12-14T00:00:00"/>
        <d v="2023-12-15T00:00:00"/>
        <d v="2023-12-16T00:00:00"/>
        <d v="2023-12-17T00:00:00"/>
        <d v="2023-12-18T00:00:00"/>
        <d v="2023-12-19T00:00:00"/>
        <d v="2023-12-20T00:00:00"/>
        <d v="2023-12-21T00:00:00"/>
        <d v="2023-12-22T00:00:00"/>
        <d v="2023-12-23T00:00:00"/>
        <d v="2023-12-24T00:00:00"/>
        <d v="2023-12-25T00:00:00"/>
        <d v="2023-12-26T00:00:00"/>
        <d v="2023-12-27T00:00:00"/>
        <d v="2023-12-28T00:00:00"/>
        <d v="2023-12-29T00:00:00"/>
        <d v="2023-12-30T00:00:00"/>
        <d v="2023-12-31T00:00:00"/>
        <d v="2024-01-01T00:00:00"/>
        <d v="2024-01-02T00:00:00"/>
        <d v="2024-01-03T00:00:00"/>
        <d v="2024-01-04T00:00:00"/>
        <d v="2024-01-05T00:00:00"/>
        <d v="2024-01-06T00:00:00"/>
        <d v="2024-01-07T00:00:00"/>
        <d v="2024-01-08T00:00:00"/>
        <d v="2024-01-09T00:00:00"/>
        <d v="2024-01-10T00:00:00"/>
        <d v="2024-01-11T00:00:00"/>
        <d v="2024-01-12T00:00:00"/>
        <d v="2024-01-13T00:00:00"/>
        <d v="2024-01-14T00:00:00"/>
        <d v="2024-01-15T00:00:00"/>
        <d v="2024-01-16T00:00:00"/>
        <d v="2024-01-17T00:00:00"/>
        <d v="2024-01-18T00:00:00"/>
        <d v="2024-01-19T00:00:00"/>
        <d v="2024-01-20T00:00:00"/>
        <d v="2024-01-21T00:00:00"/>
        <d v="2024-01-22T00:00:00"/>
        <d v="2024-01-23T00:00:00"/>
        <d v="2024-01-24T00:00:00"/>
        <d v="2024-01-25T00:00:00"/>
        <d v="2024-01-26T00:00:00"/>
        <d v="2024-01-27T00:00:00"/>
        <d v="2024-01-28T00:00:00"/>
        <d v="2024-01-29T00:00:00"/>
        <d v="2024-01-30T00:00:00"/>
        <d v="2024-01-31T00:00:00"/>
        <d v="2024-02-01T00:00:00"/>
        <d v="2024-02-02T00:00:00"/>
        <d v="2024-02-03T00:00:00"/>
        <d v="2024-02-04T00:00:00"/>
        <d v="2024-02-05T00:00:00"/>
        <d v="2024-02-06T00:00:00"/>
        <d v="2024-02-07T00:00:00"/>
        <d v="2024-02-08T00:00:00"/>
        <d v="2024-02-09T00:00:00"/>
        <d v="2024-02-10T00:00:00"/>
        <d v="2024-02-11T00:00:00"/>
        <d v="2024-02-12T00:00:00"/>
        <d v="2024-02-13T00:00:00"/>
        <d v="2024-02-14T00:00:00"/>
        <d v="2024-02-15T00:00:00"/>
        <d v="2024-02-16T00:00:00"/>
        <d v="2024-02-17T00:00:00"/>
        <d v="2024-02-18T00:00:00"/>
        <d v="2024-02-19T00:00:00"/>
        <d v="2024-02-20T00:00:00"/>
        <d v="2024-02-21T00:00:00"/>
        <d v="2024-02-22T00:00:00"/>
        <d v="2024-02-23T00:00:00"/>
        <d v="2024-02-24T00:00:00"/>
        <d v="2024-02-25T00:00:00"/>
        <d v="2024-02-26T00:00:00"/>
        <d v="2024-02-27T00:00:00"/>
        <d v="2024-02-28T00:00:00"/>
        <d v="2024-02-29T00:00:00"/>
        <d v="2024-03-01T00:00:00"/>
        <d v="2024-03-02T00:00:00"/>
        <d v="2024-03-03T00:00:00"/>
        <d v="2024-03-04T00:00:00"/>
        <d v="2024-03-05T00:00:00"/>
        <d v="2024-03-06T00:00:00"/>
        <d v="2024-03-07T00:00:00"/>
        <d v="2024-03-08T00:00:00"/>
        <d v="2024-03-09T00:00:00"/>
        <d v="2024-03-10T00:00:00"/>
        <d v="2024-03-11T00:00:00"/>
        <d v="2024-03-12T00:00:00"/>
        <d v="2024-03-13T00:00:00"/>
        <d v="2024-03-14T00:00:00"/>
        <d v="2024-03-15T00:00:00"/>
        <d v="2024-03-16T00:00:00"/>
        <d v="2024-03-17T00:00:00"/>
        <d v="2024-03-18T00:00:00"/>
        <d v="2024-03-19T00:00:00"/>
        <d v="2024-03-20T00:00:00"/>
        <d v="2024-03-21T00:00:00"/>
        <d v="2024-03-22T00:00:00"/>
        <d v="2024-03-23T00:00:00"/>
        <d v="2024-03-24T00:00:00"/>
        <d v="2024-03-25T00:00:00"/>
        <d v="2024-03-26T00:00:00"/>
        <d v="2024-03-27T00:00:00"/>
        <d v="2024-03-28T00:00:00"/>
        <d v="2024-03-29T00:00:00"/>
        <d v="2024-03-30T00:00:00"/>
        <d v="2024-03-31T00:00:00"/>
        <d v="2024-04-01T00:00:00"/>
        <d v="2024-04-02T00:00:00"/>
        <d v="2024-04-03T00:00:00"/>
        <d v="2024-04-04T00:00:00"/>
        <d v="2024-04-05T00:00:00"/>
        <d v="2024-04-06T00:00:00"/>
        <d v="2024-04-07T00:00:00"/>
        <d v="2024-04-08T00:00:00"/>
        <d v="2024-04-09T00:00:00"/>
        <d v="2024-04-10T00:00:00"/>
        <d v="2024-04-11T00:00:00"/>
        <d v="2024-04-12T00:00:00"/>
        <d v="2024-04-13T00:00:00"/>
        <d v="2024-04-14T00:00:00"/>
        <d v="2024-04-15T00:00:00"/>
        <d v="2024-04-16T00:00:00"/>
        <d v="2024-04-17T00:00:00"/>
        <d v="2024-04-18T00:00:00"/>
        <d v="2024-04-19T00:00:00"/>
        <d v="2024-04-20T00:00:00"/>
        <d v="2024-04-21T00:00:00"/>
        <d v="2024-04-22T00:00:00"/>
        <d v="2024-04-23T00:00:00"/>
        <d v="2024-04-24T00:00:00"/>
        <d v="2024-04-25T00:00:00"/>
        <d v="2024-04-26T00:00:00"/>
        <d v="2024-04-27T00:00:00"/>
        <d v="2024-04-28T00:00:00"/>
        <d v="2024-04-29T00:00:00"/>
        <d v="2024-04-30T00:00:00"/>
        <d v="2024-05-01T00:00:00"/>
        <d v="2024-05-02T00:00:00"/>
        <d v="2024-05-03T00:00:00"/>
        <d v="2024-05-04T00:00:00"/>
        <d v="2024-05-05T00:00:00"/>
        <d v="2024-05-06T00:00:00"/>
        <d v="2024-05-07T00:00:00"/>
        <d v="2024-05-08T00:00:00"/>
        <d v="2024-05-09T00:00:00"/>
        <d v="2024-05-10T00:00:00"/>
        <d v="2024-05-11T00:00:00"/>
        <d v="2024-05-12T00:00:00"/>
        <d v="2024-05-13T00:00:00"/>
        <d v="2024-05-14T00:00:00"/>
        <d v="2024-05-15T00:00:00"/>
        <d v="2024-05-16T00:00:00"/>
        <d v="2024-05-17T00:00:00"/>
        <d v="2024-05-18T00:00:00"/>
        <d v="2024-05-19T00:00:00"/>
        <d v="2024-05-20T00:00:00"/>
        <d v="2024-05-21T00:00:00"/>
        <d v="2024-05-22T00:00:00"/>
        <d v="2024-05-23T00:00:00"/>
        <d v="2024-05-24T00:00:00"/>
        <d v="2024-05-25T00:00:00"/>
        <d v="2024-05-26T00:00:00"/>
        <d v="2024-05-27T00:00:00"/>
        <d v="2024-05-28T00:00:00"/>
        <d v="2024-05-29T00:00:00"/>
        <d v="2024-05-30T00:00:00"/>
        <d v="2024-05-31T00:00:00"/>
        <d v="2024-06-01T00:00:00"/>
        <d v="2024-06-02T00:00:00"/>
        <d v="2024-06-03T00:00:00"/>
        <d v="2024-06-04T00:00:00"/>
        <d v="2024-06-05T00:00:00"/>
        <d v="2024-06-06T00:00:00"/>
        <d v="2024-06-07T00:00:00"/>
        <d v="2024-06-08T00:00:00"/>
        <d v="2024-06-09T00:00:00"/>
        <d v="2024-06-10T00:00:00"/>
        <d v="2024-06-11T00:00:00"/>
        <d v="2024-06-12T00:00:00"/>
        <d v="2024-06-13T00:00:00"/>
        <d v="2024-06-14T00:00:00"/>
        <d v="2024-06-15T00:00:00"/>
        <d v="2024-06-16T00:00:00"/>
        <d v="2024-06-17T00:00:00"/>
        <d v="2024-06-18T00:00:00"/>
        <d v="2024-06-19T00:00:00"/>
        <d v="2024-06-20T00:00:00"/>
        <d v="2024-06-21T00:00:00"/>
        <d v="2024-06-22T00:00:00"/>
        <d v="2024-06-23T00:00:00"/>
        <d v="2024-06-24T00:00:00"/>
        <d v="2024-06-25T00:00:00"/>
        <d v="2024-06-26T00:00:00"/>
        <d v="2024-06-27T00:00:00"/>
        <d v="2024-06-28T00:00:00"/>
        <d v="2024-06-29T00:00:00"/>
        <d v="2024-06-30T00:00:00"/>
        <d v="2024-07-01T00:00:00"/>
        <d v="2024-07-02T00:00:00"/>
        <d v="2024-07-03T00:00:00"/>
        <d v="2024-07-04T00:00:00"/>
        <d v="2024-07-05T00:00:00"/>
        <d v="2024-07-06T00:00:00"/>
        <d v="2024-07-07T00:00:00"/>
        <d v="2024-07-08T00:00:00"/>
        <d v="2024-07-09T00:00:00"/>
        <d v="2024-07-10T00:00:00"/>
        <d v="2024-07-11T00:00:00"/>
        <d v="2024-07-12T00:00:00"/>
        <d v="2024-07-13T00:00:00"/>
        <d v="2024-07-14T00:00:00"/>
        <d v="2024-07-15T00:00:00"/>
        <d v="2024-07-16T00:00:00"/>
        <d v="2024-07-17T00:00:00"/>
        <d v="2024-07-18T00:00:00"/>
        <d v="2024-07-19T00:00:00"/>
        <d v="2024-07-20T00:00:00"/>
        <d v="2024-07-21T00:00:00"/>
        <d v="2024-07-22T00:00:00"/>
        <d v="2024-07-23T00:00:00"/>
        <d v="2024-07-24T00:00:00"/>
        <d v="2024-07-25T00:00:00"/>
        <d v="2024-07-26T00:00:00"/>
        <d v="2024-07-27T00:00:00"/>
        <d v="2024-07-28T00:00:00"/>
        <d v="2024-07-29T00:00:00"/>
        <d v="2024-07-30T00:00:00"/>
        <d v="2024-07-31T00:00:00"/>
        <d v="2024-08-01T00:00:00"/>
        <d v="2024-08-02T00:00:00"/>
        <d v="2024-08-03T00:00:00"/>
        <d v="2024-08-04T00:00:00"/>
        <d v="2024-08-05T00:00:00"/>
        <d v="2024-08-06T00:00:00"/>
        <d v="2024-08-07T00:00:00"/>
        <d v="2024-08-08T00:00:00"/>
        <d v="2024-08-09T00:00:00"/>
        <d v="2024-08-10T00:00:00"/>
        <d v="2024-08-11T00:00:00"/>
        <d v="2024-08-12T00:00:00"/>
        <d v="2024-08-13T00:00:00"/>
        <d v="2024-08-14T00:00:00"/>
        <d v="2024-08-15T00:00:00"/>
        <d v="2024-08-16T00:00:00"/>
        <d v="2024-08-17T00:00:00"/>
        <d v="2024-08-18T00:00:00"/>
        <d v="2024-08-19T00:00:00"/>
        <d v="2024-08-20T00:00:00"/>
        <d v="2024-08-21T00:00:00"/>
        <d v="2024-08-22T00:00:00"/>
        <d v="2024-08-23T00:00:00"/>
        <d v="2024-08-24T00:00:00"/>
        <d v="2024-08-25T00:00:00"/>
        <d v="2024-08-26T00:00:00"/>
        <d v="2024-08-27T00:00:00"/>
        <d v="2024-08-28T00:00:00"/>
        <d v="2024-08-29T00:00:00"/>
        <d v="2024-08-30T00:00:00"/>
        <d v="2024-08-31T00:00:00"/>
        <d v="2024-09-01T00:00:00"/>
        <d v="2024-09-02T00:00:00"/>
        <d v="2024-09-03T00:00:00"/>
        <d v="2024-09-04T00:00:00"/>
        <d v="2024-09-05T00:00:00"/>
        <d v="2024-09-06T00:00:00"/>
        <d v="2024-09-07T00:00:00"/>
        <d v="2024-09-08T00:00:00"/>
        <d v="2024-09-09T00:00:00"/>
        <d v="2024-09-10T00:00:00"/>
        <d v="2024-09-11T00:00:00"/>
        <d v="2024-09-12T00:00:00"/>
        <d v="2024-09-13T00:00:00"/>
        <d v="2024-09-14T00:00:00"/>
        <d v="2024-09-15T00:00:00"/>
        <d v="2024-09-16T00:00:00"/>
        <d v="2024-09-17T00:00:00"/>
        <d v="2024-09-18T00:00:00"/>
        <d v="2024-09-19T00:00:00"/>
        <d v="2024-09-20T00:00:00"/>
        <d v="2024-09-21T00:00:00"/>
        <d v="2024-09-22T00:00:00"/>
        <d v="2024-09-23T00:00:00"/>
        <d v="2024-09-24T00:00:00"/>
        <d v="2024-09-25T00:00:00"/>
        <d v="2024-09-26T00:00:00"/>
        <d v="2024-09-27T00:00:00"/>
        <d v="2024-09-28T00:00:00"/>
        <d v="2024-09-29T00:00:00"/>
        <d v="2024-09-30T00:00:00"/>
        <d v="2024-10-01T00:00:00"/>
        <d v="2024-10-02T00:00:00"/>
        <d v="2024-10-03T00:00:00"/>
        <d v="2024-10-04T00:00:00"/>
        <d v="2024-10-05T00:00:00"/>
        <d v="2024-10-06T00:00:00"/>
        <d v="2024-10-07T00:00:00"/>
        <d v="2024-10-08T00:00:00"/>
        <d v="2024-10-09T00:00:00"/>
        <d v="2024-10-10T00:00:00"/>
        <d v="2024-10-11T00:00:00"/>
        <d v="2024-10-12T00:00:00"/>
        <d v="2024-10-13T00:00:00"/>
        <d v="2024-10-14T00:00:00"/>
        <d v="2024-10-15T00:00:00"/>
        <d v="2024-10-16T00:00:00"/>
        <d v="2024-10-17T00:00:00"/>
        <d v="2024-10-18T00:00:00"/>
        <d v="2024-10-19T00:00:00"/>
        <d v="2024-10-20T00:00:00"/>
        <d v="2024-10-21T00:00:00"/>
        <d v="2024-10-22T00:00:00"/>
        <d v="2024-10-23T00:00:00"/>
        <d v="2024-10-24T00:00:00"/>
        <d v="2024-10-25T00:00:00"/>
        <d v="2024-10-26T00:00:00"/>
        <d v="2024-10-27T00:00:00"/>
        <d v="2024-10-28T00:00:00"/>
        <d v="2024-10-29T00:00:00"/>
        <d v="2024-10-30T00:00:00"/>
        <d v="2024-10-31T00:00:00"/>
        <d v="2024-11-01T00:00:00"/>
        <d v="2024-11-02T00:00:00"/>
        <d v="2024-11-03T00:00:00"/>
        <d v="2024-11-04T00:00:00"/>
        <d v="2024-11-05T00:00:00"/>
        <d v="2024-11-06T00:00:00"/>
        <d v="2024-11-07T00:00:00"/>
        <d v="2024-11-08T00:00:00"/>
        <d v="2024-11-09T00:00:00"/>
        <d v="2024-11-10T00:00:00"/>
        <d v="2024-11-11T00:00:00"/>
        <d v="2024-11-12T00:00:00"/>
        <d v="2024-11-13T00:00:00"/>
        <d v="2024-11-14T00:00:00"/>
        <d v="2024-11-15T00:00:00"/>
        <d v="2024-11-16T00:00:00"/>
        <d v="2024-11-17T00:00:00"/>
        <d v="2024-11-18T00:00:00"/>
        <d v="2024-11-19T00:00:00"/>
        <d v="2024-11-20T00:00:00"/>
        <d v="2024-11-21T00:00:00"/>
        <d v="2024-11-22T00:00:00"/>
        <d v="2024-11-23T00:00:00"/>
        <d v="2024-11-24T00:00:00"/>
        <d v="2024-11-25T00:00:00"/>
        <d v="2024-11-26T00:00:00"/>
        <d v="2024-11-27T00:00:00"/>
        <d v="2024-11-28T00:00:00"/>
        <d v="2024-11-29T00:00:00"/>
        <d v="2024-11-30T00:00:00"/>
        <d v="2024-12-01T00:00:00"/>
        <d v="2024-12-02T00:00:00"/>
        <d v="2024-12-03T00:00:00"/>
        <d v="2024-12-04T00:00:00"/>
        <d v="2024-12-05T00:00:00"/>
        <d v="2024-12-06T00:00:00"/>
        <d v="2024-12-07T00:00:00"/>
        <d v="2024-12-08T00:00:00"/>
        <d v="2024-12-09T00:00:00"/>
        <d v="2024-12-10T00:00:00"/>
        <d v="2024-12-11T00:00:00"/>
        <d v="2024-12-12T00:00:00"/>
        <d v="2024-12-13T00:00:00"/>
        <d v="2024-12-14T00:00:00"/>
        <d v="2024-12-15T00:00:00"/>
        <d v="2024-12-16T00:00:00"/>
        <d v="2024-12-17T00:00:00"/>
        <d v="2024-12-18T00:00:00"/>
        <d v="2024-12-19T00:00:00"/>
        <d v="2024-12-20T00:00:00"/>
        <d v="2024-12-21T00:00:00"/>
        <d v="2024-12-22T00:00:00"/>
        <d v="2024-12-23T00:00:00"/>
        <d v="2024-12-24T00:00:00"/>
        <d v="2024-12-25T00:00:00"/>
        <d v="2024-12-26T00:00:00"/>
        <d v="2024-12-27T00:00:00"/>
        <d v="2024-12-28T00:00:00"/>
        <d v="2024-12-29T00:00:00"/>
        <d v="2024-12-30T00:00:00"/>
        <d v="2024-12-31T00:00:00"/>
        <d v="2025-01-01T00:00:00"/>
        <d v="2025-01-02T00:00:00"/>
        <d v="2025-01-03T00:00:00"/>
        <d v="2025-01-04T00:00:00"/>
        <d v="2025-01-05T00:00:00"/>
        <d v="2025-01-06T00:00:00"/>
        <d v="2025-01-07T00:00:00"/>
        <d v="2025-01-08T00:00:00"/>
        <d v="2025-01-09T00:00:00"/>
        <d v="2025-01-10T00:00:00"/>
        <d v="2025-01-11T00:00:00"/>
        <d v="2025-01-12T00:00:00"/>
        <d v="2025-01-13T00:00:00"/>
        <d v="2025-01-14T00:00:00"/>
        <d v="2025-01-15T00:00:00"/>
        <d v="2025-01-16T00:00:00"/>
        <d v="2025-01-17T00:00:00"/>
        <d v="2025-01-18T00:00:00"/>
        <d v="2025-01-19T00:00:00"/>
        <d v="2025-01-20T00:00:00"/>
        <d v="2025-01-21T00:00:00"/>
        <d v="2025-01-22T00:00:00"/>
        <d v="2025-01-23T00:00:00"/>
        <d v="2025-01-24T00:00:00"/>
        <d v="2025-01-25T00:00:00"/>
        <d v="2025-01-26T00:00:00"/>
        <d v="2025-01-27T00:00:00"/>
        <d v="2025-01-28T00:00:00"/>
        <d v="2025-01-29T00:00:00"/>
        <d v="2025-01-30T00:00:00"/>
        <d v="2025-01-31T00:00:00"/>
        <d v="2025-02-01T00:00:00"/>
        <d v="2025-02-02T00:00:00"/>
        <d v="2025-02-03T00:00:00"/>
        <d v="2025-02-04T00:00:00"/>
        <d v="2025-02-05T00:00:00"/>
        <d v="2025-02-06T00:00:00"/>
        <d v="2025-02-07T00:00:00"/>
        <d v="2025-02-08T00:00:00"/>
        <d v="2025-02-09T00:00:00"/>
        <d v="2025-02-10T00:00:00"/>
        <d v="2025-02-11T00:00:00"/>
        <d v="2025-02-12T00:00:00"/>
        <d v="2025-02-13T00:00:00"/>
        <d v="2025-02-14T00:00:00"/>
        <d v="2025-02-15T00:00:00"/>
        <d v="2025-02-16T00:00:00"/>
        <d v="2025-02-17T00:00:00"/>
        <d v="2025-02-18T00:00:00"/>
        <d v="2025-02-19T00:00:00"/>
        <d v="2025-02-20T00:00:00"/>
        <d v="2025-02-21T00:00:00"/>
        <d v="2025-02-22T00:00:00"/>
        <d v="2025-02-23T00:00:00"/>
        <d v="2025-02-24T00:00:00"/>
        <d v="2025-02-25T00:00:00"/>
        <d v="2025-02-26T00:00:00"/>
        <d v="2025-02-27T00:00:00"/>
        <d v="2025-02-28T00:00:00"/>
        <d v="2025-03-01T00:00:00"/>
        <d v="2025-03-02T00:00:00"/>
        <d v="2025-03-03T00:00:00"/>
        <d v="2025-03-04T00:00:00"/>
        <d v="2025-03-05T00:00:00"/>
        <d v="2025-03-06T00:00:00"/>
        <d v="2025-03-07T00:00:00"/>
        <d v="2025-03-08T00:00:00"/>
        <d v="2025-03-09T00:00:00"/>
        <d v="2025-03-10T00:00:00"/>
        <d v="2025-03-11T00:00:00"/>
        <d v="2025-03-12T00:00:00"/>
        <d v="2025-03-13T00:00:00"/>
        <d v="2025-03-14T00:00:00"/>
        <d v="2025-03-15T00:00:00"/>
        <d v="2025-03-16T00:00:00"/>
        <d v="2025-03-17T00:00:00"/>
        <d v="2025-03-18T00:00:00"/>
        <d v="2025-03-19T00:00:00"/>
        <d v="2025-03-20T00:00:00"/>
        <d v="2025-03-21T00:00:00"/>
        <d v="2025-03-22T00:00:00"/>
        <d v="2025-03-23T00:00:00"/>
        <d v="2025-03-24T00:00:00"/>
        <d v="2025-03-25T00:00:00"/>
        <d v="2025-03-26T00:00:00"/>
        <d v="2025-03-27T00:00:00"/>
        <d v="2025-03-28T00:00:00"/>
        <d v="2025-03-29T00:00:00"/>
        <d v="2025-03-30T00:00:00"/>
        <d v="2025-03-31T00:00:00"/>
        <d v="2025-04-01T00:00:00"/>
        <d v="2025-04-02T00:00:00"/>
        <d v="2025-04-03T00:00:00"/>
        <d v="2025-04-04T00:00:00"/>
        <d v="2025-04-05T00:00:00"/>
        <d v="2025-04-06T00:00:00"/>
        <d v="2025-04-07T00:00:00"/>
        <d v="2025-04-08T00:00:00"/>
        <d v="2025-04-09T00:00:00"/>
        <d v="2025-04-10T00:00:00"/>
        <d v="2025-04-11T00:00:00"/>
        <d v="2025-04-12T00:00:00"/>
        <d v="2025-04-13T00:00:00"/>
        <d v="2025-04-14T00:00:00"/>
        <d v="2025-04-15T00:00:00"/>
        <d v="2025-04-16T00:00:00"/>
        <d v="2025-04-17T00:00:00"/>
        <d v="2025-04-18T00:00:00"/>
        <d v="2025-04-19T00:00:00"/>
        <d v="2025-04-20T00:00:00"/>
        <d v="2025-04-21T00:00:00"/>
        <d v="2025-04-22T00:00:00"/>
        <d v="2025-04-23T00:00:00"/>
        <d v="2025-04-24T00:00:00"/>
        <d v="2025-04-25T00:00:00"/>
        <d v="2025-04-26T00:00:00"/>
        <d v="2025-04-27T00:00:00"/>
        <d v="2025-04-28T00:00:00"/>
        <d v="2025-04-29T00:00:00"/>
        <d v="2025-04-30T00:00:00"/>
        <d v="2025-05-01T00:00:00"/>
        <d v="2025-05-02T00:00:00"/>
        <d v="2025-05-03T00:00:00"/>
        <d v="2025-05-04T00:00:00"/>
        <d v="2025-05-05T00:00:00"/>
        <d v="2025-05-06T00:00:00"/>
        <d v="2025-05-07T00:00:00"/>
        <d v="2025-05-08T00:00:00"/>
        <d v="2025-05-09T00:00:00"/>
        <d v="2025-05-10T00:00:00"/>
        <d v="2025-05-11T00:00:00"/>
        <d v="2025-05-12T00:00:00"/>
        <d v="2025-05-13T00:00:00"/>
        <d v="2025-05-14T00:00:00"/>
        <d v="2025-05-15T00:00:00"/>
        <d v="2025-05-16T00:00:00"/>
        <d v="2025-05-17T00:00:00"/>
        <d v="2025-05-18T00:00:00"/>
        <d v="2025-05-19T00:00:00"/>
        <d v="2025-05-20T00:00:00"/>
        <d v="2025-05-21T00:00:00"/>
        <d v="2025-05-22T00:00:00"/>
        <d v="2025-05-23T00:00:00"/>
        <d v="2025-05-24T00:00:00"/>
        <d v="2025-05-25T00:00:00"/>
        <d v="2025-05-26T00:00:00"/>
        <d v="2025-05-27T00:00:00"/>
        <d v="2025-05-28T00:00:00"/>
        <d v="2025-05-29T00:00:00"/>
        <d v="2025-05-30T00:00:00"/>
        <d v="2025-05-31T00:00:00"/>
        <d v="2025-06-01T00:00:00"/>
        <d v="2025-06-02T00:00:00"/>
        <d v="2025-06-03T00:00:00"/>
        <d v="2025-06-04T00:00:00"/>
        <d v="2025-06-05T00:00:00"/>
        <d v="2025-06-06T00:00:00"/>
        <d v="2025-06-07T00:00:00"/>
        <d v="2025-06-08T00:00:00"/>
        <d v="2025-06-09T00:00:00"/>
        <d v="2025-06-10T00:00:00"/>
        <d v="2025-06-11T00:00:00"/>
        <d v="2025-06-12T00:00:00"/>
        <d v="2025-06-13T00:00:00"/>
        <d v="2025-06-14T00:00:00"/>
        <d v="2025-06-15T00:00:00"/>
        <d v="2025-06-16T00:00:00"/>
        <d v="2025-06-17T00:00:00"/>
        <d v="2025-06-18T00:00:00"/>
        <d v="2025-06-19T00:00:00"/>
        <d v="2025-06-20T00:00:00"/>
        <d v="2025-06-21T00:00:00"/>
        <d v="2025-06-22T00:00:00"/>
        <d v="2025-06-23T00:00:00"/>
        <d v="2025-06-24T00:00:00"/>
        <d v="2025-06-25T00:00:00"/>
        <d v="2025-06-26T00:00:00"/>
        <d v="2025-06-27T00:00:00"/>
        <d v="2025-06-28T00:00:00"/>
        <d v="2025-06-29T00:00:00"/>
        <d v="2025-06-30T00:00:00"/>
        <d v="2025-07-01T00:00:00"/>
        <d v="2025-07-02T00:00:00"/>
        <d v="2025-07-03T00:00:00"/>
        <d v="2025-07-04T00:00:00"/>
        <d v="2025-07-05T00:00:00"/>
        <d v="2025-07-06T00:00:00"/>
        <d v="2025-07-07T00:00:00"/>
        <d v="2025-07-08T00:00:00"/>
        <d v="2025-07-09T00:00:00"/>
        <d v="2025-07-10T00:00:00"/>
        <d v="2025-07-11T00:00:00"/>
        <d v="2025-07-12T00:00:00"/>
        <d v="2025-07-13T00:00:00"/>
        <d v="2025-07-14T00:00:00"/>
        <d v="2025-07-15T00:00:00"/>
        <d v="2025-07-16T00:00:00"/>
        <d v="2025-07-17T00:00:00"/>
        <d v="2025-07-18T00:00:00"/>
        <d v="2025-07-19T00:00:00"/>
        <d v="2025-07-20T00:00:00"/>
        <d v="2025-07-21T00:00:00"/>
        <d v="2025-07-22T00:00:00"/>
        <d v="2025-07-23T00:00:00"/>
        <d v="2025-07-24T00:00:00"/>
        <d v="2025-07-25T00:00:00"/>
        <d v="2025-07-26T00:00:00"/>
        <d v="2025-07-27T00:00:00"/>
        <d v="2025-07-28T00:00:00"/>
        <d v="2025-07-29T00:00:00"/>
        <d v="2025-07-30T00:00:00"/>
        <d v="2025-07-31T00:00:00"/>
        <d v="2025-08-01T00:00:00"/>
        <d v="2025-08-02T00:00:00"/>
        <d v="2025-08-03T00:00:00"/>
        <d v="2025-08-04T00:00:00"/>
        <d v="2025-08-05T00:00:00"/>
        <d v="2025-08-06T00:00:00"/>
        <d v="2025-08-07T00:00:00"/>
        <d v="2025-08-08T00:00:00"/>
        <d v="2025-08-09T00:00:00"/>
        <d v="2025-08-10T00:00:00"/>
        <d v="2025-08-11T00:00:00"/>
        <d v="2025-08-12T00:00:00"/>
        <d v="2025-08-13T00:00:00"/>
        <d v="2025-08-14T00:00:00"/>
        <d v="2025-08-15T00:00:00"/>
        <d v="2025-08-16T00:00:00"/>
        <d v="2025-08-17T00:00:00"/>
        <d v="2025-08-18T00:00:00"/>
        <d v="2025-08-19T00:00:00"/>
        <d v="2025-08-20T00:00:00"/>
        <d v="2025-08-21T00:00:00"/>
        <d v="2025-08-22T00:00:00"/>
        <d v="2025-08-23T00:00:00"/>
        <d v="2025-08-24T00:00:00"/>
        <d v="2025-08-25T00:00:00"/>
        <d v="2025-08-26T00:00:00"/>
        <d v="2025-08-27T00:00:00"/>
        <d v="2025-08-28T00:00:00"/>
        <d v="2025-08-29T00:00:00"/>
        <d v="2025-08-30T00:00:00"/>
        <d v="2025-08-31T00:00:00"/>
        <d v="2025-09-01T00:00:00"/>
        <d v="2025-09-02T00:00:00"/>
        <d v="2025-09-03T00:00:00"/>
        <d v="2025-09-04T00:00:00"/>
        <d v="2025-09-05T00:00:00"/>
        <d v="2025-09-06T00:00:00"/>
        <d v="2025-09-07T00:00:00"/>
        <d v="2025-09-08T00:00:00"/>
        <d v="2025-09-09T00:00:00"/>
        <d v="2025-09-10T00:00:00"/>
        <d v="2025-09-11T00:00:00"/>
        <d v="2025-09-12T00:00:00"/>
        <d v="2025-09-13T00:00:00"/>
        <d v="2025-09-14T00:00:00"/>
        <d v="2025-09-15T00:00:00"/>
        <d v="2025-09-16T00:00:00"/>
        <d v="2025-09-17T00:00:00"/>
        <d v="2025-09-18T00:00:00"/>
        <d v="2025-09-19T00:00:00"/>
        <d v="2025-09-20T00:00:00"/>
        <d v="2025-09-21T00:00:00"/>
        <d v="2025-09-22T00:00:00"/>
        <d v="2025-09-23T00:00:00"/>
        <d v="2025-09-24T00:00:00"/>
        <d v="2025-09-25T00:00:00"/>
        <d v="2025-09-26T00:00:00"/>
        <d v="2025-09-27T00:00:00"/>
        <d v="2025-09-28T00:00:00"/>
        <d v="2025-09-29T00:00:00"/>
        <d v="2025-09-30T00:00:00"/>
        <d v="2025-10-01T00:00:00"/>
        <d v="2025-10-02T00:00:00"/>
        <d v="2025-10-03T00:00:00"/>
        <d v="2025-10-04T00:00:00"/>
        <d v="2025-10-05T00:00:00"/>
        <d v="2025-10-06T00:00:00"/>
        <d v="2025-10-07T00:00:00"/>
        <d v="2025-10-08T00:00:00"/>
        <d v="2025-10-09T00:00:00"/>
        <d v="2025-10-10T00:00:00"/>
        <d v="2025-10-11T00:00:00"/>
        <d v="2025-10-12T00:00:00"/>
        <d v="2025-10-13T00:00:00"/>
        <d v="2025-10-14T00:00:00"/>
        <d v="2025-10-15T00:00:00"/>
        <d v="2025-10-16T00:00:00"/>
        <d v="2025-10-17T00:00:00"/>
        <d v="2025-10-18T00:00:00"/>
        <d v="2025-10-19T00:00:00"/>
        <d v="2025-10-20T00:00:00"/>
        <d v="2025-10-21T00:00:00"/>
        <d v="2025-10-22T00:00:00"/>
        <d v="2025-10-23T00:00:00"/>
        <d v="2025-10-24T00:00:00"/>
        <d v="2025-10-25T00:00:00"/>
        <d v="2025-10-26T00:00:00"/>
        <d v="2025-10-27T00:00:00"/>
        <d v="2025-10-28T00:00:00"/>
        <d v="2025-10-29T00:00:00"/>
        <d v="2025-10-30T00:00:00"/>
        <d v="2025-10-31T00:00:00"/>
        <d v="2025-11-01T00:00:00"/>
        <d v="2025-11-02T00:00:00"/>
        <d v="2025-11-03T00:00:00"/>
        <d v="2025-11-04T00:00:00"/>
        <d v="2025-11-05T00:00:00"/>
        <d v="2025-11-06T00:00:00"/>
        <d v="2025-11-07T00:00:00"/>
        <d v="2025-11-08T00:00:00"/>
        <d v="2025-11-09T00:00:00"/>
        <d v="2025-11-10T00:00:00"/>
        <d v="2025-11-11T00:00:00"/>
        <d v="2025-11-12T00:00:00"/>
        <d v="2025-11-13T00:00:00"/>
        <d v="2025-11-14T00:00:00"/>
        <d v="2025-11-15T00:00:00"/>
        <d v="2025-11-16T00:00:00"/>
        <d v="2025-11-17T00:00:00"/>
        <d v="2025-11-18T00:00:00"/>
        <d v="2025-11-19T00:00:00"/>
        <d v="2025-11-20T00:00:00"/>
        <d v="2025-11-21T00:00:00"/>
        <d v="2025-11-22T00:00:00"/>
        <d v="2025-11-23T00:00:00"/>
        <d v="2025-11-24T00:00:00"/>
        <d v="2025-11-25T00:00:00"/>
        <d v="2025-11-26T00:00:00"/>
        <d v="2025-11-27T00:00:00"/>
        <d v="2025-11-28T00:00:00"/>
        <d v="2025-11-29T00:00:00"/>
        <d v="2025-11-30T00:00:00"/>
        <d v="2025-12-01T00:00:00"/>
        <d v="2025-12-02T00:00:00"/>
        <d v="2025-12-03T00:00:00"/>
        <d v="2025-12-04T00:00:00"/>
        <d v="2025-12-05T00:00:00"/>
        <d v="2025-12-06T00:00:00"/>
        <d v="2025-12-07T00:00:00"/>
        <d v="2025-12-08T00:00:00"/>
        <d v="2025-12-09T00:00:00"/>
        <d v="2025-12-10T00:00:00"/>
        <d v="2025-12-11T00:00:00"/>
        <d v="2025-12-12T00:00:00"/>
        <d v="2025-12-13T00:00:00"/>
        <d v="2025-12-14T00:00:00"/>
        <d v="2025-12-15T00:00:00"/>
        <d v="2025-12-16T00:00:00"/>
        <d v="2025-12-17T00:00:00"/>
        <d v="2025-12-18T00:00:00"/>
        <d v="2025-12-19T00:00:00"/>
        <d v="2025-12-20T00:00:00"/>
        <d v="2025-12-21T00:00:00"/>
        <d v="2025-12-22T00:00:00"/>
        <d v="2025-12-23T00:00:00"/>
        <d v="2025-12-24T00:00:00"/>
        <d v="2025-12-25T00:00:00"/>
        <d v="2025-12-26T00:00:00"/>
        <d v="2025-12-27T00:00:00"/>
        <d v="2025-12-28T00:00:00"/>
        <d v="2025-12-29T00:00:00"/>
        <d v="2025-12-30T00:00:00"/>
        <d v="2025-12-31T00:00:00"/>
      </sharedItems>
    </cacheField>
    <cacheField name="[Tab_concat].[Dates (mois)].[Dates (mois)]" caption="Dates (mois)" numFmtId="0" hierarchy="21" level="1">
      <sharedItems containsNonDate="0" count="12">
        <s v="janv"/>
        <s v="févr"/>
        <s v="mars"/>
        <s v="avr"/>
        <s v="mai"/>
        <s v="juin"/>
        <s v="juil"/>
        <s v="août"/>
        <s v="sept"/>
        <s v="oct"/>
        <s v="nov"/>
        <s v="déc"/>
      </sharedItems>
    </cacheField>
    <cacheField name="[Tab_concat].[Dates (trimestre)].[Dates (trimestre)]" caption="Dates (trimestre)" numFmtId="0" hierarchy="20" level="1">
      <sharedItems count="4">
        <s v="Trim1"/>
        <s v="Trim2"/>
        <s v="Trim3"/>
        <s v="Trim4"/>
      </sharedItems>
    </cacheField>
    <cacheField name="[Tab_concat].[Dates (année)].[Dates (année)]" caption="Dates (année)" numFmtId="0" hierarchy="19" level="1">
      <sharedItems count="5">
        <s v="2022"/>
        <s v="2023"/>
        <s v="2024"/>
        <s v="2025"/>
        <s v="2026"/>
      </sharedItems>
    </cacheField>
    <cacheField name="[Measures].[Conso_DJU]" caption="Conso_DJU" numFmtId="0" hierarchy="40" level="32767"/>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2" memberValueDatatype="7" unbalanced="0">
      <fieldsUsage count="2">
        <fieldUsage x="-1"/>
        <fieldUsage x="1"/>
      </fieldsUsage>
    </cacheHierarchy>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2" memberValueDatatype="130" unbalanced="0">
      <fieldsUsage count="2">
        <fieldUsage x="-1"/>
        <fieldUsage x="4"/>
      </fieldsUsage>
    </cacheHierarchy>
    <cacheHierarchy uniqueName="[Tab_concat].[Dates (trimestre)]" caption="Dates (trimestre)" attribute="1" defaultMemberUniqueName="[Tab_concat].[Dates (trimestre)].[All]" allUniqueName="[Tab_concat].[Dates (trimestre)].[All]" dimensionUniqueName="[Tab_concat]" displayFolder="" count="2" memberValueDatatype="130" unbalanced="0">
      <fieldsUsage count="2">
        <fieldUsage x="-1"/>
        <fieldUsage x="3"/>
      </fieldsUsage>
    </cacheHierarchy>
    <cacheHierarchy uniqueName="[Tab_concat].[Dates (mois)]" caption="Dates (mois)" attribute="1" defaultMemberUniqueName="[Tab_concat].[Dates (mois)].[All]" allUniqueName="[Tab_concat].[Dates (mois)].[All]" dimensionUniqueName="[Tab_concat]" displayFolder="" count="2" memberValueDatatype="130" unbalanced="0">
      <fieldsUsage count="2">
        <fieldUsage x="-1"/>
        <fieldUsage x="2"/>
      </fieldsUsage>
    </cacheHierarchy>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2" memberValueDatatype="130" unbalanced="0">
      <fieldsUsage count="2">
        <fieldUsage x="-1"/>
        <fieldUsage x="0"/>
      </fieldsUsage>
    </cacheHierarchy>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oneField="1">
      <fieldsUsage count="1">
        <fieldUsage x="5"/>
      </fieldsUsage>
    </cacheHierarchy>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invalid="1" saveData="0" refreshedBy="Fabien ROUAULT" refreshedDate="46203.609084143522" backgroundQuery="1" createdVersion="3" refreshedVersion="7" minRefreshableVersion="3" recordCount="0" tupleCache="1">
  <cacheSource type="external" connectionId="11"/>
  <cacheFields count="1">
    <cacheField name="[Tableau16].[Nom].[Nom]" caption="Nom" numFmtId="0" hierarchy="38" level="1">
      <sharedItems count="1">
        <s v="[Tableau16].[Nom].&amp;[Gaz général]" c="Gaz général"/>
      </sharedItems>
    </cacheField>
  </cacheFields>
  <cacheHierarchies count="64">
    <cacheHierarchy uniqueName="[Measures]" caption="Measures" attribute="1" keyAttribute="1" defaultMemberUniqueName="[Measures].[__Aucune mesure définie]" dimensionUniqueName="[Measures]" displayFolder="" measures="1" count="1" memberValueDatatype="130" unbalanced="0"/>
    <cacheHierarchy uniqueName="[Tab_concat].[Compteur]" caption="Compteur" attribute="1" defaultMemberUniqueName="[Tab_concat].[Compteur].[All]" allUniqueName="[Tab_concat].[Compteur].[All]" dimensionUniqueName="[Tab_concat]" displayFolder="" count="2" memberValueDatatype="130" unbalanced="0"/>
    <cacheHierarchy uniqueName="[Tab_concat].[Dates]" caption="Dates" attribute="1" time="1" defaultMemberUniqueName="[Tab_concat].[Dates].[All]" allUniqueName="[Tab_concat].[Dates].[All]" dimensionUniqueName="[Tab_concat]" displayFolder="" count="2" memberValueDatatype="7" unbalanced="0"/>
    <cacheHierarchy uniqueName="[Tab_concat].[Colonne1]" caption="Colonne1" attribute="1" defaultMemberUniqueName="[Tab_concat].[Colonne1].[All]" allUniqueName="[Tab_concat].[Colonne1].[All]" dimensionUniqueName="[Tab_concat]" displayFolder="" count="2" memberValueDatatype="130" unbalanced="0"/>
    <cacheHierarchy uniqueName="[Tab_concat].[Demande_jour]" caption="Demande_jour" attribute="1" defaultMemberUniqueName="[Tab_concat].[Demande_jour].[All]" allUniqueName="[Tab_concat].[Demande_jour].[All]" dimensionUniqueName="[Tab_concat]" displayFolder="" count="2" memberValueDatatype="5" unbalanced="0"/>
    <cacheHierarchy uniqueName="[Tab_concat].[Cout_jour]" caption="Cout_jour" attribute="1" defaultMemberUniqueName="[Tab_concat].[Cout_jour].[All]" allUniqueName="[Tab_concat].[Cout_jour].[All]" dimensionUniqueName="[Tab_concat]" displayFolder="" count="2" memberValueDatatype="5" unbalanced="0"/>
    <cacheHierarchy uniqueName="[Tab_concat].[DJU_chauffagiste]" caption="DJU_chauffagiste" attribute="1" defaultMemberUniqueName="[Tab_concat].[DJU_chauffagiste].[All]" allUniqueName="[Tab_concat].[DJU_chauffagiste].[All]" dimensionUniqueName="[Tab_concat]" displayFolder="" count="2" memberValueDatatype="20" unbalanced="0"/>
    <cacheHierarchy uniqueName="[Tab_concat].[DJU_climaticien]" caption="DJU_climaticien" attribute="1" defaultMemberUniqueName="[Tab_concat].[DJU_climaticien].[All]" allUniqueName="[Tab_concat].[DJU_climaticien].[All]" dimensionUniqueName="[Tab_concat]" displayFolder="" count="2" memberValueDatatype="20" unbalanced="0"/>
    <cacheHierarchy uniqueName="[Tab_concat].[Colonne2]" caption="Colonne2" attribute="1" defaultMemberUniqueName="[Tab_concat].[Colonne2].[All]" allUniqueName="[Tab_concat].[Colonne2].[All]" dimensionUniqueName="[Tab_concat]" displayFolder="" count="2" memberValueDatatype="130" unbalanced="0"/>
    <cacheHierarchy uniqueName="[Tab_concat].[Type]" caption="Type" attribute="1" defaultMemberUniqueName="[Tab_concat].[Type].[All]" allUniqueName="[Tab_concat].[Type].[All]" dimensionUniqueName="[Tab_concat]" displayFolder="" count="2" memberValueDatatype="130" unbalanced="0"/>
    <cacheHierarchy uniqueName="[Tab_concat].[Source]" caption="Source" attribute="1" defaultMemberUniqueName="[Tab_concat].[Source].[All]" allUniqueName="[Tab_concat].[Source].[All]" dimensionUniqueName="[Tab_concat]" displayFolder="" count="2" memberValueDatatype="130" unbalanced="0"/>
    <cacheHierarchy uniqueName="[Tab_concat].[Combustible]" caption="Combustible" attribute="1" defaultMemberUniqueName="[Tab_concat].[Combustible].[All]" allUniqueName="[Tab_concat].[Combustible].[All]" dimensionUniqueName="[Tab_concat]" displayFolder="" count="2" memberValueDatatype="130" unbalanced="0"/>
    <cacheHierarchy uniqueName="[Tab_concat].[Conso_kWh_PCI]" caption="Conso_kWh_PCI" attribute="1" defaultMemberUniqueName="[Tab_concat].[Conso_kWh_PCI].[All]" allUniqueName="[Tab_concat].[Conso_kWh_PCI].[All]" dimensionUniqueName="[Tab_concat]" displayFolder="" count="2" memberValueDatatype="5" unbalanced="0"/>
    <cacheHierarchy uniqueName="[Tab_concat].[Conso_kWh_DEET]" caption="Conso_kWh_DEET" attribute="1" defaultMemberUniqueName="[Tab_concat].[Conso_kWh_DEET].[All]" allUniqueName="[Tab_concat].[Conso_kWh_DEET].[All]" dimensionUniqueName="[Tab_concat]" displayFolder="" count="2" memberValueDatatype="5" unbalanced="0"/>
    <cacheHierarchy uniqueName="[Tab_concat].[Nom]" caption="Nom" attribute="1" defaultMemberUniqueName="[Tab_concat].[Nom].[All]" allUniqueName="[Tab_concat].[Nom].[All]" dimensionUniqueName="[Tab_concat]" displayFolder="" count="2" memberValueDatatype="130" unbalanced="0"/>
    <cacheHierarchy uniqueName="[Tab_concat].[Detail usage]" caption="Detail usage" attribute="1" defaultMemberUniqueName="[Tab_concat].[Detail usage].[All]" allUniqueName="[Tab_concat].[Detail usage].[All]" dimensionUniqueName="[Tab_concat]" displayFolder="" count="2" memberValueDatatype="130" unbalanced="0"/>
    <cacheHierarchy uniqueName="[Tab_concat].[Conso_kWhEP]" caption="Conso_kWhEP" attribute="1" defaultMemberUniqueName="[Tab_concat].[Conso_kWhEP].[All]" allUniqueName="[Tab_concat].[Conso_kWhEP].[All]" dimensionUniqueName="[Tab_concat]" displayFolder="" count="2" memberValueDatatype="5" unbalanced="0"/>
    <cacheHierarchy uniqueName="[Tab_concat].[Annee]" caption="Annee" attribute="1" defaultMemberUniqueName="[Tab_concat].[Annee].[All]" allUniqueName="[Tab_concat].[Annee].[All]" dimensionUniqueName="[Tab_concat]" displayFolder="" count="2" memberValueDatatype="20" unbalanced="0"/>
    <cacheHierarchy uniqueName="[Tab_concat].[Mois]" caption="Mois" attribute="1" defaultMemberUniqueName="[Tab_concat].[Mois].[All]" allUniqueName="[Tab_concat].[Mois].[All]" dimensionUniqueName="[Tab_concat]" displayFolder="" count="2" memberValueDatatype="20" unbalanced="0"/>
    <cacheHierarchy uniqueName="[Tab_concat].[Cout_unitaire]" caption="Cout_unitaire" attribute="1" defaultMemberUniqueName="[Tab_concat].[Cout_unitaire].[All]" allUniqueName="[Tab_concat].[Cout_unitaire].[All]" dimensionUniqueName="[Tab_concat]" displayFolder="" count="2" memberValueDatatype="5" unbalanced="0"/>
    <cacheHierarchy uniqueName="[Tab_concat].[Dates (année)]" caption="Dates (année)" attribute="1" defaultMemberUniqueName="[Tab_concat].[Dates (année)].[All]" allUniqueName="[Tab_concat].[Dates (année)].[All]" dimensionUniqueName="[Tab_concat]" displayFolder="" count="2" memberValueDatatype="130" unbalanced="0"/>
    <cacheHierarchy uniqueName="[Tab_concat].[Dates (trimestre)]" caption="Dates (trimestre)" attribute="1" defaultMemberUniqueName="[Tab_concat].[Dates (trimestre)].[All]" allUniqueName="[Tab_concat].[Dates (trimestre)].[All]" dimensionUniqueName="[Tab_concat]" displayFolder="" count="2" memberValueDatatype="130" unbalanced="0"/>
    <cacheHierarchy uniqueName="[Tab_concat].[Dates (mois)]" caption="Dates (mois)" attribute="1" defaultMemberUniqueName="[Tab_concat].[Dates (mois)].[All]" allUniqueName="[Tab_concat].[Dates (mois)].[All]" dimensionUniqueName="[Tab_concat]" displayFolder="" count="2"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2"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2" memberValueDatatype="5" unbalanced="0"/>
    <cacheHierarchy uniqueName="[Tableau_annees].[Annee]" caption="Annee" attribute="1" defaultMemberUniqueName="[Tableau_annees].[Annee].[All]" allUniqueName="[Tableau_annees].[Annee].[All]" dimensionUniqueName="[Tableau_annees]" displayFolder="" count="2"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2" memberValueDatatype="130" unbalanced="0"/>
    <cacheHierarchy uniqueName="[Tableau_mois].[Mois]" caption="Mois" attribute="1" defaultMemberUniqueName="[Tableau_mois].[Mois].[All]" allUniqueName="[Tableau_mois].[Mois].[All]" dimensionUniqueName="[Tableau_mois]" displayFolder="" count="2" memberValueDatatype="20" unbalanced="0"/>
    <cacheHierarchy uniqueName="[Tableau_source].[Source]" caption="Source" attribute="1" defaultMemberUniqueName="[Tableau_source].[Source].[All]" allUniqueName="[Tableau_source].[Source].[All]" dimensionUniqueName="[Tableau_source]" displayFolder="" count="2" memberValueDatatype="130" unbalanced="0"/>
    <cacheHierarchy uniqueName="[Tableau_type].[Type]" caption="Type" attribute="1" defaultMemberUniqueName="[Tableau_type].[Type].[All]" allUniqueName="[Tableau_type].[Type].[All]" dimensionUniqueName="[Tableau_type]" displayFolder="" count="2" memberValueDatatype="130" unbalanced="0"/>
    <cacheHierarchy uniqueName="[Tableau_usage].[Detail usage]" caption="Detail usage" attribute="1" defaultMemberUniqueName="[Tableau_usage].[Detail usage].[All]" allUniqueName="[Tableau_usage].[Detail usage].[All]" dimensionUniqueName="[Tableau_usage]" displayFolder="" count="2" memberValueDatatype="130" unbalanced="0"/>
    <cacheHierarchy uniqueName="[Tableau16].[Compteur/Livraison]" caption="Compteur/Livraison" attribute="1" defaultMemberUniqueName="[Tableau16].[Compteur/Livraison].[All]" allUniqueName="[Tableau16].[Compteur/Livraison].[All]" dimensionUniqueName="[Tableau16]" displayFolder="" count="2" memberValueDatatype="130" unbalanced="0"/>
    <cacheHierarchy uniqueName="[Tableau16].[Type]" caption="Type" attribute="1" defaultMemberUniqueName="[Tableau16].[Type].[All]" allUniqueName="[Tableau16].[Type].[All]" dimensionUniqueName="[Tableau16]" displayFolder="" count="2" memberValueDatatype="130" unbalanced="0"/>
    <cacheHierarchy uniqueName="[Tableau16].[Source]" caption="Source" attribute="1" defaultMemberUniqueName="[Tableau16].[Source].[All]" allUniqueName="[Tableau16].[Source].[All]" dimensionUniqueName="[Tableau16]" displayFolder="" count="2" memberValueDatatype="130" unbalanced="0"/>
    <cacheHierarchy uniqueName="[Tableau16].[Detail usage]" caption="Detail usage" attribute="1" defaultMemberUniqueName="[Tableau16].[Detail usage].[All]" allUniqueName="[Tableau16].[Detail usage].[All]" dimensionUniqueName="[Tableau16]" displayFolder="" count="2" memberValueDatatype="130" unbalanced="0"/>
    <cacheHierarchy uniqueName="[Tableau16].[Combustible]" caption="Combustible" attribute="1" defaultMemberUniqueName="[Tableau16].[Combustible].[All]" allUniqueName="[Tableau16].[Combustible].[All]" dimensionUniqueName="[Tableau16]" displayFolder="" count="2" memberValueDatatype="130" unbalanced="0"/>
    <cacheHierarchy uniqueName="[Tableau16].[PCI]" caption="PCI" attribute="1" defaultMemberUniqueName="[Tableau16].[PCI].[All]" allUniqueName="[Tableau16].[PCI].[All]" dimensionUniqueName="[Tableau16]" displayFolder="" count="2" memberValueDatatype="5" unbalanced="0"/>
    <cacheHierarchy uniqueName="[Tableau16].[PCI_DEET]" caption="PCI_DEET" attribute="1" defaultMemberUniqueName="[Tableau16].[PCI_DEET].[All]" allUniqueName="[Tableau16].[PCI_DEET].[All]" dimensionUniqueName="[Tableau16]" displayFolder="" count="2" memberValueDatatype="5" unbalanced="0"/>
    <cacheHierarchy uniqueName="[Tableau16].[Nom]" caption="Nom" attribute="1" defaultMemberUniqueName="[Tableau16].[Nom].[All]" allUniqueName="[Tableau16].[Nom].[All]" dimensionUniqueName="[Tableau16]" displayFolder="" count="2" memberValueDatatype="130" unbalanced="0">
      <fieldsUsage count="2">
        <fieldUsage x="-1"/>
        <fieldUsage x="0"/>
      </fieldsUsage>
    </cacheHierarchy>
    <cacheHierarchy uniqueName="[Tableau16].[PCI_EP]" caption="PCI_EP" attribute="1" defaultMemberUniqueName="[Tableau16].[PCI_EP].[All]" allUniqueName="[Tableau16].[PCI_EP].[All]" dimensionUniqueName="[Tableau16]" displayFolder="" count="2"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2"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2"/>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3"/>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5"/>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6"/>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4"/>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2"/>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3"/>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9"/>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3"/>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9"/>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9"/>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7"/>
        </ext>
      </extLst>
    </cacheHierarchy>
  </cacheHierarchies>
  <kpis count="0"/>
  <tupleCache>
    <sets count="1">
      <set count="1" maxRank="1" setDefinition="{[Tableau16].[Nom].&amp;[Gaz général]}">
        <tpls c="1">
          <tpl fld="0" item="0"/>
        </tpls>
      </set>
    </sets>
  </tupleCache>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saveData="0" refreshedBy="Fabien ROUAULT" refreshedDate="46203.604017361111" backgroundQuery="1" createdVersion="7" refreshedVersion="7" minRefreshableVersion="3" recordCount="0" supportSubquery="1" supportAdvancedDrill="1">
  <cacheSource type="external" connectionId="11"/>
  <cacheFields count="4">
    <cacheField name="[Tableau_type].[Type].[Type]" caption="Type" numFmtId="0" hierarchy="28" level="1">
      <sharedItems count="1">
        <s v="Production"/>
      </sharedItems>
    </cacheField>
    <cacheField name="[Tableau_usage].[Detail usage].[Detail usage]" caption="Detail usage" numFmtId="0" hierarchy="29" level="1">
      <sharedItems count="8">
        <s v="PV_autoconsommé"/>
        <s v="Cogé_chaleur" u="1"/>
        <s v="Cogé_elec_autoconsomée" u="1"/>
        <s v="Cogé_elec_revendue" u="1"/>
        <s v="Comptage récupération" u="1"/>
        <s v="ECS_solaire" u="1"/>
        <s v="géothermie_autoconsommé" u="1"/>
        <s v="PV_revente" u="1"/>
      </sharedItems>
    </cacheField>
    <cacheField name="[Tab_concat].[Annee].[Annee]" caption="Annee" numFmtId="0" hierarchy="16" level="1">
      <sharedItems containsSemiMixedTypes="0" containsString="0" containsNumber="1" containsInteger="1" minValue="2010" maxValue="2026" count="17">
        <n v="2010"/>
        <n v="2011"/>
        <n v="2012"/>
        <n v="2013"/>
        <n v="2014"/>
        <n v="2015"/>
        <n v="2016"/>
        <n v="2017"/>
        <n v="2018"/>
        <n v="2019"/>
        <n v="2020"/>
        <n v="2021"/>
        <n v="2022"/>
        <n v="2023"/>
        <n v="2024"/>
        <n v="2025"/>
        <n v="2026"/>
      </sharedItems>
      <extLst>
        <ext xmlns:x15="http://schemas.microsoft.com/office/spreadsheetml/2010/11/main" uri="{4F2E5C28-24EA-4eb8-9CBF-B6C8F9C3D259}">
          <x15:cachedUniqueNames>
            <x15:cachedUniqueName index="0" name="[Tab_concat].[Annee].&amp;[2010]"/>
            <x15:cachedUniqueName index="1" name="[Tab_concat].[Annee].&amp;[2011]"/>
            <x15:cachedUniqueName index="2" name="[Tab_concat].[Annee].&amp;[2012]"/>
            <x15:cachedUniqueName index="3" name="[Tab_concat].[Annee].&amp;[2013]"/>
            <x15:cachedUniqueName index="4" name="[Tab_concat].[Annee].&amp;[2014]"/>
            <x15:cachedUniqueName index="5" name="[Tab_concat].[Annee].&amp;[2015]"/>
            <x15:cachedUniqueName index="6" name="[Tab_concat].[Annee].&amp;[2016]"/>
            <x15:cachedUniqueName index="7" name="[Tab_concat].[Annee].&amp;[2017]"/>
            <x15:cachedUniqueName index="8" name="[Tab_concat].[Annee].&amp;[2018]"/>
            <x15:cachedUniqueName index="9" name="[Tab_concat].[Annee].&amp;[2019]"/>
            <x15:cachedUniqueName index="10" name="[Tab_concat].[Annee].&amp;[2020]"/>
            <x15:cachedUniqueName index="11" name="[Tab_concat].[Annee].&amp;[2021]"/>
            <x15:cachedUniqueName index="12" name="[Tab_concat].[Annee].&amp;[2022]"/>
            <x15:cachedUniqueName index="13" name="[Tab_concat].[Annee].&amp;[2023]"/>
            <x15:cachedUniqueName index="14" name="[Tab_concat].[Annee].&amp;[2024]"/>
            <x15:cachedUniqueName index="15" name="[Tab_concat].[Annee].&amp;[2025]"/>
            <x15:cachedUniqueName index="16" name="[Tab_concat].[Annee].&amp;[2026]"/>
          </x15:cachedUniqueNames>
        </ext>
      </extLst>
    </cacheField>
    <cacheField name="[Measures].[Somme de Demande_jour]" caption="Somme de Demande_jour" numFmtId="0" hierarchy="55" level="32767"/>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2" memberValueDatatype="20" unbalanced="0">
      <fieldsUsage count="2">
        <fieldUsage x="-1"/>
        <fieldUsage x="2"/>
      </fieldsUsage>
    </cacheHierarchy>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2" memberValueDatatype="130" unbalanced="0">
      <fieldsUsage count="2">
        <fieldUsage x="-1"/>
        <fieldUsage x="0"/>
      </fieldsUsage>
    </cacheHierarchy>
    <cacheHierarchy uniqueName="[Tableau_usage].[Detail usage]" caption="Detail usage" attribute="1" defaultMemberUniqueName="[Tableau_usage].[Detail usage].[All]" allUniqueName="[Tableau_usage].[Detail usage].[All]" dimensionUniqueName="[Tableau_usage]" displayFolder="" count="2" memberValueDatatype="130" unbalanced="0">
      <fieldsUsage count="2">
        <fieldUsage x="-1"/>
        <fieldUsage x="1"/>
      </fieldsUsage>
    </cacheHierarchy>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oneField="1" hidden="1">
      <fieldsUsage count="1">
        <fieldUsage x="3"/>
      </fieldsUsage>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saveData="0" refreshedBy="Fabien ROUAULT" refreshedDate="46203.604018402781" backgroundQuery="1" createdVersion="3" refreshedVersion="7" minRefreshableVersion="3" recordCount="0" supportSubquery="1" supportAdvancedDrill="1">
  <cacheSource type="external" connectionId="11">
    <extLst>
      <ext xmlns:x14="http://schemas.microsoft.com/office/spreadsheetml/2009/9/main" uri="{F057638F-6D5F-4e77-A914-E7F072B9BCA8}">
        <x14:sourceConnection name="ThisWorkbookDataModel"/>
      </ext>
    </extLst>
  </cacheSource>
  <cacheFields count="0"/>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2"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extLst>
    <ext xmlns:x14="http://schemas.microsoft.com/office/spreadsheetml/2009/9/main" uri="{725AE2AE-9491-48be-B2B4-4EB974FC3084}">
      <x14:pivotCacheDefinition slicerData="1" pivotCacheId="1637551557"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saveData="0" refreshedBy="Fabien ROUAULT" refreshedDate="46203.604026388886" backgroundQuery="1" createdVersion="3" refreshedVersion="7" minRefreshableVersion="3" recordCount="0" supportSubquery="1" supportAdvancedDrill="1">
  <cacheSource type="external" connectionId="11">
    <extLst>
      <ext xmlns:x14="http://schemas.microsoft.com/office/spreadsheetml/2009/9/main" uri="{F057638F-6D5F-4e77-A914-E7F072B9BCA8}">
        <x14:sourceConnection name="ThisWorkbookDataModel"/>
      </ext>
    </extLst>
  </cacheSource>
  <cacheFields count="0"/>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2"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extLst>
    <ext xmlns:x14="http://schemas.microsoft.com/office/spreadsheetml/2009/9/main" uri="{725AE2AE-9491-48be-B2B4-4EB974FC3084}">
      <x14:pivotCacheDefinition slicerData="1" pivotCacheId="2035655893"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saveData="0" refreshedBy="Fabien ROUAULT" refreshedDate="46203.604029861111" backgroundQuery="1" createdVersion="3" refreshedVersion="7" minRefreshableVersion="3" recordCount="0" supportSubquery="1" supportAdvancedDrill="1">
  <cacheSource type="external" connectionId="11">
    <extLst>
      <ext xmlns:x14="http://schemas.microsoft.com/office/spreadsheetml/2009/9/main" uri="{F057638F-6D5F-4e77-A914-E7F072B9BCA8}">
        <x14:sourceConnection name="ThisWorkbookDataModel"/>
      </ext>
    </extLst>
  </cacheSource>
  <cacheFields count="0"/>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2"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extLst>
    <ext xmlns:x14="http://schemas.microsoft.com/office/spreadsheetml/2009/9/main" uri="{725AE2AE-9491-48be-B2B4-4EB974FC3084}">
      <x14:pivotCacheDefinition slicerData="1" pivotCacheId="161845224"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saveData="0" refreshedBy="Fabien ROUAULT" refreshedDate="46203.604034027776" backgroundQuery="1" createdVersion="3" refreshedVersion="7" minRefreshableVersion="3" recordCount="0" supportSubquery="1" supportAdvancedDrill="1">
  <cacheSource type="external" connectionId="11">
    <extLst>
      <ext xmlns:x14="http://schemas.microsoft.com/office/spreadsheetml/2009/9/main" uri="{F057638F-6D5F-4e77-A914-E7F072B9BCA8}">
        <x14:sourceConnection name="ThisWorkbookDataModel"/>
      </ext>
    </extLst>
  </cacheSource>
  <cacheFields count="0"/>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2"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extLst>
    <ext xmlns:x14="http://schemas.microsoft.com/office/spreadsheetml/2009/9/main" uri="{725AE2AE-9491-48be-B2B4-4EB974FC3084}">
      <x14:pivotCacheDefinition slicerData="1" pivotCacheId="874751656"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saveData="0" refreshedBy="Fabien ROUAULT" refreshedDate="46203.604038773148" backgroundQuery="1" createdVersion="3" refreshedVersion="7" minRefreshableVersion="3" recordCount="0" supportSubquery="1" supportAdvancedDrill="1">
  <cacheSource type="external" connectionId="11">
    <extLst>
      <ext xmlns:x14="http://schemas.microsoft.com/office/spreadsheetml/2009/9/main" uri="{F057638F-6D5F-4e77-A914-E7F072B9BCA8}">
        <x14:sourceConnection name="ThisWorkbookDataModel"/>
      </ext>
    </extLst>
  </cacheSource>
  <cacheFields count="0"/>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2"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extLst>
    <ext xmlns:x14="http://schemas.microsoft.com/office/spreadsheetml/2009/9/main" uri="{725AE2AE-9491-48be-B2B4-4EB974FC3084}">
      <x14:pivotCacheDefinition slicerData="1" pivotCacheId="568105612"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saveData="0" refreshedBy="Fabien ROUAULT" refreshedDate="46203.604050578702" backgroundQuery="1" createdVersion="3" refreshedVersion="7" minRefreshableVersion="3" recordCount="0" supportSubquery="1" supportAdvancedDrill="1">
  <cacheSource type="external" connectionId="11">
    <extLst>
      <ext xmlns:x14="http://schemas.microsoft.com/office/spreadsheetml/2009/9/main" uri="{F057638F-6D5F-4e77-A914-E7F072B9BCA8}">
        <x14:sourceConnection name="ThisWorkbookDataModel"/>
      </ext>
    </extLst>
  </cacheSource>
  <cacheFields count="0"/>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2"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extLst>
    <ext xmlns:x14="http://schemas.microsoft.com/office/spreadsheetml/2009/9/main" uri="{725AE2AE-9491-48be-B2B4-4EB974FC3084}">
      <x14:pivotCacheDefinition slicerData="1" pivotCacheId="580450863" supportSubqueryNonVisual="1" supportSubqueryCalcMem="1" supportAddCalcMems="1"/>
    </ext>
  </extLst>
</pivotCacheDefinition>
</file>

<file path=xl/pivotCache/pivotCacheDefinition26.xml><?xml version="1.0" encoding="utf-8"?>
<pivotCacheDefinition xmlns="http://schemas.openxmlformats.org/spreadsheetml/2006/main" xmlns:r="http://schemas.openxmlformats.org/officeDocument/2006/relationships" saveData="0" refreshedBy="Fabien ROUAULT" refreshedDate="46203.604055324075" backgroundQuery="1" createdVersion="3" refreshedVersion="7" minRefreshableVersion="3" recordCount="0" supportSubquery="1" supportAdvancedDrill="1">
  <cacheSource type="external" connectionId="11">
    <extLst>
      <ext xmlns:x14="http://schemas.microsoft.com/office/spreadsheetml/2009/9/main" uri="{F057638F-6D5F-4e77-A914-E7F072B9BCA8}">
        <x14:sourceConnection name="ThisWorkbookDataModel"/>
      </ext>
    </extLst>
  </cacheSource>
  <cacheFields count="0"/>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2"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extLst>
    <ext xmlns:x14="http://schemas.microsoft.com/office/spreadsheetml/2009/9/main" uri="{725AE2AE-9491-48be-B2B4-4EB974FC3084}">
      <x14:pivotCacheDefinition slicerData="1" pivotCacheId="2122446821" supportSubqueryNonVisual="1" supportSubqueryCalcMem="1" supportAddCalcMems="1"/>
    </ext>
  </extLst>
</pivotCacheDefinition>
</file>

<file path=xl/pivotCache/pivotCacheDefinition27.xml><?xml version="1.0" encoding="utf-8"?>
<pivotCacheDefinition xmlns="http://schemas.openxmlformats.org/spreadsheetml/2006/main" xmlns:r="http://schemas.openxmlformats.org/officeDocument/2006/relationships" saveData="0" refreshedBy="Fabien ROUAULT" refreshedDate="46203.613228587965" backgroundQuery="1" createdVersion="7" refreshedVersion="7" minRefreshableVersion="3" recordCount="0" supportSubquery="1" supportAdvancedDrill="1">
  <cacheSource type="external" connectionId="11">
    <extLst>
      <ext xmlns:x14="http://schemas.microsoft.com/office/spreadsheetml/2009/9/main" uri="{F057638F-6D5F-4e77-A914-E7F072B9BCA8}">
        <x14:sourceConnection name="ThisWorkbookDataModel"/>
      </ext>
    </extLst>
  </cacheSource>
  <cacheFields count="4">
    <cacheField name="[Measures].[Somme de Cout_jour]" caption="Somme de Cout_jour" numFmtId="0" hierarchy="53" level="32767"/>
    <cacheField name="[Tab_concat].[Annee].[Annee]" caption="Annee" numFmtId="0" hierarchy="16" level="1">
      <sharedItems containsSemiMixedTypes="0" containsString="0" containsNumber="1" containsInteger="1" minValue="2021" maxValue="2026" count="6">
        <n v="2021"/>
        <n v="2022"/>
        <n v="2023"/>
        <n v="2024"/>
        <n v="2025"/>
        <n v="2026"/>
      </sharedItems>
      <extLst>
        <ext xmlns:x15="http://schemas.microsoft.com/office/spreadsheetml/2010/11/main" uri="{4F2E5C28-24EA-4eb8-9CBF-B6C8F9C3D259}">
          <x15:cachedUniqueNames>
            <x15:cachedUniqueName index="0" name="[Tab_concat].[Annee].&amp;[2021]"/>
            <x15:cachedUniqueName index="1" name="[Tab_concat].[Annee].&amp;[2022]"/>
            <x15:cachedUniqueName index="2" name="[Tab_concat].[Annee].&amp;[2023]"/>
            <x15:cachedUniqueName index="3" name="[Tab_concat].[Annee].&amp;[2024]"/>
            <x15:cachedUniqueName index="4" name="[Tab_concat].[Annee].&amp;[2025]"/>
            <x15:cachedUniqueName index="5" name="[Tab_concat].[Annee].&amp;[2026]"/>
          </x15:cachedUniqueNames>
        </ext>
      </extLst>
    </cacheField>
    <cacheField name="[Tab_concat].[Combustible].[Combustible]" caption="Combustible" numFmtId="0" hierarchy="10" level="1">
      <sharedItems count="3">
        <s v="Eau (m3)"/>
        <s v="Electricité (kWh)"/>
        <s v="Gaz naturel (kWh)"/>
      </sharedItems>
    </cacheField>
    <cacheField name="[Tab_concat].[Dates].[Dates]" caption="Dates" numFmtId="0" hierarchy="1" level="1">
      <sharedItems containsSemiMixedTypes="0" containsNonDate="0" containsString="0"/>
    </cacheField>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2" memberValueDatatype="7" unbalanced="0">
      <fieldsUsage count="2">
        <fieldUsage x="-1"/>
        <fieldUsage x="3"/>
      </fieldsUsage>
    </cacheHierarchy>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2" memberValueDatatype="130" unbalanced="0">
      <fieldsUsage count="2">
        <fieldUsage x="-1"/>
        <fieldUsage x="2"/>
      </fieldsUsage>
    </cacheHierarchy>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2" memberValueDatatype="20" unbalanced="0">
      <fieldsUsage count="2">
        <fieldUsage x="-1"/>
        <fieldUsage x="1"/>
      </fieldsUsage>
    </cacheHierarchy>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oneField="1" hidden="1">
      <fieldsUsage count="1">
        <fieldUsage x="0"/>
      </fieldsUsage>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pivotCacheId="49519183"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28.xml><?xml version="1.0" encoding="utf-8"?>
<pivotCacheDefinition xmlns="http://schemas.openxmlformats.org/spreadsheetml/2006/main" xmlns:r="http://schemas.openxmlformats.org/officeDocument/2006/relationships" saveData="0" refreshedBy="Fabien ROUAULT" refreshedDate="46203.616111342591" backgroundQuery="1" createdVersion="7" refreshedVersion="7" minRefreshableVersion="3" recordCount="0" supportSubquery="1" supportAdvancedDrill="1">
  <cacheSource type="external" connectionId="11">
    <extLst>
      <ext xmlns:x14="http://schemas.microsoft.com/office/spreadsheetml/2009/9/main" uri="{F057638F-6D5F-4e77-A914-E7F072B9BCA8}">
        <x14:sourceConnection name="ThisWorkbookDataModel"/>
      </ext>
    </extLst>
  </cacheSource>
  <cacheFields count="6">
    <cacheField name="[Measures].[Cout Unitaire Moyen]" caption="Cout Unitaire Moyen" numFmtId="0" hierarchy="41" level="32767"/>
    <cacheField name="[Tab_concat].[Dates].[Dates]" caption="Dates" numFmtId="0" hierarchy="1" level="1">
      <sharedItems containsSemiMixedTypes="0" containsNonDate="0" containsDate="1" containsString="0" minDate="2010-01-01T00:00:00" maxDate="2026-06-16T00:00:00" count="6010">
        <d v="2010-01-01T00:00:00"/>
        <d v="2010-01-02T00:00:00"/>
        <d v="2010-01-03T00:00:00"/>
        <d v="2010-01-04T00:00:00"/>
        <d v="2010-01-05T00:00:00"/>
        <d v="2010-01-06T00:00:00"/>
        <d v="2010-01-07T00:00:00"/>
        <d v="2010-01-08T00:00:00"/>
        <d v="2010-01-09T00:00:00"/>
        <d v="2010-01-10T00:00:00"/>
        <d v="2010-01-11T00:00:00"/>
        <d v="2010-01-12T00:00:00"/>
        <d v="2010-01-13T00:00:00"/>
        <d v="2010-01-14T00:00:00"/>
        <d v="2010-01-15T00:00:00"/>
        <d v="2010-01-16T00:00:00"/>
        <d v="2010-01-17T00:00:00"/>
        <d v="2010-01-18T00:00:00"/>
        <d v="2010-01-19T00:00:00"/>
        <d v="2010-01-20T00:00:00"/>
        <d v="2010-01-21T00:00:00"/>
        <d v="2010-01-22T00:00:00"/>
        <d v="2010-01-23T00:00:00"/>
        <d v="2010-01-24T00:00:00"/>
        <d v="2010-01-25T00:00:00"/>
        <d v="2010-01-26T00:00:00"/>
        <d v="2010-01-27T00:00:00"/>
        <d v="2010-01-28T00:00:00"/>
        <d v="2010-01-29T00:00:00"/>
        <d v="2010-01-30T00:00:00"/>
        <d v="2010-01-31T00:00:00"/>
        <d v="2010-02-01T00:00:00"/>
        <d v="2010-02-02T00:00:00"/>
        <d v="2010-02-03T00:00:00"/>
        <d v="2010-02-04T00:00:00"/>
        <d v="2010-02-05T00:00:00"/>
        <d v="2010-02-06T00:00:00"/>
        <d v="2010-02-07T00:00:00"/>
        <d v="2010-02-08T00:00:00"/>
        <d v="2010-02-09T00:00:00"/>
        <d v="2010-02-10T00:00:00"/>
        <d v="2010-02-11T00:00:00"/>
        <d v="2010-02-12T00:00:00"/>
        <d v="2010-02-13T00:00:00"/>
        <d v="2010-02-14T00:00:00"/>
        <d v="2010-02-15T00:00:00"/>
        <d v="2010-02-16T00:00:00"/>
        <d v="2010-02-17T00:00:00"/>
        <d v="2010-02-18T00:00:00"/>
        <d v="2010-02-19T00:00:00"/>
        <d v="2010-02-20T00:00:00"/>
        <d v="2010-02-21T00:00:00"/>
        <d v="2010-02-22T00:00:00"/>
        <d v="2010-02-23T00:00:00"/>
        <d v="2010-02-24T00:00:00"/>
        <d v="2010-02-25T00:00:00"/>
        <d v="2010-02-26T00:00:00"/>
        <d v="2010-02-27T00:00:00"/>
        <d v="2010-02-28T00:00:00"/>
        <d v="2010-03-01T00:00:00"/>
        <d v="2010-03-02T00:00:00"/>
        <d v="2010-03-03T00:00:00"/>
        <d v="2010-03-04T00:00:00"/>
        <d v="2010-03-05T00:00:00"/>
        <d v="2010-03-06T00:00:00"/>
        <d v="2010-03-07T00:00:00"/>
        <d v="2010-03-08T00:00:00"/>
        <d v="2010-03-09T00:00:00"/>
        <d v="2010-03-10T00:00:00"/>
        <d v="2010-03-11T00:00:00"/>
        <d v="2010-03-12T00:00:00"/>
        <d v="2010-03-13T00:00:00"/>
        <d v="2010-03-14T00:00:00"/>
        <d v="2010-03-15T00:00:00"/>
        <d v="2010-03-16T00:00:00"/>
        <d v="2010-03-17T00:00:00"/>
        <d v="2010-03-18T00:00:00"/>
        <d v="2010-03-19T00:00:00"/>
        <d v="2010-03-20T00:00:00"/>
        <d v="2010-03-21T00:00:00"/>
        <d v="2010-03-22T00:00:00"/>
        <d v="2010-03-23T00:00:00"/>
        <d v="2010-03-24T00:00:00"/>
        <d v="2010-03-25T00:00:00"/>
        <d v="2010-03-26T00:00:00"/>
        <d v="2010-03-27T00:00:00"/>
        <d v="2010-03-28T00:00:00"/>
        <d v="2010-03-29T00:00:00"/>
        <d v="2010-03-30T00:00:00"/>
        <d v="2010-03-31T00:00:00"/>
        <d v="2010-04-01T00:00:00"/>
        <d v="2010-04-02T00:00:00"/>
        <d v="2010-04-03T00:00:00"/>
        <d v="2010-04-04T00:00:00"/>
        <d v="2010-04-05T00:00:00"/>
        <d v="2010-04-06T00:00:00"/>
        <d v="2010-04-07T00:00:00"/>
        <d v="2010-04-08T00:00:00"/>
        <d v="2010-04-09T00:00:00"/>
        <d v="2010-04-10T00:00:00"/>
        <d v="2010-04-11T00:00:00"/>
        <d v="2010-04-12T00:00:00"/>
        <d v="2010-04-13T00:00:00"/>
        <d v="2010-04-14T00:00:00"/>
        <d v="2010-04-15T00:00:00"/>
        <d v="2010-04-16T00:00:00"/>
        <d v="2010-04-17T00:00:00"/>
        <d v="2010-04-18T00:00:00"/>
        <d v="2010-04-19T00:00:00"/>
        <d v="2010-04-20T00:00:00"/>
        <d v="2010-04-21T00:00:00"/>
        <d v="2010-04-22T00:00:00"/>
        <d v="2010-04-23T00:00:00"/>
        <d v="2010-04-24T00:00:00"/>
        <d v="2010-04-25T00:00:00"/>
        <d v="2010-04-26T00:00:00"/>
        <d v="2010-04-27T00:00:00"/>
        <d v="2010-04-28T00:00:00"/>
        <d v="2010-04-29T00:00:00"/>
        <d v="2010-04-30T00:00:00"/>
        <d v="2010-05-01T00:00:00"/>
        <d v="2010-05-02T00:00:00"/>
        <d v="2010-05-03T00:00:00"/>
        <d v="2010-05-04T00:00:00"/>
        <d v="2010-05-05T00:00:00"/>
        <d v="2010-05-06T00:00:00"/>
        <d v="2010-05-07T00:00:00"/>
        <d v="2010-05-08T00:00:00"/>
        <d v="2010-05-09T00:00:00"/>
        <d v="2010-05-10T00:00:00"/>
        <d v="2010-05-11T00:00:00"/>
        <d v="2010-05-12T00:00:00"/>
        <d v="2010-05-13T00:00:00"/>
        <d v="2010-05-14T00:00:00"/>
        <d v="2010-05-15T00:00:00"/>
        <d v="2010-05-16T00:00:00"/>
        <d v="2010-05-17T00:00:00"/>
        <d v="2010-05-18T00:00:00"/>
        <d v="2010-05-19T00:00:00"/>
        <d v="2010-05-20T00:00:00"/>
        <d v="2010-05-21T00:00:00"/>
        <d v="2010-05-22T00:00:00"/>
        <d v="2010-05-23T00:00:00"/>
        <d v="2010-05-24T00:00:00"/>
        <d v="2010-05-25T00:00:00"/>
        <d v="2010-05-26T00:00:00"/>
        <d v="2010-05-27T00:00:00"/>
        <d v="2010-05-28T00:00:00"/>
        <d v="2010-05-29T00:00:00"/>
        <d v="2010-05-30T00:00:00"/>
        <d v="2010-05-31T00:00:00"/>
        <d v="2010-06-01T00:00:00"/>
        <d v="2010-06-02T00:00:00"/>
        <d v="2010-06-03T00:00:00"/>
        <d v="2010-06-04T00:00:00"/>
        <d v="2010-06-05T00:00:00"/>
        <d v="2010-06-06T00:00:00"/>
        <d v="2010-06-07T00:00:00"/>
        <d v="2010-06-08T00:00:00"/>
        <d v="2010-06-09T00:00:00"/>
        <d v="2010-06-10T00:00:00"/>
        <d v="2010-06-11T00:00:00"/>
        <d v="2010-06-12T00:00:00"/>
        <d v="2010-06-13T00:00:00"/>
        <d v="2010-06-14T00:00:00"/>
        <d v="2010-06-15T00:00:00"/>
        <d v="2010-06-16T00:00:00"/>
        <d v="2010-06-17T00:00:00"/>
        <d v="2010-06-18T00:00:00"/>
        <d v="2010-06-19T00:00:00"/>
        <d v="2010-06-20T00:00:00"/>
        <d v="2010-06-21T00:00:00"/>
        <d v="2010-06-22T00:00:00"/>
        <d v="2010-06-23T00:00:00"/>
        <d v="2010-06-24T00:00:00"/>
        <d v="2010-06-25T00:00:00"/>
        <d v="2010-06-26T00:00:00"/>
        <d v="2010-06-27T00:00:00"/>
        <d v="2010-06-28T00:00:00"/>
        <d v="2010-06-29T00:00:00"/>
        <d v="2010-06-30T00:00:00"/>
        <d v="2010-07-01T00:00:00"/>
        <d v="2010-07-02T00:00:00"/>
        <d v="2010-07-03T00:00:00"/>
        <d v="2010-07-04T00:00:00"/>
        <d v="2010-07-05T00:00:00"/>
        <d v="2010-07-06T00:00:00"/>
        <d v="2010-07-07T00:00:00"/>
        <d v="2010-07-08T00:00:00"/>
        <d v="2010-07-09T00:00:00"/>
        <d v="2010-07-10T00:00:00"/>
        <d v="2010-07-11T00:00:00"/>
        <d v="2010-07-12T00:00:00"/>
        <d v="2010-07-13T00:00:00"/>
        <d v="2010-07-14T00:00:00"/>
        <d v="2010-07-15T00:00:00"/>
        <d v="2010-07-16T00:00:00"/>
        <d v="2010-07-17T00:00:00"/>
        <d v="2010-07-18T00:00:00"/>
        <d v="2010-07-19T00:00:00"/>
        <d v="2010-07-20T00:00:00"/>
        <d v="2010-07-21T00:00:00"/>
        <d v="2010-07-22T00:00:00"/>
        <d v="2010-07-23T00:00:00"/>
        <d v="2010-07-24T00:00:00"/>
        <d v="2010-07-25T00:00:00"/>
        <d v="2010-07-26T00:00:00"/>
        <d v="2010-07-27T00:00:00"/>
        <d v="2010-07-28T00:00:00"/>
        <d v="2010-07-29T00:00:00"/>
        <d v="2010-07-30T00:00:00"/>
        <d v="2010-07-31T00:00:00"/>
        <d v="2010-08-01T00:00:00"/>
        <d v="2010-08-02T00:00:00"/>
        <d v="2010-08-03T00:00:00"/>
        <d v="2010-08-04T00:00:00"/>
        <d v="2010-08-05T00:00:00"/>
        <d v="2010-08-06T00:00:00"/>
        <d v="2010-08-07T00:00:00"/>
        <d v="2010-08-08T00:00:00"/>
        <d v="2010-08-09T00:00:00"/>
        <d v="2010-08-10T00:00:00"/>
        <d v="2010-08-11T00:00:00"/>
        <d v="2010-08-12T00:00:00"/>
        <d v="2010-08-13T00:00:00"/>
        <d v="2010-08-14T00:00:00"/>
        <d v="2010-08-15T00:00:00"/>
        <d v="2010-08-16T00:00:00"/>
        <d v="2010-08-17T00:00:00"/>
        <d v="2010-08-18T00:00:00"/>
        <d v="2010-08-19T00:00:00"/>
        <d v="2010-08-20T00:00:00"/>
        <d v="2010-08-21T00:00:00"/>
        <d v="2010-08-22T00:00:00"/>
        <d v="2010-08-23T00:00:00"/>
        <d v="2010-08-24T00:00:00"/>
        <d v="2010-08-25T00:00:00"/>
        <d v="2010-08-26T00:00:00"/>
        <d v="2010-08-27T00:00:00"/>
        <d v="2010-08-28T00:00:00"/>
        <d v="2010-08-29T00:00:00"/>
        <d v="2010-08-30T00:00:00"/>
        <d v="2010-08-31T00:00:00"/>
        <d v="2010-09-01T00:00:00"/>
        <d v="2010-09-02T00:00:00"/>
        <d v="2010-09-03T00:00:00"/>
        <d v="2010-09-04T00:00:00"/>
        <d v="2010-09-05T00:00:00"/>
        <d v="2010-09-06T00:00:00"/>
        <d v="2010-09-07T00:00:00"/>
        <d v="2010-09-08T00:00:00"/>
        <d v="2010-09-09T00:00:00"/>
        <d v="2010-09-10T00:00:00"/>
        <d v="2010-09-11T00:00:00"/>
        <d v="2010-09-12T00:00:00"/>
        <d v="2010-09-13T00:00:00"/>
        <d v="2010-09-14T00:00:00"/>
        <d v="2010-09-15T00:00:00"/>
        <d v="2010-09-16T00:00:00"/>
        <d v="2010-09-17T00:00:00"/>
        <d v="2010-09-18T00:00:00"/>
        <d v="2010-09-19T00:00:00"/>
        <d v="2010-09-20T00:00:00"/>
        <d v="2010-09-21T00:00:00"/>
        <d v="2010-09-22T00:00:00"/>
        <d v="2010-09-23T00:00:00"/>
        <d v="2010-09-24T00:00:00"/>
        <d v="2010-09-25T00:00:00"/>
        <d v="2010-09-26T00:00:00"/>
        <d v="2010-09-27T00:00:00"/>
        <d v="2010-09-28T00:00:00"/>
        <d v="2010-09-29T00:00:00"/>
        <d v="2010-09-30T00:00:00"/>
        <d v="2010-10-01T00:00:00"/>
        <d v="2010-10-02T00:00:00"/>
        <d v="2010-10-03T00:00:00"/>
        <d v="2010-10-04T00:00:00"/>
        <d v="2010-10-05T00:00:00"/>
        <d v="2010-10-06T00:00:00"/>
        <d v="2010-10-07T00:00:00"/>
        <d v="2010-10-08T00:00:00"/>
        <d v="2010-10-09T00:00:00"/>
        <d v="2010-10-10T00:00:00"/>
        <d v="2010-10-11T00:00:00"/>
        <d v="2010-10-12T00:00:00"/>
        <d v="2010-10-13T00:00:00"/>
        <d v="2010-10-14T00:00:00"/>
        <d v="2010-10-15T00:00:00"/>
        <d v="2010-10-16T00:00:00"/>
        <d v="2010-10-17T00:00:00"/>
        <d v="2010-10-18T00:00:00"/>
        <d v="2010-10-19T00:00:00"/>
        <d v="2010-10-20T00:00:00"/>
        <d v="2010-10-21T00:00:00"/>
        <d v="2010-10-22T00:00:00"/>
        <d v="2010-10-23T00:00:00"/>
        <d v="2010-10-24T00:00:00"/>
        <d v="2010-10-25T00:00:00"/>
        <d v="2010-10-26T00:00:00"/>
        <d v="2010-10-27T00:00:00"/>
        <d v="2010-10-28T00:00:00"/>
        <d v="2010-10-29T00:00:00"/>
        <d v="2010-10-30T00:00:00"/>
        <d v="2010-10-31T00:00:00"/>
        <d v="2010-11-01T00:00:00"/>
        <d v="2010-11-02T00:00:00"/>
        <d v="2010-11-03T00:00:00"/>
        <d v="2010-11-04T00:00:00"/>
        <d v="2010-11-05T00:00:00"/>
        <d v="2010-11-06T00:00:00"/>
        <d v="2010-11-07T00:00:00"/>
        <d v="2010-11-08T00:00:00"/>
        <d v="2010-11-09T00:00:00"/>
        <d v="2010-11-10T00:00:00"/>
        <d v="2010-11-11T00:00:00"/>
        <d v="2010-11-12T00:00:00"/>
        <d v="2010-11-13T00:00:00"/>
        <d v="2010-11-14T00:00:00"/>
        <d v="2010-11-15T00:00:00"/>
        <d v="2010-11-16T00:00:00"/>
        <d v="2010-11-17T00:00:00"/>
        <d v="2010-11-18T00:00:00"/>
        <d v="2010-11-19T00:00:00"/>
        <d v="2010-11-20T00:00:00"/>
        <d v="2010-11-21T00:00:00"/>
        <d v="2010-11-22T00:00:00"/>
        <d v="2010-11-23T00:00:00"/>
        <d v="2010-11-24T00:00:00"/>
        <d v="2010-11-25T00:00:00"/>
        <d v="2010-11-26T00:00:00"/>
        <d v="2010-11-27T00:00:00"/>
        <d v="2010-11-28T00:00:00"/>
        <d v="2010-11-29T00:00:00"/>
        <d v="2010-11-30T00:00:00"/>
        <d v="2010-12-01T00:00:00"/>
        <d v="2010-12-02T00:00:00"/>
        <d v="2010-12-03T00:00:00"/>
        <d v="2010-12-04T00:00:00"/>
        <d v="2010-12-05T00:00:00"/>
        <d v="2010-12-06T00:00:00"/>
        <d v="2010-12-07T00:00:00"/>
        <d v="2010-12-08T00:00:00"/>
        <d v="2010-12-09T00:00:00"/>
        <d v="2010-12-10T00:00:00"/>
        <d v="2010-12-11T00:00:00"/>
        <d v="2010-12-12T00:00:00"/>
        <d v="2010-12-13T00:00:00"/>
        <d v="2010-12-14T00:00:00"/>
        <d v="2010-12-15T00:00:00"/>
        <d v="2010-12-16T00:00:00"/>
        <d v="2010-12-17T00:00:00"/>
        <d v="2010-12-18T00:00:00"/>
        <d v="2010-12-19T00:00:00"/>
        <d v="2010-12-20T00:00:00"/>
        <d v="2010-12-21T00:00:00"/>
        <d v="2010-12-22T00:00:00"/>
        <d v="2010-12-23T00:00:00"/>
        <d v="2010-12-24T00:00:00"/>
        <d v="2010-12-25T00:00:00"/>
        <d v="2010-12-26T00:00:00"/>
        <d v="2010-12-27T00:00:00"/>
        <d v="2010-12-28T00:00:00"/>
        <d v="2010-12-29T00:00:00"/>
        <d v="2010-12-30T00:00:00"/>
        <d v="2010-12-31T00:00:00"/>
        <d v="2011-01-01T00:00:00"/>
        <d v="2011-01-02T00:00:00"/>
        <d v="2011-01-03T00:00:00"/>
        <d v="2011-01-04T00:00:00"/>
        <d v="2011-01-05T00:00:00"/>
        <d v="2011-01-06T00:00:00"/>
        <d v="2011-01-07T00:00:00"/>
        <d v="2011-01-08T00:00:00"/>
        <d v="2011-01-09T00:00:00"/>
        <d v="2011-01-10T00:00:00"/>
        <d v="2011-01-11T00:00:00"/>
        <d v="2011-01-12T00:00:00"/>
        <d v="2011-01-13T00:00:00"/>
        <d v="2011-01-14T00:00:00"/>
        <d v="2011-01-15T00:00:00"/>
        <d v="2011-01-16T00:00:00"/>
        <d v="2011-01-17T00:00:00"/>
        <d v="2011-01-18T00:00:00"/>
        <d v="2011-01-19T00:00:00"/>
        <d v="2011-01-20T00:00:00"/>
        <d v="2011-01-21T00:00:00"/>
        <d v="2011-01-22T00:00:00"/>
        <d v="2011-01-23T00:00:00"/>
        <d v="2011-01-24T00:00:00"/>
        <d v="2011-01-25T00:00:00"/>
        <d v="2011-01-26T00:00:00"/>
        <d v="2011-01-27T00:00:00"/>
        <d v="2011-01-28T00:00:00"/>
        <d v="2011-01-29T00:00:00"/>
        <d v="2011-01-30T00:00:00"/>
        <d v="2011-01-31T00:00:00"/>
        <d v="2011-02-01T00:00:00"/>
        <d v="2011-02-02T00:00:00"/>
        <d v="2011-02-03T00:00:00"/>
        <d v="2011-02-04T00:00:00"/>
        <d v="2011-02-05T00:00:00"/>
        <d v="2011-02-06T00:00:00"/>
        <d v="2011-02-07T00:00:00"/>
        <d v="2011-02-08T00:00:00"/>
        <d v="2011-02-09T00:00:00"/>
        <d v="2011-02-10T00:00:00"/>
        <d v="2011-02-11T00:00:00"/>
        <d v="2011-02-12T00:00:00"/>
        <d v="2011-02-13T00:00:00"/>
        <d v="2011-02-14T00:00:00"/>
        <d v="2011-02-15T00:00:00"/>
        <d v="2011-02-16T00:00:00"/>
        <d v="2011-02-17T00:00:00"/>
        <d v="2011-02-18T00:00:00"/>
        <d v="2011-02-19T00:00:00"/>
        <d v="2011-02-20T00:00:00"/>
        <d v="2011-02-21T00:00:00"/>
        <d v="2011-02-22T00:00:00"/>
        <d v="2011-02-23T00:00:00"/>
        <d v="2011-02-24T00:00:00"/>
        <d v="2011-02-25T00:00:00"/>
        <d v="2011-02-26T00:00:00"/>
        <d v="2011-02-27T00:00:00"/>
        <d v="2011-02-28T00:00:00"/>
        <d v="2011-03-01T00:00:00"/>
        <d v="2011-03-02T00:00:00"/>
        <d v="2011-03-03T00:00:00"/>
        <d v="2011-03-04T00:00:00"/>
        <d v="2011-03-05T00:00:00"/>
        <d v="2011-03-06T00:00:00"/>
        <d v="2011-03-07T00:00:00"/>
        <d v="2011-03-08T00:00:00"/>
        <d v="2011-03-09T00:00:00"/>
        <d v="2011-03-10T00:00:00"/>
        <d v="2011-03-11T00:00:00"/>
        <d v="2011-03-12T00:00:00"/>
        <d v="2011-03-13T00:00:00"/>
        <d v="2011-03-14T00:00:00"/>
        <d v="2011-03-15T00:00:00"/>
        <d v="2011-03-16T00:00:00"/>
        <d v="2011-03-17T00:00:00"/>
        <d v="2011-03-18T00:00:00"/>
        <d v="2011-03-19T00:00:00"/>
        <d v="2011-03-20T00:00:00"/>
        <d v="2011-03-21T00:00:00"/>
        <d v="2011-03-22T00:00:00"/>
        <d v="2011-03-23T00:00:00"/>
        <d v="2011-03-24T00:00:00"/>
        <d v="2011-03-25T00:00:00"/>
        <d v="2011-03-26T00:00:00"/>
        <d v="2011-03-27T00:00:00"/>
        <d v="2011-03-28T00:00:00"/>
        <d v="2011-03-29T00:00:00"/>
        <d v="2011-03-30T00:00:00"/>
        <d v="2011-03-31T00:00:00"/>
        <d v="2011-04-01T00:00:00"/>
        <d v="2011-04-02T00:00:00"/>
        <d v="2011-04-03T00:00:00"/>
        <d v="2011-04-04T00:00:00"/>
        <d v="2011-04-05T00:00:00"/>
        <d v="2011-04-06T00:00:00"/>
        <d v="2011-04-07T00:00:00"/>
        <d v="2011-04-08T00:00:00"/>
        <d v="2011-04-09T00:00:00"/>
        <d v="2011-04-10T00:00:00"/>
        <d v="2011-04-11T00:00:00"/>
        <d v="2011-04-12T00:00:00"/>
        <d v="2011-04-13T00:00:00"/>
        <d v="2011-04-14T00:00:00"/>
        <d v="2011-04-15T00:00:00"/>
        <d v="2011-04-16T00:00:00"/>
        <d v="2011-04-17T00:00:00"/>
        <d v="2011-04-18T00:00:00"/>
        <d v="2011-04-19T00:00:00"/>
        <d v="2011-04-20T00:00:00"/>
        <d v="2011-04-21T00:00:00"/>
        <d v="2011-04-22T00:00:00"/>
        <d v="2011-04-23T00:00:00"/>
        <d v="2011-04-24T00:00:00"/>
        <d v="2011-04-25T00:00:00"/>
        <d v="2011-04-26T00:00:00"/>
        <d v="2011-04-27T00:00:00"/>
        <d v="2011-04-28T00:00:00"/>
        <d v="2011-04-29T00:00:00"/>
        <d v="2011-04-30T00:00:00"/>
        <d v="2011-05-01T00:00:00"/>
        <d v="2011-05-02T00:00:00"/>
        <d v="2011-05-03T00:00:00"/>
        <d v="2011-05-04T00:00:00"/>
        <d v="2011-05-05T00:00:00"/>
        <d v="2011-05-06T00:00:00"/>
        <d v="2011-05-07T00:00:00"/>
        <d v="2011-05-08T00:00:00"/>
        <d v="2011-05-09T00:00:00"/>
        <d v="2011-05-10T00:00:00"/>
        <d v="2011-05-11T00:00:00"/>
        <d v="2011-05-12T00:00:00"/>
        <d v="2011-05-13T00:00:00"/>
        <d v="2011-05-14T00:00:00"/>
        <d v="2011-05-15T00:00:00"/>
        <d v="2011-05-16T00:00:00"/>
        <d v="2011-05-17T00:00:00"/>
        <d v="2011-05-18T00:00:00"/>
        <d v="2011-05-19T00:00:00"/>
        <d v="2011-05-20T00:00:00"/>
        <d v="2011-05-21T00:00:00"/>
        <d v="2011-05-22T00:00:00"/>
        <d v="2011-05-23T00:00:00"/>
        <d v="2011-05-24T00:00:00"/>
        <d v="2011-05-25T00:00:00"/>
        <d v="2011-05-26T00:00:00"/>
        <d v="2011-05-27T00:00:00"/>
        <d v="2011-05-28T00:00:00"/>
        <d v="2011-05-29T00:00:00"/>
        <d v="2011-05-30T00:00:00"/>
        <d v="2011-05-31T00:00:00"/>
        <d v="2011-06-01T00:00:00"/>
        <d v="2011-06-02T00:00:00"/>
        <d v="2011-06-03T00:00:00"/>
        <d v="2011-06-04T00:00:00"/>
        <d v="2011-06-05T00:00:00"/>
        <d v="2011-06-06T00:00:00"/>
        <d v="2011-06-07T00:00:00"/>
        <d v="2011-06-08T00:00:00"/>
        <d v="2011-06-09T00:00:00"/>
        <d v="2011-06-10T00:00:00"/>
        <d v="2011-06-11T00:00:00"/>
        <d v="2011-06-12T00:00:00"/>
        <d v="2011-06-13T00:00:00"/>
        <d v="2011-06-14T00:00:00"/>
        <d v="2011-06-15T00:00:00"/>
        <d v="2011-06-16T00:00:00"/>
        <d v="2011-06-17T00:00:00"/>
        <d v="2011-06-18T00:00:00"/>
        <d v="2011-06-19T00:00:00"/>
        <d v="2011-06-20T00:00:00"/>
        <d v="2011-06-21T00:00:00"/>
        <d v="2011-06-22T00:00:00"/>
        <d v="2011-06-23T00:00:00"/>
        <d v="2011-06-24T00:00:00"/>
        <d v="2011-06-25T00:00:00"/>
        <d v="2011-06-26T00:00:00"/>
        <d v="2011-06-27T00:00:00"/>
        <d v="2011-06-28T00:00:00"/>
        <d v="2011-06-29T00:00:00"/>
        <d v="2011-06-30T00:00:00"/>
        <d v="2011-07-01T00:00:00"/>
        <d v="2011-07-02T00:00:00"/>
        <d v="2011-07-03T00:00:00"/>
        <d v="2011-07-04T00:00:00"/>
        <d v="2011-07-05T00:00:00"/>
        <d v="2011-07-06T00:00:00"/>
        <d v="2011-07-07T00:00:00"/>
        <d v="2011-07-08T00:00:00"/>
        <d v="2011-07-09T00:00:00"/>
        <d v="2011-07-10T00:00:00"/>
        <d v="2011-07-11T00:00:00"/>
        <d v="2011-07-12T00:00:00"/>
        <d v="2011-07-13T00:00:00"/>
        <d v="2011-07-14T00:00:00"/>
        <d v="2011-07-15T00:00:00"/>
        <d v="2011-07-16T00:00:00"/>
        <d v="2011-07-17T00:00:00"/>
        <d v="2011-07-18T00:00:00"/>
        <d v="2011-07-19T00:00:00"/>
        <d v="2011-07-20T00:00:00"/>
        <d v="2011-07-21T00:00:00"/>
        <d v="2011-07-22T00:00:00"/>
        <d v="2011-07-23T00:00:00"/>
        <d v="2011-07-24T00:00:00"/>
        <d v="2011-07-25T00:00:00"/>
        <d v="2011-07-26T00:00:00"/>
        <d v="2011-07-27T00:00:00"/>
        <d v="2011-07-28T00:00:00"/>
        <d v="2011-07-29T00:00:00"/>
        <d v="2011-07-30T00:00:00"/>
        <d v="2011-07-31T00:00:00"/>
        <d v="2011-08-01T00:00:00"/>
        <d v="2011-08-02T00:00:00"/>
        <d v="2011-08-03T00:00:00"/>
        <d v="2011-08-04T00:00:00"/>
        <d v="2011-08-05T00:00:00"/>
        <d v="2011-08-06T00:00:00"/>
        <d v="2011-08-07T00:00:00"/>
        <d v="2011-08-08T00:00:00"/>
        <d v="2011-08-09T00:00:00"/>
        <d v="2011-08-10T00:00:00"/>
        <d v="2011-08-11T00:00:00"/>
        <d v="2011-08-12T00:00:00"/>
        <d v="2011-08-13T00:00:00"/>
        <d v="2011-08-14T00:00:00"/>
        <d v="2011-08-15T00:00:00"/>
        <d v="2011-08-16T00:00:00"/>
        <d v="2011-08-17T00:00:00"/>
        <d v="2011-08-18T00:00:00"/>
        <d v="2011-08-19T00:00:00"/>
        <d v="2011-08-20T00:00:00"/>
        <d v="2011-08-21T00:00:00"/>
        <d v="2011-08-22T00:00:00"/>
        <d v="2011-08-23T00:00:00"/>
        <d v="2011-08-24T00:00:00"/>
        <d v="2011-08-25T00:00:00"/>
        <d v="2011-08-26T00:00:00"/>
        <d v="2011-08-27T00:00:00"/>
        <d v="2011-08-28T00:00:00"/>
        <d v="2011-08-29T00:00:00"/>
        <d v="2011-08-30T00:00:00"/>
        <d v="2011-08-31T00:00:00"/>
        <d v="2011-09-01T00:00:00"/>
        <d v="2011-09-02T00:00:00"/>
        <d v="2011-09-03T00:00:00"/>
        <d v="2011-09-04T00:00:00"/>
        <d v="2011-09-05T00:00:00"/>
        <d v="2011-09-06T00:00:00"/>
        <d v="2011-09-07T00:00:00"/>
        <d v="2011-09-08T00:00:00"/>
        <d v="2011-09-09T00:00:00"/>
        <d v="2011-09-10T00:00:00"/>
        <d v="2011-09-11T00:00:00"/>
        <d v="2011-09-12T00:00:00"/>
        <d v="2011-09-13T00:00:00"/>
        <d v="2011-09-14T00:00:00"/>
        <d v="2011-09-15T00:00:00"/>
        <d v="2011-09-16T00:00:00"/>
        <d v="2011-09-17T00:00:00"/>
        <d v="2011-09-18T00:00:00"/>
        <d v="2011-09-19T00:00:00"/>
        <d v="2011-09-20T00:00:00"/>
        <d v="2011-09-21T00:00:00"/>
        <d v="2011-09-22T00:00:00"/>
        <d v="2011-09-23T00:00:00"/>
        <d v="2011-09-24T00:00:00"/>
        <d v="2011-09-25T00:00:00"/>
        <d v="2011-09-26T00:00:00"/>
        <d v="2011-09-27T00:00:00"/>
        <d v="2011-09-28T00:00:00"/>
        <d v="2011-09-29T00:00:00"/>
        <d v="2011-09-30T00:00:00"/>
        <d v="2011-10-01T00:00:00"/>
        <d v="2011-10-02T00:00:00"/>
        <d v="2011-10-03T00:00:00"/>
        <d v="2011-10-04T00:00:00"/>
        <d v="2011-10-05T00:00:00"/>
        <d v="2011-10-06T00:00:00"/>
        <d v="2011-10-07T00:00:00"/>
        <d v="2011-10-08T00:00:00"/>
        <d v="2011-10-09T00:00:00"/>
        <d v="2011-10-10T00:00:00"/>
        <d v="2011-10-11T00:00:00"/>
        <d v="2011-10-12T00:00:00"/>
        <d v="2011-10-13T00:00:00"/>
        <d v="2011-10-14T00:00:00"/>
        <d v="2011-10-15T00:00:00"/>
        <d v="2011-10-16T00:00:00"/>
        <d v="2011-10-17T00:00:00"/>
        <d v="2011-10-18T00:00:00"/>
        <d v="2011-10-19T00:00:00"/>
        <d v="2011-10-20T00:00:00"/>
        <d v="2011-10-21T00:00:00"/>
        <d v="2011-10-22T00:00:00"/>
        <d v="2011-10-23T00:00:00"/>
        <d v="2011-10-24T00:00:00"/>
        <d v="2011-10-25T00:00:00"/>
        <d v="2011-10-26T00:00:00"/>
        <d v="2011-10-27T00:00:00"/>
        <d v="2011-10-28T00:00:00"/>
        <d v="2011-10-29T00:00:00"/>
        <d v="2011-10-30T00:00:00"/>
        <d v="2011-10-31T00:00:00"/>
        <d v="2011-11-01T00:00:00"/>
        <d v="2011-11-02T00:00:00"/>
        <d v="2011-11-03T00:00:00"/>
        <d v="2011-11-04T00:00:00"/>
        <d v="2011-11-05T00:00:00"/>
        <d v="2011-11-06T00:00:00"/>
        <d v="2011-11-07T00:00:00"/>
        <d v="2011-11-08T00:00:00"/>
        <d v="2011-11-09T00:00:00"/>
        <d v="2011-11-10T00:00:00"/>
        <d v="2011-11-11T00:00:00"/>
        <d v="2011-11-12T00:00:00"/>
        <d v="2011-11-13T00:00:00"/>
        <d v="2011-11-14T00:00:00"/>
        <d v="2011-11-15T00:00:00"/>
        <d v="2011-11-16T00:00:00"/>
        <d v="2011-11-17T00:00:00"/>
        <d v="2011-11-18T00:00:00"/>
        <d v="2011-11-19T00:00:00"/>
        <d v="2011-11-20T00:00:00"/>
        <d v="2011-11-21T00:00:00"/>
        <d v="2011-11-22T00:00:00"/>
        <d v="2011-11-23T00:00:00"/>
        <d v="2011-11-24T00:00:00"/>
        <d v="2011-11-25T00:00:00"/>
        <d v="2011-11-26T00:00:00"/>
        <d v="2011-11-27T00:00:00"/>
        <d v="2011-11-28T00:00:00"/>
        <d v="2011-11-29T00:00:00"/>
        <d v="2011-11-30T00:00:00"/>
        <d v="2011-12-01T00:00:00"/>
        <d v="2011-12-02T00:00:00"/>
        <d v="2011-12-03T00:00:00"/>
        <d v="2011-12-04T00:00:00"/>
        <d v="2011-12-05T00:00:00"/>
        <d v="2011-12-06T00:00:00"/>
        <d v="2011-12-07T00:00:00"/>
        <d v="2011-12-08T00:00:00"/>
        <d v="2011-12-09T00:00:00"/>
        <d v="2011-12-10T00:00:00"/>
        <d v="2011-12-11T00:00:00"/>
        <d v="2011-12-12T00:00:00"/>
        <d v="2011-12-13T00:00:00"/>
        <d v="2011-12-14T00:00:00"/>
        <d v="2011-12-15T00:00:00"/>
        <d v="2011-12-16T00:00:00"/>
        <d v="2011-12-17T00:00:00"/>
        <d v="2011-12-18T00:00:00"/>
        <d v="2011-12-19T00:00:00"/>
        <d v="2011-12-20T00:00:00"/>
        <d v="2011-12-21T00:00:00"/>
        <d v="2011-12-22T00:00:00"/>
        <d v="2011-12-23T00:00:00"/>
        <d v="2011-12-24T00:00:00"/>
        <d v="2011-12-25T00:00:00"/>
        <d v="2011-12-26T00:00:00"/>
        <d v="2011-12-27T00:00:00"/>
        <d v="2011-12-28T00:00:00"/>
        <d v="2011-12-29T00:00:00"/>
        <d v="2011-12-30T00:00:00"/>
        <d v="2011-12-31T00:00:00"/>
        <d v="2012-01-01T00:00:00"/>
        <d v="2012-01-02T00:00:00"/>
        <d v="2012-01-03T00:00:00"/>
        <d v="2012-01-04T00:00:00"/>
        <d v="2012-01-05T00:00:00"/>
        <d v="2012-01-06T00:00:00"/>
        <d v="2012-01-07T00:00:00"/>
        <d v="2012-01-08T00:00:00"/>
        <d v="2012-01-09T00:00:00"/>
        <d v="2012-01-10T00:00:00"/>
        <d v="2012-01-11T00:00:00"/>
        <d v="2012-01-12T00:00:00"/>
        <d v="2012-01-13T00:00:00"/>
        <d v="2012-01-14T00:00:00"/>
        <d v="2012-01-15T00:00:00"/>
        <d v="2012-01-16T00:00:00"/>
        <d v="2012-01-17T00:00:00"/>
        <d v="2012-01-18T00:00:00"/>
        <d v="2012-01-19T00:00:00"/>
        <d v="2012-01-20T00:00:00"/>
        <d v="2012-01-21T00:00:00"/>
        <d v="2012-01-22T00:00:00"/>
        <d v="2012-01-23T00:00:00"/>
        <d v="2012-01-24T00:00:00"/>
        <d v="2012-01-25T00:00:00"/>
        <d v="2012-01-26T00:00:00"/>
        <d v="2012-01-27T00:00:00"/>
        <d v="2012-01-28T00:00:00"/>
        <d v="2012-01-29T00:00:00"/>
        <d v="2012-01-30T00:00:00"/>
        <d v="2012-01-31T00:00:00"/>
        <d v="2012-02-01T00:00:00"/>
        <d v="2012-02-02T00:00:00"/>
        <d v="2012-02-03T00:00:00"/>
        <d v="2012-02-04T00:00:00"/>
        <d v="2012-02-05T00:00:00"/>
        <d v="2012-02-06T00:00:00"/>
        <d v="2012-02-07T00:00:00"/>
        <d v="2012-02-08T00:00:00"/>
        <d v="2012-02-09T00:00:00"/>
        <d v="2012-02-10T00:00:00"/>
        <d v="2012-02-11T00:00:00"/>
        <d v="2012-02-12T00:00:00"/>
        <d v="2012-02-13T00:00:00"/>
        <d v="2012-02-14T00:00:00"/>
        <d v="2012-02-15T00:00:00"/>
        <d v="2012-02-16T00:00:00"/>
        <d v="2012-02-17T00:00:00"/>
        <d v="2012-02-18T00:00:00"/>
        <d v="2012-02-19T00:00:00"/>
        <d v="2012-02-20T00:00:00"/>
        <d v="2012-02-21T00:00:00"/>
        <d v="2012-02-22T00:00:00"/>
        <d v="2012-02-23T00:00:00"/>
        <d v="2012-02-24T00:00:00"/>
        <d v="2012-02-25T00:00:00"/>
        <d v="2012-02-26T00:00:00"/>
        <d v="2012-02-27T00:00:00"/>
        <d v="2012-02-28T00:00:00"/>
        <d v="2012-02-29T00:00:00"/>
        <d v="2012-03-01T00:00:00"/>
        <d v="2012-03-02T00:00:00"/>
        <d v="2012-03-03T00:00:00"/>
        <d v="2012-03-04T00:00:00"/>
        <d v="2012-03-05T00:00:00"/>
        <d v="2012-03-06T00:00:00"/>
        <d v="2012-03-07T00:00:00"/>
        <d v="2012-03-08T00:00:00"/>
        <d v="2012-03-09T00:00:00"/>
        <d v="2012-03-10T00:00:00"/>
        <d v="2012-03-11T00:00:00"/>
        <d v="2012-03-12T00:00:00"/>
        <d v="2012-03-13T00:00:00"/>
        <d v="2012-03-14T00:00:00"/>
        <d v="2012-03-15T00:00:00"/>
        <d v="2012-03-16T00:00:00"/>
        <d v="2012-03-17T00:00:00"/>
        <d v="2012-03-18T00:00:00"/>
        <d v="2012-03-19T00:00:00"/>
        <d v="2012-03-20T00:00:00"/>
        <d v="2012-03-21T00:00:00"/>
        <d v="2012-03-22T00:00:00"/>
        <d v="2012-03-23T00:00:00"/>
        <d v="2012-03-24T00:00:00"/>
        <d v="2012-03-25T00:00:00"/>
        <d v="2012-03-26T00:00:00"/>
        <d v="2012-03-27T00:00:00"/>
        <d v="2012-03-28T00:00:00"/>
        <d v="2012-03-29T00:00:00"/>
        <d v="2012-03-30T00:00:00"/>
        <d v="2012-03-31T00:00:00"/>
        <d v="2012-04-01T00:00:00"/>
        <d v="2012-04-02T00:00:00"/>
        <d v="2012-04-03T00:00:00"/>
        <d v="2012-04-04T00:00:00"/>
        <d v="2012-04-05T00:00:00"/>
        <d v="2012-04-06T00:00:00"/>
        <d v="2012-04-07T00:00:00"/>
        <d v="2012-04-08T00:00:00"/>
        <d v="2012-04-09T00:00:00"/>
        <d v="2012-04-10T00:00:00"/>
        <d v="2012-04-11T00:00:00"/>
        <d v="2012-04-12T00:00:00"/>
        <d v="2012-04-13T00:00:00"/>
        <d v="2012-04-14T00:00:00"/>
        <d v="2012-04-15T00:00:00"/>
        <d v="2012-04-16T00:00:00"/>
        <d v="2012-04-17T00:00:00"/>
        <d v="2012-04-18T00:00:00"/>
        <d v="2012-04-19T00:00:00"/>
        <d v="2012-04-20T00:00:00"/>
        <d v="2012-04-21T00:00:00"/>
        <d v="2012-04-22T00:00:00"/>
        <d v="2012-04-23T00:00:00"/>
        <d v="2012-04-24T00:00:00"/>
        <d v="2012-04-25T00:00:00"/>
        <d v="2012-04-26T00:00:00"/>
        <d v="2012-04-27T00:00:00"/>
        <d v="2012-04-28T00:00:00"/>
        <d v="2012-04-29T00:00:00"/>
        <d v="2012-04-30T00:00:00"/>
        <d v="2012-05-01T00:00:00"/>
        <d v="2012-05-02T00:00:00"/>
        <d v="2012-05-03T00:00:00"/>
        <d v="2012-05-04T00:00:00"/>
        <d v="2012-05-05T00:00:00"/>
        <d v="2012-05-06T00:00:00"/>
        <d v="2012-05-07T00:00:00"/>
        <d v="2012-05-08T00:00:00"/>
        <d v="2012-05-09T00:00:00"/>
        <d v="2012-05-10T00:00:00"/>
        <d v="2012-05-11T00:00:00"/>
        <d v="2012-05-12T00:00:00"/>
        <d v="2012-05-13T00:00:00"/>
        <d v="2012-05-14T00:00:00"/>
        <d v="2012-05-15T00:00:00"/>
        <d v="2012-05-16T00:00:00"/>
        <d v="2012-05-17T00:00:00"/>
        <d v="2012-05-18T00:00:00"/>
        <d v="2012-05-19T00:00:00"/>
        <d v="2012-05-20T00:00:00"/>
        <d v="2012-05-21T00:00:00"/>
        <d v="2012-05-22T00:00:00"/>
        <d v="2012-05-23T00:00:00"/>
        <d v="2012-05-24T00:00:00"/>
        <d v="2012-05-25T00:00:00"/>
        <d v="2012-05-26T00:00:00"/>
        <d v="2012-05-27T00:00:00"/>
        <d v="2012-05-28T00:00:00"/>
        <d v="2012-05-29T00:00:00"/>
        <d v="2012-05-30T00:00:00"/>
        <d v="2012-05-31T00:00:00"/>
        <d v="2012-06-01T00:00:00"/>
        <d v="2012-06-02T00:00:00"/>
        <d v="2012-06-03T00:00:00"/>
        <d v="2012-06-04T00:00:00"/>
        <d v="2012-06-05T00:00:00"/>
        <d v="2012-06-06T00:00:00"/>
        <d v="2012-06-07T00:00:00"/>
        <d v="2012-06-08T00:00:00"/>
        <d v="2012-06-09T00:00:00"/>
        <d v="2012-06-10T00:00:00"/>
        <d v="2012-06-11T00:00:00"/>
        <d v="2012-06-12T00:00:00"/>
        <d v="2012-06-13T00:00:00"/>
        <d v="2012-06-14T00:00:00"/>
        <d v="2012-06-15T00:00:00"/>
        <d v="2012-06-16T00:00:00"/>
        <d v="2012-06-17T00:00:00"/>
        <d v="2012-06-18T00:00:00"/>
        <d v="2012-06-19T00:00:00"/>
        <d v="2012-06-20T00:00:00"/>
        <d v="2012-06-21T00:00:00"/>
        <d v="2012-06-22T00:00:00"/>
        <d v="2012-06-23T00:00:00"/>
        <d v="2012-06-24T00:00:00"/>
        <d v="2012-06-25T00:00:00"/>
        <d v="2012-06-26T00:00:00"/>
        <d v="2012-06-27T00:00:00"/>
        <d v="2012-06-28T00:00:00"/>
        <d v="2012-06-29T00:00:00"/>
        <d v="2012-06-30T00:00:00"/>
        <d v="2012-07-01T00:00:00"/>
        <d v="2012-07-02T00:00:00"/>
        <d v="2012-07-03T00:00:00"/>
        <d v="2012-07-04T00:00:00"/>
        <d v="2012-07-05T00:00:00"/>
        <d v="2012-07-06T00:00:00"/>
        <d v="2012-07-07T00:00:00"/>
        <d v="2012-07-08T00:00:00"/>
        <d v="2012-07-09T00:00:00"/>
        <d v="2012-07-10T00:00:00"/>
        <d v="2012-07-11T00:00:00"/>
        <d v="2012-07-12T00:00:00"/>
        <d v="2012-07-13T00:00:00"/>
        <d v="2012-07-14T00:00:00"/>
        <d v="2012-07-15T00:00:00"/>
        <d v="2012-07-16T00:00:00"/>
        <d v="2012-07-17T00:00:00"/>
        <d v="2012-07-18T00:00:00"/>
        <d v="2012-07-19T00:00:00"/>
        <d v="2012-07-20T00:00:00"/>
        <d v="2012-07-21T00:00:00"/>
        <d v="2012-07-22T00:00:00"/>
        <d v="2012-07-23T00:00:00"/>
        <d v="2012-07-24T00:00:00"/>
        <d v="2012-07-25T00:00:00"/>
        <d v="2012-07-26T00:00:00"/>
        <d v="2012-07-27T00:00:00"/>
        <d v="2012-07-28T00:00:00"/>
        <d v="2012-07-29T00:00:00"/>
        <d v="2012-07-30T00:00:00"/>
        <d v="2012-07-31T00:00:00"/>
        <d v="2012-08-01T00:00:00"/>
        <d v="2012-08-02T00:00:00"/>
        <d v="2012-08-03T00:00:00"/>
        <d v="2012-08-04T00:00:00"/>
        <d v="2012-08-05T00:00:00"/>
        <d v="2012-08-06T00:00:00"/>
        <d v="2012-08-07T00:00:00"/>
        <d v="2012-08-08T00:00:00"/>
        <d v="2012-08-09T00:00:00"/>
        <d v="2012-08-10T00:00:00"/>
        <d v="2012-08-11T00:00:00"/>
        <d v="2012-08-12T00:00:00"/>
        <d v="2012-08-13T00:00:00"/>
        <d v="2012-08-14T00:00:00"/>
        <d v="2012-08-15T00:00:00"/>
        <d v="2012-08-16T00:00:00"/>
        <d v="2012-08-17T00:00:00"/>
        <d v="2012-08-18T00:00:00"/>
        <d v="2012-08-19T00:00:00"/>
        <d v="2012-08-20T00:00:00"/>
        <d v="2012-08-21T00:00:00"/>
        <d v="2012-08-22T00:00:00"/>
        <d v="2012-08-23T00:00:00"/>
        <d v="2012-08-24T00:00:00"/>
        <d v="2012-08-25T00:00:00"/>
        <d v="2012-08-26T00:00:00"/>
        <d v="2012-08-27T00:00:00"/>
        <d v="2012-08-28T00:00:00"/>
        <d v="2012-08-29T00:00:00"/>
        <d v="2012-08-30T00:00:00"/>
        <d v="2012-08-31T00:00:00"/>
        <d v="2012-09-01T00:00:00"/>
        <d v="2012-09-02T00:00:00"/>
        <d v="2012-09-03T00:00:00"/>
        <d v="2012-09-04T00:00:00"/>
        <d v="2012-09-05T00:00:00"/>
        <d v="2012-09-06T00:00:00"/>
        <d v="2012-09-07T00:00:00"/>
        <d v="2012-09-08T00:00:00"/>
        <d v="2012-09-09T00:00:00"/>
        <d v="2012-09-10T00:00:00"/>
        <d v="2012-09-11T00:00:00"/>
        <d v="2012-09-12T00:00:00"/>
        <d v="2012-09-13T00:00:00"/>
        <d v="2012-09-14T00:00:00"/>
        <d v="2012-09-15T00:00:00"/>
        <d v="2012-09-16T00:00:00"/>
        <d v="2012-09-17T00:00:00"/>
        <d v="2012-09-18T00:00:00"/>
        <d v="2012-09-19T00:00:00"/>
        <d v="2012-09-20T00:00:00"/>
        <d v="2012-09-21T00:00:00"/>
        <d v="2012-09-22T00:00:00"/>
        <d v="2012-09-23T00:00:00"/>
        <d v="2012-09-24T00:00:00"/>
        <d v="2012-09-25T00:00:00"/>
        <d v="2012-09-26T00:00:00"/>
        <d v="2012-09-27T00:00:00"/>
        <d v="2012-09-28T00:00:00"/>
        <d v="2012-09-29T00:00:00"/>
        <d v="2012-09-30T00:00:00"/>
        <d v="2012-10-01T00:00:00"/>
        <d v="2012-10-02T00:00:00"/>
        <d v="2012-10-03T00:00:00"/>
        <d v="2012-10-04T00:00:00"/>
        <d v="2012-10-05T00:00:00"/>
        <d v="2012-10-06T00:00:00"/>
        <d v="2012-10-07T00:00:00"/>
        <d v="2012-10-08T00:00:00"/>
        <d v="2012-10-09T00:00:00"/>
        <d v="2012-10-10T00:00:00"/>
        <d v="2012-10-11T00:00:00"/>
        <d v="2012-10-12T00:00:00"/>
        <d v="2012-10-13T00:00:00"/>
        <d v="2012-10-14T00:00:00"/>
        <d v="2012-10-15T00:00:00"/>
        <d v="2012-10-16T00:00:00"/>
        <d v="2012-10-17T00:00:00"/>
        <d v="2012-10-18T00:00:00"/>
        <d v="2012-10-19T00:00:00"/>
        <d v="2012-10-20T00:00:00"/>
        <d v="2012-10-21T00:00:00"/>
        <d v="2012-10-22T00:00:00"/>
        <d v="2012-10-23T00:00:00"/>
        <d v="2012-10-24T00:00:00"/>
        <d v="2012-10-25T00:00:00"/>
        <d v="2012-10-26T00:00:00"/>
        <d v="2012-10-27T00:00:00"/>
        <d v="2012-10-28T00:00:00"/>
        <d v="2012-10-29T00:00:00"/>
        <d v="2012-10-30T00:00:00"/>
        <d v="2012-10-31T00:00:00"/>
        <d v="2012-11-01T00:00:00"/>
        <d v="2012-11-02T00:00:00"/>
        <d v="2012-11-03T00:00:00"/>
        <d v="2012-11-04T00:00:00"/>
        <d v="2012-11-05T00:00:00"/>
        <d v="2012-11-06T00:00:00"/>
        <d v="2012-11-07T00:00:00"/>
        <d v="2012-11-08T00:00:00"/>
        <d v="2012-11-09T00:00:00"/>
        <d v="2012-11-10T00:00:00"/>
        <d v="2012-11-11T00:00:00"/>
        <d v="2012-11-12T00:00:00"/>
        <d v="2012-11-13T00:00:00"/>
        <d v="2012-11-14T00:00:00"/>
        <d v="2012-11-15T00:00:00"/>
        <d v="2012-11-16T00:00:00"/>
        <d v="2012-11-17T00:00:00"/>
        <d v="2012-11-18T00:00:00"/>
        <d v="2012-11-19T00:00:00"/>
        <d v="2012-11-20T00:00:00"/>
        <d v="2012-11-21T00:00:00"/>
        <d v="2012-11-22T00:00:00"/>
        <d v="2012-11-23T00:00:00"/>
        <d v="2012-11-24T00:00:00"/>
        <d v="2012-11-25T00:00:00"/>
        <d v="2012-11-26T00:00:00"/>
        <d v="2012-11-27T00:00:00"/>
        <d v="2012-11-28T00:00:00"/>
        <d v="2012-11-29T00:00:00"/>
        <d v="2012-11-30T00:00:00"/>
        <d v="2012-12-01T00:00:00"/>
        <d v="2012-12-02T00:00:00"/>
        <d v="2012-12-03T00:00:00"/>
        <d v="2012-12-04T00:00:00"/>
        <d v="2012-12-05T00:00:00"/>
        <d v="2012-12-06T00:00:00"/>
        <d v="2012-12-07T00:00:00"/>
        <d v="2012-12-08T00:00:00"/>
        <d v="2012-12-09T00:00:00"/>
        <d v="2012-12-10T00:00:00"/>
        <d v="2012-12-11T00:00:00"/>
        <d v="2012-12-12T00:00:00"/>
        <d v="2012-12-13T00:00:00"/>
        <d v="2012-12-14T00:00:00"/>
        <d v="2012-12-15T00:00:00"/>
        <d v="2012-12-16T00:00:00"/>
        <d v="2012-12-17T00:00:00"/>
        <d v="2012-12-18T00:00:00"/>
        <d v="2012-12-19T00:00:00"/>
        <d v="2012-12-20T00:00:00"/>
        <d v="2012-12-21T00:00:00"/>
        <d v="2012-12-22T00:00:00"/>
        <d v="2012-12-23T00:00:00"/>
        <d v="2012-12-24T00:00:00"/>
        <d v="2012-12-25T00:00:00"/>
        <d v="2012-12-26T00:00:00"/>
        <d v="2012-12-27T00:00:00"/>
        <d v="2012-12-28T00:00:00"/>
        <d v="2012-12-29T00:00:00"/>
        <d v="2012-12-30T00:00:00"/>
        <d v="2012-12-31T00:00:00"/>
        <d v="2013-01-01T00:00:00"/>
        <d v="2013-01-02T00:00:00"/>
        <d v="2013-01-03T00:00:00"/>
        <d v="2013-01-04T00:00:00"/>
        <d v="2013-01-05T00:00:00"/>
        <d v="2013-01-06T00:00:00"/>
        <d v="2013-01-07T00:00:00"/>
        <d v="2013-01-08T00:00:00"/>
        <d v="2013-01-09T00:00:00"/>
        <d v="2013-01-10T00:00:00"/>
        <d v="2013-01-11T00:00:00"/>
        <d v="2013-01-12T00:00:00"/>
        <d v="2013-01-13T00:00:00"/>
        <d v="2013-01-14T00:00:00"/>
        <d v="2013-01-15T00:00:00"/>
        <d v="2013-01-16T00:00:00"/>
        <d v="2013-01-17T00:00:00"/>
        <d v="2013-01-18T00:00:00"/>
        <d v="2013-01-19T00:00:00"/>
        <d v="2013-01-20T00:00:00"/>
        <d v="2013-01-21T00:00:00"/>
        <d v="2013-01-22T00:00:00"/>
        <d v="2013-01-23T00:00:00"/>
        <d v="2013-01-24T00:00:00"/>
        <d v="2013-01-25T00:00:00"/>
        <d v="2013-01-26T00:00:00"/>
        <d v="2013-01-27T00:00:00"/>
        <d v="2013-01-28T00:00:00"/>
        <d v="2013-01-29T00:00:00"/>
        <d v="2013-01-30T00:00:00"/>
        <d v="2013-01-31T00:00:00"/>
        <d v="2013-02-01T00:00:00"/>
        <d v="2013-02-02T00:00:00"/>
        <d v="2013-02-03T00:00:00"/>
        <d v="2013-02-04T00:00:00"/>
        <d v="2013-02-05T00:00:00"/>
        <d v="2013-02-06T00:00:00"/>
        <d v="2013-02-07T00:00:00"/>
        <d v="2013-02-08T00:00:00"/>
        <d v="2013-02-09T00:00:00"/>
        <d v="2013-02-10T00:00:00"/>
        <d v="2013-02-11T00:00:00"/>
        <d v="2013-02-12T00:00:00"/>
        <d v="2013-02-13T00:00:00"/>
        <d v="2013-02-14T00:00:00"/>
        <d v="2013-02-15T00:00:00"/>
        <d v="2013-02-16T00:00:00"/>
        <d v="2013-02-17T00:00:00"/>
        <d v="2013-02-18T00:00:00"/>
        <d v="2013-02-19T00:00:00"/>
        <d v="2013-02-20T00:00:00"/>
        <d v="2013-02-21T00:00:00"/>
        <d v="2013-02-22T00:00:00"/>
        <d v="2013-02-23T00:00:00"/>
        <d v="2013-02-24T00:00:00"/>
        <d v="2013-02-25T00:00:00"/>
        <d v="2013-02-26T00:00:00"/>
        <d v="2013-02-27T00:00:00"/>
        <d v="2013-02-28T00:00:00"/>
        <d v="2013-03-01T00:00:00"/>
        <d v="2013-03-02T00:00:00"/>
        <d v="2013-03-03T00:00:00"/>
        <d v="2013-03-04T00:00:00"/>
        <d v="2013-03-05T00:00:00"/>
        <d v="2013-03-06T00:00:00"/>
        <d v="2013-03-07T00:00:00"/>
        <d v="2013-03-08T00:00:00"/>
        <d v="2013-03-09T00:00:00"/>
        <d v="2013-03-10T00:00:00"/>
        <d v="2013-03-11T00:00:00"/>
        <d v="2013-03-12T00:00:00"/>
        <d v="2013-03-13T00:00:00"/>
        <d v="2013-03-14T00:00:00"/>
        <d v="2013-03-15T00:00:00"/>
        <d v="2013-03-16T00:00:00"/>
        <d v="2013-03-17T00:00:00"/>
        <d v="2013-03-18T00:00:00"/>
        <d v="2013-03-19T00:00:00"/>
        <d v="2013-03-20T00:00:00"/>
        <d v="2013-03-21T00:00:00"/>
        <d v="2013-03-22T00:00:00"/>
        <d v="2013-03-23T00:00:00"/>
        <d v="2013-03-24T00:00:00"/>
        <d v="2013-03-25T00:00:00"/>
        <d v="2013-03-26T00:00:00"/>
        <d v="2013-03-27T00:00:00"/>
        <d v="2013-03-28T00:00:00"/>
        <d v="2013-03-29T00:00:00"/>
        <d v="2013-03-30T00:00:00"/>
        <d v="2013-03-31T00:00:00"/>
        <d v="2013-04-01T00:00:00"/>
        <d v="2013-04-02T00:00:00"/>
        <d v="2013-04-03T00:00:00"/>
        <d v="2013-04-04T00:00:00"/>
        <d v="2013-04-05T00:00:00"/>
        <d v="2013-04-06T00:00:00"/>
        <d v="2013-04-07T00:00:00"/>
        <d v="2013-04-08T00:00:00"/>
        <d v="2013-04-09T00:00:00"/>
        <d v="2013-04-10T00:00:00"/>
        <d v="2013-04-11T00:00:00"/>
        <d v="2013-04-12T00:00:00"/>
        <d v="2013-04-13T00:00:00"/>
        <d v="2013-04-14T00:00:00"/>
        <d v="2013-04-15T00:00:00"/>
        <d v="2013-04-16T00:00:00"/>
        <d v="2013-04-17T00:00:00"/>
        <d v="2013-04-18T00:00:00"/>
        <d v="2013-04-19T00:00:00"/>
        <d v="2013-04-20T00:00:00"/>
        <d v="2013-04-21T00:00:00"/>
        <d v="2013-04-22T00:00:00"/>
        <d v="2013-04-23T00:00:00"/>
        <d v="2013-04-24T00:00:00"/>
        <d v="2013-04-25T00:00:00"/>
        <d v="2013-04-26T00:00:00"/>
        <d v="2013-04-27T00:00:00"/>
        <d v="2013-04-28T00:00:00"/>
        <d v="2013-04-29T00:00:00"/>
        <d v="2013-04-30T00:00:00"/>
        <d v="2013-05-01T00:00:00"/>
        <d v="2013-05-02T00:00:00"/>
        <d v="2013-05-03T00:00:00"/>
        <d v="2013-05-04T00:00:00"/>
        <d v="2013-05-05T00:00:00"/>
        <d v="2013-05-06T00:00:00"/>
        <d v="2013-05-07T00:00:00"/>
        <d v="2013-05-08T00:00:00"/>
        <d v="2013-05-09T00:00:00"/>
        <d v="2013-05-10T00:00:00"/>
        <d v="2013-05-11T00:00:00"/>
        <d v="2013-05-12T00:00:00"/>
        <d v="2013-05-13T00:00:00"/>
        <d v="2013-05-14T00:00:00"/>
        <d v="2013-05-15T00:00:00"/>
        <d v="2013-05-16T00:00:00"/>
        <d v="2013-05-17T00:00:00"/>
        <d v="2013-05-18T00:00:00"/>
        <d v="2013-05-19T00:00:00"/>
        <d v="2013-05-20T00:00:00"/>
        <d v="2013-05-21T00:00:00"/>
        <d v="2013-05-22T00:00:00"/>
        <d v="2013-05-23T00:00:00"/>
        <d v="2013-05-24T00:00:00"/>
        <d v="2013-05-25T00:00:00"/>
        <d v="2013-05-26T00:00:00"/>
        <d v="2013-05-27T00:00:00"/>
        <d v="2013-05-28T00:00:00"/>
        <d v="2013-05-29T00:00:00"/>
        <d v="2013-05-30T00:00:00"/>
        <d v="2013-05-31T00:00:00"/>
        <d v="2013-06-01T00:00:00"/>
        <d v="2013-06-02T00:00:00"/>
        <d v="2013-06-03T00:00:00"/>
        <d v="2013-06-04T00:00:00"/>
        <d v="2013-06-05T00:00:00"/>
        <d v="2013-06-06T00:00:00"/>
        <d v="2013-06-07T00:00:00"/>
        <d v="2013-06-08T00:00:00"/>
        <d v="2013-06-09T00:00:00"/>
        <d v="2013-06-10T00:00:00"/>
        <d v="2013-06-11T00:00:00"/>
        <d v="2013-06-12T00:00:00"/>
        <d v="2013-06-13T00:00:00"/>
        <d v="2013-06-14T00:00:00"/>
        <d v="2013-06-15T00:00:00"/>
        <d v="2013-06-16T00:00:00"/>
        <d v="2013-06-17T00:00:00"/>
        <d v="2013-06-18T00:00:00"/>
        <d v="2013-06-19T00:00:00"/>
        <d v="2013-06-20T00:00:00"/>
        <d v="2013-06-21T00:00:00"/>
        <d v="2013-06-22T00:00:00"/>
        <d v="2013-06-23T00:00:00"/>
        <d v="2013-06-24T00:00:00"/>
        <d v="2013-06-25T00:00:00"/>
        <d v="2013-06-26T00:00:00"/>
        <d v="2013-06-27T00:00:00"/>
        <d v="2013-06-28T00:00:00"/>
        <d v="2013-06-29T00:00:00"/>
        <d v="2013-06-30T00:00:00"/>
        <d v="2013-07-01T00:00:00"/>
        <d v="2013-07-02T00:00:00"/>
        <d v="2013-07-03T00:00:00"/>
        <d v="2013-07-04T00:00:00"/>
        <d v="2013-07-05T00:00:00"/>
        <d v="2013-07-06T00:00:00"/>
        <d v="2013-07-07T00:00:00"/>
        <d v="2013-07-08T00:00:00"/>
        <d v="2013-07-09T00:00:00"/>
        <d v="2013-07-10T00:00:00"/>
        <d v="2013-07-11T00:00:00"/>
        <d v="2013-07-12T00:00:00"/>
        <d v="2013-07-13T00:00:00"/>
        <d v="2013-07-14T00:00:00"/>
        <d v="2013-07-15T00:00:00"/>
        <d v="2013-07-16T00:00:00"/>
        <d v="2013-07-17T00:00:00"/>
        <d v="2013-07-18T00:00:00"/>
        <d v="2013-07-19T00:00:00"/>
        <d v="2013-07-20T00:00:00"/>
        <d v="2013-07-21T00:00:00"/>
        <d v="2013-07-22T00:00:00"/>
        <d v="2013-07-23T00:00:00"/>
        <d v="2013-07-24T00:00:00"/>
        <d v="2013-07-25T00:00:00"/>
        <d v="2013-07-26T00:00:00"/>
        <d v="2013-07-27T00:00:00"/>
        <d v="2013-07-28T00:00:00"/>
        <d v="2013-07-29T00:00:00"/>
        <d v="2013-07-30T00:00:00"/>
        <d v="2013-07-31T00:00:00"/>
        <d v="2013-08-01T00:00:00"/>
        <d v="2013-08-02T00:00:00"/>
        <d v="2013-08-03T00:00:00"/>
        <d v="2013-08-04T00:00:00"/>
        <d v="2013-08-05T00:00:00"/>
        <d v="2013-08-06T00:00:00"/>
        <d v="2013-08-07T00:00:00"/>
        <d v="2013-08-08T00:00:00"/>
        <d v="2013-08-09T00:00:00"/>
        <d v="2013-08-10T00:00:00"/>
        <d v="2013-08-11T00:00:00"/>
        <d v="2013-08-12T00:00:00"/>
        <d v="2013-08-13T00:00:00"/>
        <d v="2013-08-14T00:00:00"/>
        <d v="2013-08-15T00:00:00"/>
        <d v="2013-08-16T00:00:00"/>
        <d v="2013-08-17T00:00:00"/>
        <d v="2013-08-18T00:00:00"/>
        <d v="2013-08-19T00:00:00"/>
        <d v="2013-08-20T00:00:00"/>
        <d v="2013-08-21T00:00:00"/>
        <d v="2013-08-22T00:00:00"/>
        <d v="2013-08-23T00:00:00"/>
        <d v="2013-08-24T00:00:00"/>
        <d v="2013-08-25T00:00:00"/>
        <d v="2013-08-26T00:00:00"/>
        <d v="2013-08-27T00:00:00"/>
        <d v="2013-08-28T00:00:00"/>
        <d v="2013-08-29T00:00:00"/>
        <d v="2013-08-30T00:00:00"/>
        <d v="2013-08-31T00:00:00"/>
        <d v="2013-09-01T00:00:00"/>
        <d v="2013-09-02T00:00:00"/>
        <d v="2013-09-03T00:00:00"/>
        <d v="2013-09-04T00:00:00"/>
        <d v="2013-09-05T00:00:00"/>
        <d v="2013-09-06T00:00:00"/>
        <d v="2013-09-07T00:00:00"/>
        <d v="2013-09-08T00:00:00"/>
        <d v="2013-09-09T00:00:00"/>
        <d v="2013-09-10T00:00:00"/>
        <d v="2013-09-11T00:00:00"/>
        <d v="2013-09-12T00:00:00"/>
        <d v="2013-09-13T00:00:00"/>
        <d v="2013-09-14T00:00:00"/>
        <d v="2013-09-15T00:00:00"/>
        <d v="2013-09-16T00:00:00"/>
        <d v="2013-09-17T00:00:00"/>
        <d v="2013-09-18T00:00:00"/>
        <d v="2013-09-19T00:00:00"/>
        <d v="2013-09-20T00:00:00"/>
        <d v="2013-09-21T00:00:00"/>
        <d v="2013-09-22T00:00:00"/>
        <d v="2013-09-23T00:00:00"/>
        <d v="2013-09-24T00:00:00"/>
        <d v="2013-09-25T00:00:00"/>
        <d v="2013-09-26T00:00:00"/>
        <d v="2013-09-27T00:00:00"/>
        <d v="2013-09-28T00:00:00"/>
        <d v="2013-09-29T00:00:00"/>
        <d v="2013-09-30T00:00:00"/>
        <d v="2013-10-01T00:00:00"/>
        <d v="2013-10-02T00:00:00"/>
        <d v="2013-10-03T00:00:00"/>
        <d v="2013-10-04T00:00:00"/>
        <d v="2013-10-05T00:00:00"/>
        <d v="2013-10-06T00:00:00"/>
        <d v="2013-10-07T00:00:00"/>
        <d v="2013-10-08T00:00:00"/>
        <d v="2013-10-09T00:00:00"/>
        <d v="2013-10-10T00:00:00"/>
        <d v="2013-10-11T00:00:00"/>
        <d v="2013-10-12T00:00:00"/>
        <d v="2013-10-13T00:00:00"/>
        <d v="2013-10-14T00:00:00"/>
        <d v="2013-10-15T00:00:00"/>
        <d v="2013-10-16T00:00:00"/>
        <d v="2013-10-17T00:00:00"/>
        <d v="2013-10-18T00:00:00"/>
        <d v="2013-10-19T00:00:00"/>
        <d v="2013-10-20T00:00:00"/>
        <d v="2013-10-21T00:00:00"/>
        <d v="2013-10-22T00:00:00"/>
        <d v="2013-10-23T00:00:00"/>
        <d v="2013-10-24T00:00:00"/>
        <d v="2013-10-25T00:00:00"/>
        <d v="2013-10-26T00:00:00"/>
        <d v="2013-10-27T00:00:00"/>
        <d v="2013-10-28T00:00:00"/>
        <d v="2013-10-29T00:00:00"/>
        <d v="2013-10-30T00:00:00"/>
        <d v="2013-10-31T00:00:00"/>
        <d v="2013-11-01T00:00:00"/>
        <d v="2013-11-02T00:00:00"/>
        <d v="2013-11-03T00:00:00"/>
        <d v="2013-11-04T00:00:00"/>
        <d v="2013-11-05T00:00:00"/>
        <d v="2013-11-06T00:00:00"/>
        <d v="2013-11-07T00:00:00"/>
        <d v="2013-11-08T00:00:00"/>
        <d v="2013-11-09T00:00:00"/>
        <d v="2013-11-10T00:00:00"/>
        <d v="2013-11-11T00:00:00"/>
        <d v="2013-11-12T00:00:00"/>
        <d v="2013-11-13T00:00:00"/>
        <d v="2013-11-14T00:00:00"/>
        <d v="2013-11-15T00:00:00"/>
        <d v="2013-11-16T00:00:00"/>
        <d v="2013-11-17T00:00:00"/>
        <d v="2013-11-18T00:00:00"/>
        <d v="2013-11-19T00:00:00"/>
        <d v="2013-11-20T00:00:00"/>
        <d v="2013-11-21T00:00:00"/>
        <d v="2013-11-22T00:00:00"/>
        <d v="2013-11-23T00:00:00"/>
        <d v="2013-11-24T00:00:00"/>
        <d v="2013-11-25T00:00:00"/>
        <d v="2013-11-26T00:00:00"/>
        <d v="2013-11-27T00:00:00"/>
        <d v="2013-11-28T00:00:00"/>
        <d v="2013-11-29T00:00:00"/>
        <d v="2013-11-30T00:00:00"/>
        <d v="2013-12-01T00:00:00"/>
        <d v="2013-12-02T00:00:00"/>
        <d v="2013-12-03T00:00:00"/>
        <d v="2013-12-04T00:00:00"/>
        <d v="2013-12-05T00:00:00"/>
        <d v="2013-12-06T00:00:00"/>
        <d v="2013-12-07T00:00:00"/>
        <d v="2013-12-08T00:00:00"/>
        <d v="2013-12-09T00:00:00"/>
        <d v="2013-12-10T00:00:00"/>
        <d v="2013-12-11T00:00:00"/>
        <d v="2013-12-12T00:00:00"/>
        <d v="2013-12-13T00:00:00"/>
        <d v="2013-12-14T00:00:00"/>
        <d v="2013-12-15T00:00:00"/>
        <d v="2013-12-16T00:00:00"/>
        <d v="2013-12-17T00:00:00"/>
        <d v="2013-12-18T00:00:00"/>
        <d v="2013-12-19T00:00:00"/>
        <d v="2013-12-20T00:00:00"/>
        <d v="2013-12-21T00:00:00"/>
        <d v="2013-12-22T00:00:00"/>
        <d v="2013-12-23T00:00:00"/>
        <d v="2013-12-24T00:00:00"/>
        <d v="2013-12-25T00:00:00"/>
        <d v="2013-12-26T00:00:00"/>
        <d v="2013-12-27T00:00:00"/>
        <d v="2013-12-28T00:00:00"/>
        <d v="2013-12-29T00:00:00"/>
        <d v="2013-12-30T00:00:00"/>
        <d v="2013-12-31T00:00:00"/>
        <d v="2014-01-01T00:00:00"/>
        <d v="2014-01-02T00:00:00"/>
        <d v="2014-01-03T00:00:00"/>
        <d v="2014-01-04T00:00:00"/>
        <d v="2014-01-05T00:00:00"/>
        <d v="2014-01-06T00:00:00"/>
        <d v="2014-01-07T00:00:00"/>
        <d v="2014-01-08T00:00:00"/>
        <d v="2014-01-09T00:00:00"/>
        <d v="2014-01-10T00:00:00"/>
        <d v="2014-01-11T00:00:00"/>
        <d v="2014-01-12T00:00:00"/>
        <d v="2014-01-13T00:00:00"/>
        <d v="2014-01-14T00:00:00"/>
        <d v="2014-01-15T00:00:00"/>
        <d v="2014-01-16T00:00:00"/>
        <d v="2014-01-17T00:00:00"/>
        <d v="2014-01-18T00:00:00"/>
        <d v="2014-01-19T00:00:00"/>
        <d v="2014-01-20T00:00:00"/>
        <d v="2014-01-21T00:00:00"/>
        <d v="2014-01-22T00:00:00"/>
        <d v="2014-01-23T00:00:00"/>
        <d v="2014-01-24T00:00:00"/>
        <d v="2014-01-25T00:00:00"/>
        <d v="2014-01-26T00:00:00"/>
        <d v="2014-01-27T00:00:00"/>
        <d v="2014-01-28T00:00:00"/>
        <d v="2014-01-29T00:00:00"/>
        <d v="2014-01-30T00:00:00"/>
        <d v="2014-01-31T00:00:00"/>
        <d v="2014-02-01T00:00:00"/>
        <d v="2014-02-02T00:00:00"/>
        <d v="2014-02-03T00:00:00"/>
        <d v="2014-02-04T00:00:00"/>
        <d v="2014-02-05T00:00:00"/>
        <d v="2014-02-06T00:00:00"/>
        <d v="2014-02-07T00:00:00"/>
        <d v="2014-02-08T00:00:00"/>
        <d v="2014-02-09T00:00:00"/>
        <d v="2014-02-10T00:00:00"/>
        <d v="2014-02-11T00:00:00"/>
        <d v="2014-02-12T00:00:00"/>
        <d v="2014-02-13T00:00:00"/>
        <d v="2014-02-14T00:00:00"/>
        <d v="2014-02-15T00:00:00"/>
        <d v="2014-02-16T00:00:00"/>
        <d v="2014-02-17T00:00:00"/>
        <d v="2014-02-18T00:00:00"/>
        <d v="2014-02-19T00:00:00"/>
        <d v="2014-02-20T00:00:00"/>
        <d v="2014-02-21T00:00:00"/>
        <d v="2014-02-22T00:00:00"/>
        <d v="2014-02-23T00:00:00"/>
        <d v="2014-02-24T00:00:00"/>
        <d v="2014-02-25T00:00:00"/>
        <d v="2014-02-26T00:00:00"/>
        <d v="2014-02-27T00:00:00"/>
        <d v="2014-02-28T00:00:00"/>
        <d v="2014-03-01T00:00:00"/>
        <d v="2014-03-02T00:00:00"/>
        <d v="2014-03-03T00:00:00"/>
        <d v="2014-03-04T00:00:00"/>
        <d v="2014-03-05T00:00:00"/>
        <d v="2014-03-06T00:00:00"/>
        <d v="2014-03-07T00:00:00"/>
        <d v="2014-03-08T00:00:00"/>
        <d v="2014-03-09T00:00:00"/>
        <d v="2014-03-10T00:00:00"/>
        <d v="2014-03-11T00:00:00"/>
        <d v="2014-03-12T00:00:00"/>
        <d v="2014-03-13T00:00:00"/>
        <d v="2014-03-14T00:00:00"/>
        <d v="2014-03-15T00:00:00"/>
        <d v="2014-03-16T00:00:00"/>
        <d v="2014-03-17T00:00:00"/>
        <d v="2014-03-18T00:00:00"/>
        <d v="2014-03-19T00:00:00"/>
        <d v="2014-03-20T00:00:00"/>
        <d v="2014-03-21T00:00:00"/>
        <d v="2014-03-22T00:00:00"/>
        <d v="2014-03-23T00:00:00"/>
        <d v="2014-03-24T00:00:00"/>
        <d v="2014-03-25T00:00:00"/>
        <d v="2014-03-26T00:00:00"/>
        <d v="2014-03-27T00:00:00"/>
        <d v="2014-03-28T00:00:00"/>
        <d v="2014-03-29T00:00:00"/>
        <d v="2014-03-30T00:00:00"/>
        <d v="2014-03-31T00:00:00"/>
        <d v="2014-04-01T00:00:00"/>
        <d v="2014-04-02T00:00:00"/>
        <d v="2014-04-03T00:00:00"/>
        <d v="2014-04-04T00:00:00"/>
        <d v="2014-04-05T00:00:00"/>
        <d v="2014-04-06T00:00:00"/>
        <d v="2014-04-07T00:00:00"/>
        <d v="2014-04-08T00:00:00"/>
        <d v="2014-04-09T00:00:00"/>
        <d v="2014-04-10T00:00:00"/>
        <d v="2014-04-11T00:00:00"/>
        <d v="2014-04-12T00:00:00"/>
        <d v="2014-04-13T00:00:00"/>
        <d v="2014-04-14T00:00:00"/>
        <d v="2014-04-15T00:00:00"/>
        <d v="2014-04-16T00:00:00"/>
        <d v="2014-04-17T00:00:00"/>
        <d v="2014-04-18T00:00:00"/>
        <d v="2014-04-19T00:00:00"/>
        <d v="2014-04-20T00:00:00"/>
        <d v="2014-04-21T00:00:00"/>
        <d v="2014-04-22T00:00:00"/>
        <d v="2014-04-23T00:00:00"/>
        <d v="2014-04-24T00:00:00"/>
        <d v="2014-04-25T00:00:00"/>
        <d v="2014-04-26T00:00:00"/>
        <d v="2014-04-27T00:00:00"/>
        <d v="2014-04-28T00:00:00"/>
        <d v="2014-04-29T00:00:00"/>
        <d v="2014-04-30T00:00:00"/>
        <d v="2014-05-01T00:00:00"/>
        <d v="2014-05-02T00:00:00"/>
        <d v="2014-05-03T00:00:00"/>
        <d v="2014-05-04T00:00:00"/>
        <d v="2014-05-05T00:00:00"/>
        <d v="2014-05-06T00:00:00"/>
        <d v="2014-05-07T00:00:00"/>
        <d v="2014-05-08T00:00:00"/>
        <d v="2014-05-09T00:00:00"/>
        <d v="2014-05-10T00:00:00"/>
        <d v="2014-05-11T00:00:00"/>
        <d v="2014-05-12T00:00:00"/>
        <d v="2014-05-13T00:00:00"/>
        <d v="2014-05-14T00:00:00"/>
        <d v="2014-05-15T00:00:00"/>
        <d v="2014-05-16T00:00:00"/>
        <d v="2014-05-17T00:00:00"/>
        <d v="2014-05-18T00:00:00"/>
        <d v="2014-05-19T00:00:00"/>
        <d v="2014-05-20T00:00:00"/>
        <d v="2014-05-21T00:00:00"/>
        <d v="2014-05-22T00:00:00"/>
        <d v="2014-05-23T00:00:00"/>
        <d v="2014-05-24T00:00:00"/>
        <d v="2014-05-25T00:00:00"/>
        <d v="2014-05-26T00:00:00"/>
        <d v="2014-05-27T00:00:00"/>
        <d v="2014-05-28T00:00:00"/>
        <d v="2014-05-29T00:00:00"/>
        <d v="2014-05-30T00:00:00"/>
        <d v="2014-05-31T00:00:00"/>
        <d v="2014-06-01T00:00:00"/>
        <d v="2014-06-02T00:00:00"/>
        <d v="2014-06-03T00:00:00"/>
        <d v="2014-06-04T00:00:00"/>
        <d v="2014-06-05T00:00:00"/>
        <d v="2014-06-06T00:00:00"/>
        <d v="2014-06-07T00:00:00"/>
        <d v="2014-06-08T00:00:00"/>
        <d v="2014-06-09T00:00:00"/>
        <d v="2014-06-10T00:00:00"/>
        <d v="2014-06-11T00:00:00"/>
        <d v="2014-06-12T00:00:00"/>
        <d v="2014-06-13T00:00:00"/>
        <d v="2014-06-14T00:00:00"/>
        <d v="2014-06-15T00:00:00"/>
        <d v="2014-06-16T00:00:00"/>
        <d v="2014-06-17T00:00:00"/>
        <d v="2014-06-18T00:00:00"/>
        <d v="2014-06-19T00:00:00"/>
        <d v="2014-06-20T00:00:00"/>
        <d v="2014-06-21T00:00:00"/>
        <d v="2014-06-22T00:00:00"/>
        <d v="2014-06-23T00:00:00"/>
        <d v="2014-06-24T00:00:00"/>
        <d v="2014-06-25T00:00:00"/>
        <d v="2014-06-26T00:00:00"/>
        <d v="2014-06-27T00:00:00"/>
        <d v="2014-06-28T00:00:00"/>
        <d v="2014-06-29T00:00:00"/>
        <d v="2014-06-30T00:00:00"/>
        <d v="2014-07-01T00:00:00"/>
        <d v="2014-07-02T00:00:00"/>
        <d v="2014-07-03T00:00:00"/>
        <d v="2014-07-04T00:00:00"/>
        <d v="2014-07-05T00:00:00"/>
        <d v="2014-07-06T00:00:00"/>
        <d v="2014-07-07T00:00:00"/>
        <d v="2014-07-08T00:00:00"/>
        <d v="2014-07-09T00:00:00"/>
        <d v="2014-07-10T00:00:00"/>
        <d v="2014-07-11T00:00:00"/>
        <d v="2014-07-12T00:00:00"/>
        <d v="2014-07-13T00:00:00"/>
        <d v="2014-07-14T00:00:00"/>
        <d v="2014-07-15T00:00:00"/>
        <d v="2014-07-16T00:00:00"/>
        <d v="2014-07-17T00:00:00"/>
        <d v="2014-07-18T00:00:00"/>
        <d v="2014-07-19T00:00:00"/>
        <d v="2014-07-20T00:00:00"/>
        <d v="2014-07-21T00:00:00"/>
        <d v="2014-07-22T00:00:00"/>
        <d v="2014-07-23T00:00:00"/>
        <d v="2014-07-24T00:00:00"/>
        <d v="2014-07-25T00:00:00"/>
        <d v="2014-07-26T00:00:00"/>
        <d v="2014-07-27T00:00:00"/>
        <d v="2014-07-28T00:00:00"/>
        <d v="2014-07-29T00:00:00"/>
        <d v="2014-07-30T00:00:00"/>
        <d v="2014-07-31T00:00:00"/>
        <d v="2014-08-01T00:00:00"/>
        <d v="2014-08-02T00:00:00"/>
        <d v="2014-08-03T00:00:00"/>
        <d v="2014-08-04T00:00:00"/>
        <d v="2014-08-05T00:00:00"/>
        <d v="2014-08-06T00:00:00"/>
        <d v="2014-08-07T00:00:00"/>
        <d v="2014-08-08T00:00:00"/>
        <d v="2014-08-09T00:00:00"/>
        <d v="2014-08-10T00:00:00"/>
        <d v="2014-08-11T00:00:00"/>
        <d v="2014-08-12T00:00:00"/>
        <d v="2014-08-13T00:00:00"/>
        <d v="2014-08-14T00:00:00"/>
        <d v="2014-08-15T00:00:00"/>
        <d v="2014-08-16T00:00:00"/>
        <d v="2014-08-17T00:00:00"/>
        <d v="2014-08-18T00:00:00"/>
        <d v="2014-08-19T00:00:00"/>
        <d v="2014-08-20T00:00:00"/>
        <d v="2014-08-21T00:00:00"/>
        <d v="2014-08-22T00:00:00"/>
        <d v="2014-08-23T00:00:00"/>
        <d v="2014-08-24T00:00:00"/>
        <d v="2014-08-25T00:00:00"/>
        <d v="2014-08-26T00:00:00"/>
        <d v="2014-08-27T00:00:00"/>
        <d v="2014-08-28T00:00:00"/>
        <d v="2014-08-29T00:00:00"/>
        <d v="2014-08-30T00:00:00"/>
        <d v="2014-08-31T00:00:00"/>
        <d v="2014-09-01T00:00:00"/>
        <d v="2014-09-02T00:00:00"/>
        <d v="2014-09-03T00:00:00"/>
        <d v="2014-09-04T00:00:00"/>
        <d v="2014-09-05T00:00:00"/>
        <d v="2014-09-06T00:00:00"/>
        <d v="2014-09-07T00:00:00"/>
        <d v="2014-09-08T00:00:00"/>
        <d v="2014-09-09T00:00:00"/>
        <d v="2014-09-10T00:00:00"/>
        <d v="2014-09-11T00:00:00"/>
        <d v="2014-09-12T00:00:00"/>
        <d v="2014-09-13T00:00:00"/>
        <d v="2014-09-14T00:00:00"/>
        <d v="2014-09-15T00:00:00"/>
        <d v="2014-09-16T00:00:00"/>
        <d v="2014-09-17T00:00:00"/>
        <d v="2014-09-18T00:00:00"/>
        <d v="2014-09-19T00:00:00"/>
        <d v="2014-09-20T00:00:00"/>
        <d v="2014-09-21T00:00:00"/>
        <d v="2014-09-22T00:00:00"/>
        <d v="2014-09-23T00:00:00"/>
        <d v="2014-09-24T00:00:00"/>
        <d v="2014-09-25T00:00:00"/>
        <d v="2014-09-26T00:00:00"/>
        <d v="2014-09-27T00:00:00"/>
        <d v="2014-09-28T00:00:00"/>
        <d v="2014-09-29T00:00:00"/>
        <d v="2014-09-30T00:00:00"/>
        <d v="2014-10-01T00:00:00"/>
        <d v="2014-10-02T00:00:00"/>
        <d v="2014-10-03T00:00:00"/>
        <d v="2014-10-04T00:00:00"/>
        <d v="2014-10-05T00:00:00"/>
        <d v="2014-10-06T00:00:00"/>
        <d v="2014-10-07T00:00:00"/>
        <d v="2014-10-08T00:00:00"/>
        <d v="2014-10-09T00:00:00"/>
        <d v="2014-10-10T00:00:00"/>
        <d v="2014-10-11T00:00:00"/>
        <d v="2014-10-12T00:00:00"/>
        <d v="2014-10-13T00:00:00"/>
        <d v="2014-10-14T00:00:00"/>
        <d v="2014-10-15T00:00:00"/>
        <d v="2014-10-16T00:00:00"/>
        <d v="2014-10-17T00:00:00"/>
        <d v="2014-10-18T00:00:00"/>
        <d v="2014-10-19T00:00:00"/>
        <d v="2014-10-20T00:00:00"/>
        <d v="2014-10-21T00:00:00"/>
        <d v="2014-10-22T00:00:00"/>
        <d v="2014-10-23T00:00:00"/>
        <d v="2014-10-24T00:00:00"/>
        <d v="2014-10-25T00:00:00"/>
        <d v="2014-10-26T00:00:00"/>
        <d v="2014-10-27T00:00:00"/>
        <d v="2014-10-28T00:00:00"/>
        <d v="2014-10-29T00:00:00"/>
        <d v="2014-10-30T00:00:00"/>
        <d v="2014-10-31T00:00:00"/>
        <d v="2014-11-01T00:00:00"/>
        <d v="2014-11-02T00:00:00"/>
        <d v="2014-11-03T00:00:00"/>
        <d v="2014-11-04T00:00:00"/>
        <d v="2014-11-05T00:00:00"/>
        <d v="2014-11-06T00:00:00"/>
        <d v="2014-11-07T00:00:00"/>
        <d v="2014-11-08T00:00:00"/>
        <d v="2014-11-09T00:00:00"/>
        <d v="2014-11-10T00:00:00"/>
        <d v="2014-11-11T00:00:00"/>
        <d v="2014-11-12T00:00:00"/>
        <d v="2014-11-13T00:00:00"/>
        <d v="2014-11-14T00:00:00"/>
        <d v="2014-11-15T00:00:00"/>
        <d v="2014-11-16T00:00:00"/>
        <d v="2014-11-17T00:00:00"/>
        <d v="2014-11-18T00:00:00"/>
        <d v="2014-11-19T00:00:00"/>
        <d v="2014-11-20T00:00:00"/>
        <d v="2014-11-21T00:00:00"/>
        <d v="2014-11-22T00:00:00"/>
        <d v="2014-11-23T00:00:00"/>
        <d v="2014-11-24T00:00:00"/>
        <d v="2014-11-25T00:00:00"/>
        <d v="2014-11-26T00:00:00"/>
        <d v="2014-11-27T00:00:00"/>
        <d v="2014-11-28T00:00:00"/>
        <d v="2014-11-29T00:00:00"/>
        <d v="2014-11-30T00:00:00"/>
        <d v="2014-12-01T00:00:00"/>
        <d v="2014-12-02T00:00:00"/>
        <d v="2014-12-03T00:00:00"/>
        <d v="2014-12-04T00:00:00"/>
        <d v="2014-12-05T00:00:00"/>
        <d v="2014-12-06T00:00:00"/>
        <d v="2014-12-07T00:00:00"/>
        <d v="2014-12-08T00:00:00"/>
        <d v="2014-12-09T00:00:00"/>
        <d v="2014-12-10T00:00:00"/>
        <d v="2014-12-11T00:00:00"/>
        <d v="2014-12-12T00:00:00"/>
        <d v="2014-12-13T00:00:00"/>
        <d v="2014-12-14T00:00:00"/>
        <d v="2014-12-15T00:00:00"/>
        <d v="2014-12-16T00:00:00"/>
        <d v="2014-12-17T00:00:00"/>
        <d v="2014-12-18T00:00:00"/>
        <d v="2014-12-19T00:00:00"/>
        <d v="2014-12-20T00:00:00"/>
        <d v="2014-12-21T00:00:00"/>
        <d v="2014-12-22T00:00:00"/>
        <d v="2014-12-23T00:00:00"/>
        <d v="2014-12-24T00:00:00"/>
        <d v="2014-12-25T00:00:00"/>
        <d v="2014-12-26T00:00:00"/>
        <d v="2014-12-27T00:00:00"/>
        <d v="2014-12-28T00:00:00"/>
        <d v="2014-12-29T00:00:00"/>
        <d v="2014-12-30T00:00:00"/>
        <d v="2014-12-31T00:00:00"/>
        <d v="2015-01-01T00:00:00"/>
        <d v="2015-01-02T00:00:00"/>
        <d v="2015-01-03T00:00:00"/>
        <d v="2015-01-04T00:00:00"/>
        <d v="2015-01-05T00:00:00"/>
        <d v="2015-01-06T00:00:00"/>
        <d v="2015-01-07T00:00:00"/>
        <d v="2015-01-08T00:00:00"/>
        <d v="2015-01-09T00:00:00"/>
        <d v="2015-01-10T00:00:00"/>
        <d v="2015-01-11T00:00:00"/>
        <d v="2015-01-12T00:00:00"/>
        <d v="2015-01-13T00:00:00"/>
        <d v="2015-01-14T00:00:00"/>
        <d v="2015-01-15T00:00:00"/>
        <d v="2015-01-16T00:00:00"/>
        <d v="2015-01-17T00:00:00"/>
        <d v="2015-01-18T00:00:00"/>
        <d v="2015-01-19T00:00:00"/>
        <d v="2015-01-20T00:00:00"/>
        <d v="2015-01-21T00:00:00"/>
        <d v="2015-01-22T00:00:00"/>
        <d v="2015-01-23T00:00:00"/>
        <d v="2015-01-24T00:00:00"/>
        <d v="2015-01-25T00:00:00"/>
        <d v="2015-01-26T00:00:00"/>
        <d v="2015-01-27T00:00:00"/>
        <d v="2015-01-28T00:00:00"/>
        <d v="2015-01-29T00:00:00"/>
        <d v="2015-01-30T00:00:00"/>
        <d v="2015-01-31T00:00:00"/>
        <d v="2015-02-01T00:00:00"/>
        <d v="2015-02-02T00:00:00"/>
        <d v="2015-02-03T00:00:00"/>
        <d v="2015-02-04T00:00:00"/>
        <d v="2015-02-05T00:00:00"/>
        <d v="2015-02-06T00:00:00"/>
        <d v="2015-02-07T00:00:00"/>
        <d v="2015-02-08T00:00:00"/>
        <d v="2015-02-09T00:00:00"/>
        <d v="2015-02-10T00:00:00"/>
        <d v="2015-02-11T00:00:00"/>
        <d v="2015-02-12T00:00:00"/>
        <d v="2015-02-13T00:00:00"/>
        <d v="2015-02-14T00:00:00"/>
        <d v="2015-02-15T00:00:00"/>
        <d v="2015-02-16T00:00:00"/>
        <d v="2015-02-17T00:00:00"/>
        <d v="2015-02-18T00:00:00"/>
        <d v="2015-02-19T00:00:00"/>
        <d v="2015-02-20T00:00:00"/>
        <d v="2015-02-21T00:00:00"/>
        <d v="2015-02-22T00:00:00"/>
        <d v="2015-02-23T00:00:00"/>
        <d v="2015-02-24T00:00:00"/>
        <d v="2015-02-25T00:00:00"/>
        <d v="2015-02-26T00:00:00"/>
        <d v="2015-02-27T00:00:00"/>
        <d v="2015-02-28T00:00:00"/>
        <d v="2015-03-01T00:00:00"/>
        <d v="2015-03-02T00:00:00"/>
        <d v="2015-03-03T00:00:00"/>
        <d v="2015-03-04T00:00:00"/>
        <d v="2015-03-05T00:00:00"/>
        <d v="2015-03-06T00:00:00"/>
        <d v="2015-03-07T00:00:00"/>
        <d v="2015-03-08T00:00:00"/>
        <d v="2015-03-09T00:00:00"/>
        <d v="2015-03-10T00:00:00"/>
        <d v="2015-03-11T00:00:00"/>
        <d v="2015-03-12T00:00:00"/>
        <d v="2015-03-13T00:00:00"/>
        <d v="2015-03-14T00:00:00"/>
        <d v="2015-03-15T00:00:00"/>
        <d v="2015-03-16T00:00:00"/>
        <d v="2015-03-17T00:00:00"/>
        <d v="2015-03-18T00:00:00"/>
        <d v="2015-03-19T00:00:00"/>
        <d v="2015-03-20T00:00:00"/>
        <d v="2015-03-21T00:00:00"/>
        <d v="2015-03-22T00:00:00"/>
        <d v="2015-03-23T00:00:00"/>
        <d v="2015-03-24T00:00:00"/>
        <d v="2015-03-25T00:00:00"/>
        <d v="2015-03-26T00:00:00"/>
        <d v="2015-03-27T00:00:00"/>
        <d v="2015-03-28T00:00:00"/>
        <d v="2015-03-29T00:00:00"/>
        <d v="2015-03-30T00:00:00"/>
        <d v="2015-03-31T00:00:00"/>
        <d v="2015-04-01T00:00:00"/>
        <d v="2015-04-02T00:00:00"/>
        <d v="2015-04-03T00:00:00"/>
        <d v="2015-04-04T00:00:00"/>
        <d v="2015-04-05T00:00:00"/>
        <d v="2015-04-06T00:00:00"/>
        <d v="2015-04-07T00:00:00"/>
        <d v="2015-04-08T00:00:00"/>
        <d v="2015-04-09T00:00:00"/>
        <d v="2015-04-10T00:00:00"/>
        <d v="2015-04-11T00:00:00"/>
        <d v="2015-04-12T00:00:00"/>
        <d v="2015-04-13T00:00:00"/>
        <d v="2015-04-14T00:00:00"/>
        <d v="2015-04-15T00:00:00"/>
        <d v="2015-04-16T00:00:00"/>
        <d v="2015-04-17T00:00:00"/>
        <d v="2015-04-18T00:00:00"/>
        <d v="2015-04-19T00:00:00"/>
        <d v="2015-04-20T00:00:00"/>
        <d v="2015-04-21T00:00:00"/>
        <d v="2015-04-22T00:00:00"/>
        <d v="2015-04-23T00:00:00"/>
        <d v="2015-04-24T00:00:00"/>
        <d v="2015-04-25T00:00:00"/>
        <d v="2015-04-26T00:00:00"/>
        <d v="2015-04-27T00:00:00"/>
        <d v="2015-04-28T00:00:00"/>
        <d v="2015-04-29T00:00:00"/>
        <d v="2015-04-30T00:00:00"/>
        <d v="2015-05-01T00:00:00"/>
        <d v="2015-05-02T00:00:00"/>
        <d v="2015-05-03T00:00:00"/>
        <d v="2015-05-04T00:00:00"/>
        <d v="2015-05-05T00:00:00"/>
        <d v="2015-05-06T00:00:00"/>
        <d v="2015-05-07T00:00:00"/>
        <d v="2015-05-08T00:00:00"/>
        <d v="2015-05-09T00:00:00"/>
        <d v="2015-05-10T00:00:00"/>
        <d v="2015-05-11T00:00:00"/>
        <d v="2015-05-12T00:00:00"/>
        <d v="2015-05-13T00:00:00"/>
        <d v="2015-05-14T00:00:00"/>
        <d v="2015-05-15T00:00:00"/>
        <d v="2015-05-16T00:00:00"/>
        <d v="2015-05-17T00:00:00"/>
        <d v="2015-05-18T00:00:00"/>
        <d v="2015-05-19T00:00:00"/>
        <d v="2015-05-20T00:00:00"/>
        <d v="2015-05-21T00:00:00"/>
        <d v="2015-05-22T00:00:00"/>
        <d v="2015-05-23T00:00:00"/>
        <d v="2015-05-24T00:00:00"/>
        <d v="2015-05-25T00:00:00"/>
        <d v="2015-05-26T00:00:00"/>
        <d v="2015-05-27T00:00:00"/>
        <d v="2015-05-28T00:00:00"/>
        <d v="2015-05-29T00:00:00"/>
        <d v="2015-05-30T00:00:00"/>
        <d v="2015-05-31T00:00:00"/>
        <d v="2015-06-01T00:00:00"/>
        <d v="2015-06-02T00:00:00"/>
        <d v="2015-06-03T00:00:00"/>
        <d v="2015-06-04T00:00:00"/>
        <d v="2015-06-05T00:00:00"/>
        <d v="2015-06-06T00:00:00"/>
        <d v="2015-06-07T00:00:00"/>
        <d v="2015-06-08T00:00:00"/>
        <d v="2015-06-09T00:00:00"/>
        <d v="2015-06-10T00:00:00"/>
        <d v="2015-06-11T00:00:00"/>
        <d v="2015-06-12T00:00:00"/>
        <d v="2015-06-13T00:00:00"/>
        <d v="2015-06-14T00:00:00"/>
        <d v="2015-06-15T00:00:00"/>
        <d v="2015-06-16T00:00:00"/>
        <d v="2015-06-17T00:00:00"/>
        <d v="2015-06-18T00:00:00"/>
        <d v="2015-06-19T00:00:00"/>
        <d v="2015-06-20T00:00:00"/>
        <d v="2015-06-21T00:00:00"/>
        <d v="2015-06-22T00:00:00"/>
        <d v="2015-06-23T00:00:00"/>
        <d v="2015-06-24T00:00:00"/>
        <d v="2015-06-25T00:00:00"/>
        <d v="2015-06-26T00:00:00"/>
        <d v="2015-06-27T00:00:00"/>
        <d v="2015-06-28T00:00:00"/>
        <d v="2015-06-29T00:00:00"/>
        <d v="2015-06-30T00:00:00"/>
        <d v="2015-07-01T00:00:00"/>
        <d v="2015-07-02T00:00:00"/>
        <d v="2015-07-03T00:00:00"/>
        <d v="2015-07-04T00:00:00"/>
        <d v="2015-07-05T00:00:00"/>
        <d v="2015-07-06T00:00:00"/>
        <d v="2015-07-07T00:00:00"/>
        <d v="2015-07-08T00:00:00"/>
        <d v="2015-07-09T00:00:00"/>
        <d v="2015-07-10T00:00:00"/>
        <d v="2015-07-11T00:00:00"/>
        <d v="2015-07-12T00:00:00"/>
        <d v="2015-07-13T00:00:00"/>
        <d v="2015-07-14T00:00:00"/>
        <d v="2015-07-15T00:00:00"/>
        <d v="2015-07-16T00:00:00"/>
        <d v="2015-07-17T00:00:00"/>
        <d v="2015-07-18T00:00:00"/>
        <d v="2015-07-19T00:00:00"/>
        <d v="2015-07-20T00:00:00"/>
        <d v="2015-07-21T00:00:00"/>
        <d v="2015-07-22T00:00:00"/>
        <d v="2015-07-23T00:00:00"/>
        <d v="2015-07-24T00:00:00"/>
        <d v="2015-07-25T00:00:00"/>
        <d v="2015-07-26T00:00:00"/>
        <d v="2015-07-27T00:00:00"/>
        <d v="2015-07-28T00:00:00"/>
        <d v="2015-07-29T00:00:00"/>
        <d v="2015-07-30T00:00:00"/>
        <d v="2015-07-31T00:00:00"/>
        <d v="2015-08-01T00:00:00"/>
        <d v="2015-08-02T00:00:00"/>
        <d v="2015-08-03T00:00:00"/>
        <d v="2015-08-04T00:00:00"/>
        <d v="2015-08-05T00:00:00"/>
        <d v="2015-08-06T00:00:00"/>
        <d v="2015-08-07T00:00:00"/>
        <d v="2015-08-08T00:00:00"/>
        <d v="2015-08-09T00:00:00"/>
        <d v="2015-08-10T00:00:00"/>
        <d v="2015-08-11T00:00:00"/>
        <d v="2015-08-12T00:00:00"/>
        <d v="2015-08-13T00:00:00"/>
        <d v="2015-08-14T00:00:00"/>
        <d v="2015-08-15T00:00:00"/>
        <d v="2015-08-16T00:00:00"/>
        <d v="2015-08-17T00:00:00"/>
        <d v="2015-08-18T00:00:00"/>
        <d v="2015-08-19T00:00:00"/>
        <d v="2015-08-20T00:00:00"/>
        <d v="2015-08-21T00:00:00"/>
        <d v="2015-08-22T00:00:00"/>
        <d v="2015-08-23T00:00:00"/>
        <d v="2015-08-24T00:00:00"/>
        <d v="2015-08-25T00:00:00"/>
        <d v="2015-08-26T00:00:00"/>
        <d v="2015-08-27T00:00:00"/>
        <d v="2015-08-28T00:00:00"/>
        <d v="2015-08-29T00:00:00"/>
        <d v="2015-08-30T00:00:00"/>
        <d v="2015-08-31T00:00:00"/>
        <d v="2015-09-01T00:00:00"/>
        <d v="2015-09-02T00:00:00"/>
        <d v="2015-09-03T00:00:00"/>
        <d v="2015-09-04T00:00:00"/>
        <d v="2015-09-05T00:00:00"/>
        <d v="2015-09-06T00:00:00"/>
        <d v="2015-09-07T00:00:00"/>
        <d v="2015-09-08T00:00:00"/>
        <d v="2015-09-09T00:00:00"/>
        <d v="2015-09-10T00:00:00"/>
        <d v="2015-09-11T00:00:00"/>
        <d v="2015-09-12T00:00:00"/>
        <d v="2015-09-13T00:00:00"/>
        <d v="2015-09-14T00:00:00"/>
        <d v="2015-09-15T00:00:00"/>
        <d v="2015-09-16T00:00:00"/>
        <d v="2015-09-17T00:00:00"/>
        <d v="2015-09-18T00:00:00"/>
        <d v="2015-09-19T00:00:00"/>
        <d v="2015-09-20T00:00:00"/>
        <d v="2015-09-21T00:00:00"/>
        <d v="2015-09-22T00:00:00"/>
        <d v="2015-09-23T00:00:00"/>
        <d v="2015-09-24T00:00:00"/>
        <d v="2015-09-25T00:00:00"/>
        <d v="2015-09-26T00:00:00"/>
        <d v="2015-09-27T00:00:00"/>
        <d v="2015-09-28T00:00:00"/>
        <d v="2015-09-29T00:00:00"/>
        <d v="2015-09-30T00:00:00"/>
        <d v="2015-10-01T00:00:00"/>
        <d v="2015-10-02T00:00:00"/>
        <d v="2015-10-03T00:00:00"/>
        <d v="2015-10-04T00:00:00"/>
        <d v="2015-10-05T00:00:00"/>
        <d v="2015-10-06T00:00:00"/>
        <d v="2015-10-07T00:00:00"/>
        <d v="2015-10-08T00:00:00"/>
        <d v="2015-10-09T00:00:00"/>
        <d v="2015-10-10T00:00:00"/>
        <d v="2015-10-11T00:00:00"/>
        <d v="2015-10-12T00:00:00"/>
        <d v="2015-10-13T00:00:00"/>
        <d v="2015-10-14T00:00:00"/>
        <d v="2015-10-15T00:00:00"/>
        <d v="2015-10-16T00:00:00"/>
        <d v="2015-10-17T00:00:00"/>
        <d v="2015-10-18T00:00:00"/>
        <d v="2015-10-19T00:00:00"/>
        <d v="2015-10-20T00:00:00"/>
        <d v="2015-10-21T00:00:00"/>
        <d v="2015-10-22T00:00:00"/>
        <d v="2015-10-23T00:00:00"/>
        <d v="2015-10-24T00:00:00"/>
        <d v="2015-10-25T00:00:00"/>
        <d v="2015-10-26T00:00:00"/>
        <d v="2015-10-27T00:00:00"/>
        <d v="2015-10-28T00:00:00"/>
        <d v="2015-10-29T00:00:00"/>
        <d v="2015-10-30T00:00:00"/>
        <d v="2015-10-31T00:00:00"/>
        <d v="2015-11-01T00:00:00"/>
        <d v="2015-11-02T00:00:00"/>
        <d v="2015-11-03T00:00:00"/>
        <d v="2015-11-04T00:00:00"/>
        <d v="2015-11-05T00:00:00"/>
        <d v="2015-11-06T00:00:00"/>
        <d v="2015-11-07T00:00:00"/>
        <d v="2015-11-08T00:00:00"/>
        <d v="2015-11-09T00:00:00"/>
        <d v="2015-11-10T00:00:00"/>
        <d v="2015-11-11T00:00:00"/>
        <d v="2015-11-12T00:00:00"/>
        <d v="2015-11-13T00:00:00"/>
        <d v="2015-11-14T00:00:00"/>
        <d v="2015-11-15T00:00:00"/>
        <d v="2015-11-16T00:00:00"/>
        <d v="2015-11-17T00:00:00"/>
        <d v="2015-11-18T00:00:00"/>
        <d v="2015-11-19T00:00:00"/>
        <d v="2015-11-20T00:00:00"/>
        <d v="2015-11-21T00:00:00"/>
        <d v="2015-11-22T00:00:00"/>
        <d v="2015-11-23T00:00:00"/>
        <d v="2015-11-24T00:00:00"/>
        <d v="2015-11-25T00:00:00"/>
        <d v="2015-11-26T00:00:00"/>
        <d v="2015-11-27T00:00:00"/>
        <d v="2015-11-28T00:00:00"/>
        <d v="2015-11-29T00:00:00"/>
        <d v="2015-11-30T00:00:00"/>
        <d v="2015-12-01T00:00:00"/>
        <d v="2015-12-02T00:00:00"/>
        <d v="2015-12-03T00:00:00"/>
        <d v="2015-12-04T00:00:00"/>
        <d v="2015-12-05T00:00:00"/>
        <d v="2015-12-06T00:00:00"/>
        <d v="2015-12-07T00:00:00"/>
        <d v="2015-12-08T00:00:00"/>
        <d v="2015-12-09T00:00:00"/>
        <d v="2015-12-10T00:00:00"/>
        <d v="2015-12-11T00:00:00"/>
        <d v="2015-12-12T00:00:00"/>
        <d v="2015-12-13T00:00:00"/>
        <d v="2015-12-14T00:00:00"/>
        <d v="2015-12-15T00:00:00"/>
        <d v="2015-12-16T00:00:00"/>
        <d v="2015-12-17T00:00:00"/>
        <d v="2015-12-18T00:00:00"/>
        <d v="2015-12-19T00:00:00"/>
        <d v="2015-12-20T00:00:00"/>
        <d v="2015-12-21T00:00:00"/>
        <d v="2015-12-22T00:00:00"/>
        <d v="2015-12-23T00:00:00"/>
        <d v="2015-12-24T00:00:00"/>
        <d v="2015-12-25T00:00:00"/>
        <d v="2015-12-26T00:00:00"/>
        <d v="2015-12-27T00:00:00"/>
        <d v="2015-12-28T00:00:00"/>
        <d v="2015-12-29T00:00:00"/>
        <d v="2015-12-30T00:00:00"/>
        <d v="2015-12-31T00:00:00"/>
        <d v="2016-01-01T00:00:00"/>
        <d v="2016-01-02T00:00:00"/>
        <d v="2016-01-03T00:00:00"/>
        <d v="2016-01-04T00:00:00"/>
        <d v="2016-01-05T00:00:00"/>
        <d v="2016-01-06T00:00:00"/>
        <d v="2016-01-07T00:00:00"/>
        <d v="2016-01-08T00:00:00"/>
        <d v="2016-01-09T00:00:00"/>
        <d v="2016-01-10T00:00:00"/>
        <d v="2016-01-11T00:00:00"/>
        <d v="2016-01-12T00:00:00"/>
        <d v="2016-01-13T00:00:00"/>
        <d v="2016-01-14T00:00:00"/>
        <d v="2016-01-15T00:00:00"/>
        <d v="2016-01-16T00:00:00"/>
        <d v="2016-01-17T00:00:00"/>
        <d v="2016-01-18T00:00:00"/>
        <d v="2016-01-19T00:00:00"/>
        <d v="2016-01-20T00:00:00"/>
        <d v="2016-01-21T00:00:00"/>
        <d v="2016-01-22T00:00:00"/>
        <d v="2016-01-23T00:00:00"/>
        <d v="2016-01-24T00:00:00"/>
        <d v="2016-01-25T00:00:00"/>
        <d v="2016-01-26T00:00:00"/>
        <d v="2016-01-27T00:00:00"/>
        <d v="2016-01-28T00:00:00"/>
        <d v="2016-01-29T00:00:00"/>
        <d v="2016-01-30T00:00:00"/>
        <d v="2016-01-31T00:00:00"/>
        <d v="2016-02-01T00:00:00"/>
        <d v="2016-02-02T00:00:00"/>
        <d v="2016-02-03T00:00:00"/>
        <d v="2016-02-04T00:00:00"/>
        <d v="2016-02-05T00:00:00"/>
        <d v="2016-02-06T00:00:00"/>
        <d v="2016-02-07T00:00:00"/>
        <d v="2016-02-08T00:00:00"/>
        <d v="2016-02-09T00:00:00"/>
        <d v="2016-02-10T00:00:00"/>
        <d v="2016-02-11T00:00:00"/>
        <d v="2016-02-12T00:00:00"/>
        <d v="2016-02-13T00:00:00"/>
        <d v="2016-02-14T00:00:00"/>
        <d v="2016-02-15T00:00:00"/>
        <d v="2016-02-16T00:00:00"/>
        <d v="2016-02-17T00:00:00"/>
        <d v="2016-02-18T00:00:00"/>
        <d v="2016-02-19T00:00:00"/>
        <d v="2016-02-20T00:00:00"/>
        <d v="2016-02-21T00:00:00"/>
        <d v="2016-02-22T00:00:00"/>
        <d v="2016-02-23T00:00:00"/>
        <d v="2016-02-24T00:00:00"/>
        <d v="2016-02-25T00:00:00"/>
        <d v="2016-02-26T00:00:00"/>
        <d v="2016-02-27T00:00:00"/>
        <d v="2016-02-28T00:00:00"/>
        <d v="2016-02-29T00:00:00"/>
        <d v="2016-03-01T00:00:00"/>
        <d v="2016-03-02T00:00:00"/>
        <d v="2016-03-03T00:00:00"/>
        <d v="2016-03-04T00:00:00"/>
        <d v="2016-03-05T00:00:00"/>
        <d v="2016-03-06T00:00:00"/>
        <d v="2016-03-07T00:00:00"/>
        <d v="2016-03-08T00:00:00"/>
        <d v="2016-03-09T00:00:00"/>
        <d v="2016-03-10T00:00:00"/>
        <d v="2016-03-11T00:00:00"/>
        <d v="2016-03-12T00:00:00"/>
        <d v="2016-03-13T00:00:00"/>
        <d v="2016-03-14T00:00:00"/>
        <d v="2016-03-15T00:00:00"/>
        <d v="2016-03-16T00:00:00"/>
        <d v="2016-03-17T00:00:00"/>
        <d v="2016-03-18T00:00:00"/>
        <d v="2016-03-19T00:00:00"/>
        <d v="2016-03-20T00:00:00"/>
        <d v="2016-03-21T00:00:00"/>
        <d v="2016-03-22T00:00:00"/>
        <d v="2016-03-23T00:00:00"/>
        <d v="2016-03-24T00:00:00"/>
        <d v="2016-03-25T00:00:00"/>
        <d v="2016-03-26T00:00:00"/>
        <d v="2016-03-27T00:00:00"/>
        <d v="2016-03-28T00:00:00"/>
        <d v="2016-03-29T00:00:00"/>
        <d v="2016-03-30T00:00:00"/>
        <d v="2016-03-31T00:00:00"/>
        <d v="2016-04-01T00:00:00"/>
        <d v="2016-04-02T00:00:00"/>
        <d v="2016-04-03T00:00:00"/>
        <d v="2016-04-04T00:00:00"/>
        <d v="2016-04-05T00:00:00"/>
        <d v="2016-04-06T00:00:00"/>
        <d v="2016-04-07T00:00:00"/>
        <d v="2016-04-08T00:00:00"/>
        <d v="2016-04-09T00:00:00"/>
        <d v="2016-04-10T00:00:00"/>
        <d v="2016-04-11T00:00:00"/>
        <d v="2016-04-12T00:00:00"/>
        <d v="2016-04-13T00:00:00"/>
        <d v="2016-04-14T00:00:00"/>
        <d v="2016-04-15T00:00:00"/>
        <d v="2016-04-16T00:00:00"/>
        <d v="2016-04-17T00:00:00"/>
        <d v="2016-04-18T00:00:00"/>
        <d v="2016-04-19T00:00:00"/>
        <d v="2016-04-20T00:00:00"/>
        <d v="2016-04-21T00:00:00"/>
        <d v="2016-04-22T00:00:00"/>
        <d v="2016-04-23T00:00:00"/>
        <d v="2016-04-24T00:00:00"/>
        <d v="2016-04-25T00:00:00"/>
        <d v="2016-04-26T00:00:00"/>
        <d v="2016-04-27T00:00:00"/>
        <d v="2016-04-28T00:00:00"/>
        <d v="2016-04-29T00:00:00"/>
        <d v="2016-04-30T00:00:00"/>
        <d v="2016-05-01T00:00:00"/>
        <d v="2016-05-02T00:00:00"/>
        <d v="2016-05-03T00:00:00"/>
        <d v="2016-05-04T00:00:00"/>
        <d v="2016-05-05T00:00:00"/>
        <d v="2016-05-06T00:00:00"/>
        <d v="2016-05-07T00:00:00"/>
        <d v="2016-05-08T00:00:00"/>
        <d v="2016-05-09T00:00:00"/>
        <d v="2016-05-10T00:00:00"/>
        <d v="2016-05-11T00:00:00"/>
        <d v="2016-05-12T00:00:00"/>
        <d v="2016-05-13T00:00:00"/>
        <d v="2016-05-14T00:00:00"/>
        <d v="2016-05-15T00:00:00"/>
        <d v="2016-05-16T00:00:00"/>
        <d v="2016-05-17T00:00:00"/>
        <d v="2016-05-18T00:00:00"/>
        <d v="2016-05-19T00:00:00"/>
        <d v="2016-05-20T00:00:00"/>
        <d v="2016-05-21T00:00:00"/>
        <d v="2016-05-22T00:00:00"/>
        <d v="2016-05-23T00:00:00"/>
        <d v="2016-05-24T00:00:00"/>
        <d v="2016-05-25T00:00:00"/>
        <d v="2016-05-26T00:00:00"/>
        <d v="2016-05-27T00:00:00"/>
        <d v="2016-05-28T00:00:00"/>
        <d v="2016-05-29T00:00:00"/>
        <d v="2016-05-30T00:00:00"/>
        <d v="2016-05-31T00:00:00"/>
        <d v="2016-06-01T00:00:00"/>
        <d v="2016-06-02T00:00:00"/>
        <d v="2016-06-03T00:00:00"/>
        <d v="2016-06-04T00:00:00"/>
        <d v="2016-06-05T00:00:00"/>
        <d v="2016-06-06T00:00:00"/>
        <d v="2016-06-07T00:00:00"/>
        <d v="2016-06-08T00:00:00"/>
        <d v="2016-06-09T00:00:00"/>
        <d v="2016-06-10T00:00:00"/>
        <d v="2016-06-11T00:00:00"/>
        <d v="2016-06-12T00:00:00"/>
        <d v="2016-06-13T00:00:00"/>
        <d v="2016-06-14T00:00:00"/>
        <d v="2016-06-15T00:00:00"/>
        <d v="2016-06-16T00:00:00"/>
        <d v="2016-06-17T00:00:00"/>
        <d v="2016-06-18T00:00:00"/>
        <d v="2016-06-19T00:00:00"/>
        <d v="2016-06-20T00:00:00"/>
        <d v="2016-06-21T00:00:00"/>
        <d v="2016-06-22T00:00:00"/>
        <d v="2016-06-23T00:00:00"/>
        <d v="2016-06-24T00:00:00"/>
        <d v="2016-06-25T00:00:00"/>
        <d v="2016-06-26T00:00:00"/>
        <d v="2016-06-27T00:00:00"/>
        <d v="2016-06-28T00:00:00"/>
        <d v="2016-06-29T00:00:00"/>
        <d v="2016-06-30T00:00:00"/>
        <d v="2016-07-01T00:00:00"/>
        <d v="2016-07-02T00:00:00"/>
        <d v="2016-07-03T00:00:00"/>
        <d v="2016-07-04T00:00:00"/>
        <d v="2016-07-05T00:00:00"/>
        <d v="2016-07-06T00:00:00"/>
        <d v="2016-07-07T00:00:00"/>
        <d v="2016-07-08T00:00:00"/>
        <d v="2016-07-09T00:00:00"/>
        <d v="2016-07-10T00:00:00"/>
        <d v="2016-07-11T00:00:00"/>
        <d v="2016-07-12T00:00:00"/>
        <d v="2016-07-13T00:00:00"/>
        <d v="2016-07-14T00:00:00"/>
        <d v="2016-07-15T00:00:00"/>
        <d v="2016-07-16T00:00:00"/>
        <d v="2016-07-17T00:00:00"/>
        <d v="2016-07-18T00:00:00"/>
        <d v="2016-07-19T00:00:00"/>
        <d v="2016-07-20T00:00:00"/>
        <d v="2016-07-21T00:00:00"/>
        <d v="2016-07-22T00:00:00"/>
        <d v="2016-07-23T00:00:00"/>
        <d v="2016-07-24T00:00:00"/>
        <d v="2016-07-25T00:00:00"/>
        <d v="2016-07-26T00:00:00"/>
        <d v="2016-07-27T00:00:00"/>
        <d v="2016-07-28T00:00:00"/>
        <d v="2016-07-29T00:00:00"/>
        <d v="2016-07-30T00:00:00"/>
        <d v="2016-07-31T00:00:00"/>
        <d v="2016-08-01T00:00:00"/>
        <d v="2016-08-02T00:00:00"/>
        <d v="2016-08-03T00:00:00"/>
        <d v="2016-08-04T00:00:00"/>
        <d v="2016-08-05T00:00:00"/>
        <d v="2016-08-06T00:00:00"/>
        <d v="2016-08-07T00:00:00"/>
        <d v="2016-08-08T00:00:00"/>
        <d v="2016-08-09T00:00:00"/>
        <d v="2016-08-10T00:00:00"/>
        <d v="2016-08-11T00:00:00"/>
        <d v="2016-08-12T00:00:00"/>
        <d v="2016-08-13T00:00:00"/>
        <d v="2016-08-14T00:00:00"/>
        <d v="2016-08-15T00:00:00"/>
        <d v="2016-08-16T00:00:00"/>
        <d v="2016-08-17T00:00:00"/>
        <d v="2016-08-18T00:00:00"/>
        <d v="2016-08-19T00:00:00"/>
        <d v="2016-08-20T00:00:00"/>
        <d v="2016-08-21T00:00:00"/>
        <d v="2016-08-22T00:00:00"/>
        <d v="2016-08-23T00:00:00"/>
        <d v="2016-08-24T00:00:00"/>
        <d v="2016-08-25T00:00:00"/>
        <d v="2016-08-26T00:00:00"/>
        <d v="2016-08-27T00:00:00"/>
        <d v="2016-08-28T00:00:00"/>
        <d v="2016-08-29T00:00:00"/>
        <d v="2016-08-30T00:00:00"/>
        <d v="2016-08-31T00:00:00"/>
        <d v="2016-09-01T00:00:00"/>
        <d v="2016-09-02T00:00:00"/>
        <d v="2016-09-03T00:00:00"/>
        <d v="2016-09-04T00:00:00"/>
        <d v="2016-09-05T00:00:00"/>
        <d v="2016-09-06T00:00:00"/>
        <d v="2016-09-07T00:00:00"/>
        <d v="2016-09-08T00:00:00"/>
        <d v="2016-09-09T00:00:00"/>
        <d v="2016-09-10T00:00:00"/>
        <d v="2016-09-11T00:00:00"/>
        <d v="2016-09-12T00:00:00"/>
        <d v="2016-09-13T00:00:00"/>
        <d v="2016-09-14T00:00:00"/>
        <d v="2016-09-15T00:00:00"/>
        <d v="2016-09-16T00:00:00"/>
        <d v="2016-09-17T00:00:00"/>
        <d v="2016-09-18T00:00:00"/>
        <d v="2016-09-19T00:00:00"/>
        <d v="2016-09-20T00:00:00"/>
        <d v="2016-09-21T00:00:00"/>
        <d v="2016-09-22T00:00:00"/>
        <d v="2016-09-23T00:00:00"/>
        <d v="2016-09-24T00:00:00"/>
        <d v="2016-09-25T00:00:00"/>
        <d v="2016-09-26T00:00:00"/>
        <d v="2016-09-27T00:00:00"/>
        <d v="2016-09-28T00:00:00"/>
        <d v="2016-09-29T00:00:00"/>
        <d v="2016-09-30T00:00:00"/>
        <d v="2016-10-01T00:00:00"/>
        <d v="2016-10-02T00:00:00"/>
        <d v="2016-10-03T00:00:00"/>
        <d v="2016-10-04T00:00:00"/>
        <d v="2016-10-05T00:00:00"/>
        <d v="2016-10-06T00:00:00"/>
        <d v="2016-10-07T00:00:00"/>
        <d v="2016-10-08T00:00:00"/>
        <d v="2016-10-09T00:00:00"/>
        <d v="2016-10-10T00:00:00"/>
        <d v="2016-10-11T00:00:00"/>
        <d v="2016-10-12T00:00:00"/>
        <d v="2016-10-13T00:00:00"/>
        <d v="2016-10-14T00:00:00"/>
        <d v="2016-10-15T00:00:00"/>
        <d v="2016-10-16T00:00:00"/>
        <d v="2016-10-17T00:00:00"/>
        <d v="2016-10-18T00:00:00"/>
        <d v="2016-10-19T00:00:00"/>
        <d v="2016-10-20T00:00:00"/>
        <d v="2016-10-21T00:00:00"/>
        <d v="2016-10-22T00:00:00"/>
        <d v="2016-10-23T00:00:00"/>
        <d v="2016-10-24T00:00:00"/>
        <d v="2016-10-25T00:00:00"/>
        <d v="2016-10-26T00:00:00"/>
        <d v="2016-10-27T00:00:00"/>
        <d v="2016-10-28T00:00:00"/>
        <d v="2016-10-29T00:00:00"/>
        <d v="2016-10-30T00:00:00"/>
        <d v="2016-10-31T00:00:00"/>
        <d v="2016-11-01T00:00:00"/>
        <d v="2016-11-02T00:00:00"/>
        <d v="2016-11-03T00:00:00"/>
        <d v="2016-11-04T00:00:00"/>
        <d v="2016-11-05T00:00:00"/>
        <d v="2016-11-06T00:00:00"/>
        <d v="2016-11-07T00:00:00"/>
        <d v="2016-11-08T00:00:00"/>
        <d v="2016-11-09T00:00:00"/>
        <d v="2016-11-10T00:00:00"/>
        <d v="2016-11-11T00:00:00"/>
        <d v="2016-11-12T00:00:00"/>
        <d v="2016-11-13T00:00:00"/>
        <d v="2016-11-14T00:00:00"/>
        <d v="2016-11-15T00:00:00"/>
        <d v="2016-11-16T00:00:00"/>
        <d v="2016-11-17T00:00:00"/>
        <d v="2016-11-18T00:00:00"/>
        <d v="2016-11-19T00:00:00"/>
        <d v="2016-11-20T00:00:00"/>
        <d v="2016-11-21T00:00:00"/>
        <d v="2016-11-22T00:00:00"/>
        <d v="2016-11-23T00:00:00"/>
        <d v="2016-11-24T00:00:00"/>
        <d v="2016-11-25T00:00:00"/>
        <d v="2016-11-26T00:00:00"/>
        <d v="2016-11-27T00:00:00"/>
        <d v="2016-11-28T00:00:00"/>
        <d v="2016-11-29T00:00:00"/>
        <d v="2016-11-30T00:00:00"/>
        <d v="2016-12-01T00:00:00"/>
        <d v="2016-12-02T00:00:00"/>
        <d v="2016-12-03T00:00:00"/>
        <d v="2016-12-04T00:00:00"/>
        <d v="2016-12-05T00:00:00"/>
        <d v="2016-12-06T00:00:00"/>
        <d v="2016-12-07T00:00:00"/>
        <d v="2016-12-08T00:00:00"/>
        <d v="2016-12-09T00:00:00"/>
        <d v="2016-12-10T00:00:00"/>
        <d v="2016-12-11T00:00:00"/>
        <d v="2016-12-12T00:00:00"/>
        <d v="2016-12-13T00:00:00"/>
        <d v="2016-12-14T00:00:00"/>
        <d v="2016-12-15T00:00:00"/>
        <d v="2016-12-16T00:00:00"/>
        <d v="2016-12-17T00:00:00"/>
        <d v="2016-12-18T00:00:00"/>
        <d v="2016-12-19T00:00:00"/>
        <d v="2016-12-20T00:00:00"/>
        <d v="2016-12-21T00:00:00"/>
        <d v="2016-12-22T00:00:00"/>
        <d v="2016-12-23T00:00:00"/>
        <d v="2016-12-24T00:00:00"/>
        <d v="2016-12-25T00:00:00"/>
        <d v="2016-12-26T00:00:00"/>
        <d v="2016-12-27T00:00:00"/>
        <d v="2016-12-28T00:00:00"/>
        <d v="2016-12-29T00:00:00"/>
        <d v="2016-12-30T00:00:00"/>
        <d v="2016-12-31T00:00:00"/>
        <d v="2017-01-01T00:00:00"/>
        <d v="2017-01-02T00:00:00"/>
        <d v="2017-01-03T00:00:00"/>
        <d v="2017-01-04T00:00:00"/>
        <d v="2017-01-05T00:00:00"/>
        <d v="2017-01-06T00:00:00"/>
        <d v="2017-01-07T00:00:00"/>
        <d v="2017-01-08T00:00:00"/>
        <d v="2017-01-09T00:00:00"/>
        <d v="2017-01-10T00:00:00"/>
        <d v="2017-01-11T00:00:00"/>
        <d v="2017-01-12T00:00:00"/>
        <d v="2017-01-13T00:00:00"/>
        <d v="2017-01-14T00:00:00"/>
        <d v="2017-01-15T00:00:00"/>
        <d v="2017-01-16T00:00:00"/>
        <d v="2017-01-17T00:00:00"/>
        <d v="2017-01-18T00:00:00"/>
        <d v="2017-01-19T00:00:00"/>
        <d v="2017-01-20T00:00:00"/>
        <d v="2017-01-21T00:00:00"/>
        <d v="2017-01-22T00:00:00"/>
        <d v="2017-01-23T00:00:00"/>
        <d v="2017-01-24T00:00:00"/>
        <d v="2017-01-25T00:00:00"/>
        <d v="2017-01-26T00:00:00"/>
        <d v="2017-01-27T00:00:00"/>
        <d v="2017-01-28T00:00:00"/>
        <d v="2017-01-29T00:00:00"/>
        <d v="2017-01-30T00:00:00"/>
        <d v="2017-01-31T00:00:00"/>
        <d v="2017-02-01T00:00:00"/>
        <d v="2017-02-02T00:00:00"/>
        <d v="2017-02-03T00:00:00"/>
        <d v="2017-02-04T00:00:00"/>
        <d v="2017-02-05T00:00:00"/>
        <d v="2017-02-06T00:00:00"/>
        <d v="2017-02-07T00:00:00"/>
        <d v="2017-02-08T00:00:00"/>
        <d v="2017-02-09T00:00:00"/>
        <d v="2017-02-10T00:00:00"/>
        <d v="2017-02-11T00:00:00"/>
        <d v="2017-02-12T00:00:00"/>
        <d v="2017-02-13T00:00:00"/>
        <d v="2017-02-14T00:00:00"/>
        <d v="2017-02-15T00:00:00"/>
        <d v="2017-02-16T00:00:00"/>
        <d v="2017-02-17T00:00:00"/>
        <d v="2017-02-18T00:00:00"/>
        <d v="2017-02-19T00:00:00"/>
        <d v="2017-02-20T00:00:00"/>
        <d v="2017-02-21T00:00:00"/>
        <d v="2017-02-22T00:00:00"/>
        <d v="2017-02-23T00:00:00"/>
        <d v="2017-02-24T00:00:00"/>
        <d v="2017-02-25T00:00:00"/>
        <d v="2017-02-26T00:00:00"/>
        <d v="2017-02-27T00:00:00"/>
        <d v="2017-02-28T00:00:00"/>
        <d v="2017-03-01T00:00:00"/>
        <d v="2017-03-02T00:00:00"/>
        <d v="2017-03-03T00:00:00"/>
        <d v="2017-03-04T00:00:00"/>
        <d v="2017-03-05T00:00:00"/>
        <d v="2017-03-06T00:00:00"/>
        <d v="2017-03-07T00:00:00"/>
        <d v="2017-03-08T00:00:00"/>
        <d v="2017-03-09T00:00:00"/>
        <d v="2017-03-10T00:00:00"/>
        <d v="2017-03-11T00:00:00"/>
        <d v="2017-03-12T00:00:00"/>
        <d v="2017-03-13T00:00:00"/>
        <d v="2017-03-14T00:00:00"/>
        <d v="2017-03-15T00:00:00"/>
        <d v="2017-03-16T00:00:00"/>
        <d v="2017-03-17T00:00:00"/>
        <d v="2017-03-18T00:00:00"/>
        <d v="2017-03-19T00:00:00"/>
        <d v="2017-03-20T00:00:00"/>
        <d v="2017-03-21T00:00:00"/>
        <d v="2017-03-22T00:00:00"/>
        <d v="2017-03-23T00:00:00"/>
        <d v="2017-03-24T00:00:00"/>
        <d v="2017-03-25T00:00:00"/>
        <d v="2017-03-26T00:00:00"/>
        <d v="2017-03-27T00:00:00"/>
        <d v="2017-03-28T00:00:00"/>
        <d v="2017-03-29T00:00:00"/>
        <d v="2017-03-30T00:00:00"/>
        <d v="2017-03-31T00:00:00"/>
        <d v="2017-04-01T00:00:00"/>
        <d v="2017-04-02T00:00:00"/>
        <d v="2017-04-03T00:00:00"/>
        <d v="2017-04-04T00:00:00"/>
        <d v="2017-04-05T00:00:00"/>
        <d v="2017-04-06T00:00:00"/>
        <d v="2017-04-07T00:00:00"/>
        <d v="2017-04-08T00:00:00"/>
        <d v="2017-04-09T00:00:00"/>
        <d v="2017-04-10T00:00:00"/>
        <d v="2017-04-11T00:00:00"/>
        <d v="2017-04-12T00:00:00"/>
        <d v="2017-04-13T00:00:00"/>
        <d v="2017-04-14T00:00:00"/>
        <d v="2017-04-15T00:00:00"/>
        <d v="2017-04-16T00:00:00"/>
        <d v="2017-04-17T00:00:00"/>
        <d v="2017-04-18T00:00:00"/>
        <d v="2017-04-19T00:00:00"/>
        <d v="2017-04-20T00:00:00"/>
        <d v="2017-04-21T00:00:00"/>
        <d v="2017-04-22T00:00:00"/>
        <d v="2017-04-23T00:00:00"/>
        <d v="2017-04-24T00:00:00"/>
        <d v="2017-04-25T00:00:00"/>
        <d v="2017-04-26T00:00:00"/>
        <d v="2017-04-27T00:00:00"/>
        <d v="2017-04-28T00:00:00"/>
        <d v="2017-04-29T00:00:00"/>
        <d v="2017-04-30T00:00:00"/>
        <d v="2017-05-01T00:00:00"/>
        <d v="2017-05-02T00:00:00"/>
        <d v="2017-05-03T00:00:00"/>
        <d v="2017-05-04T00:00:00"/>
        <d v="2017-05-05T00:00:00"/>
        <d v="2017-05-06T00:00:00"/>
        <d v="2017-05-07T00:00:00"/>
        <d v="2017-05-08T00:00:00"/>
        <d v="2017-05-09T00:00:00"/>
        <d v="2017-05-10T00:00:00"/>
        <d v="2017-05-11T00:00:00"/>
        <d v="2017-05-12T00:00:00"/>
        <d v="2017-05-13T00:00:00"/>
        <d v="2017-05-14T00:00:00"/>
        <d v="2017-05-15T00:00:00"/>
        <d v="2017-05-16T00:00:00"/>
        <d v="2017-05-17T00:00:00"/>
        <d v="2017-05-18T00:00:00"/>
        <d v="2017-05-19T00:00:00"/>
        <d v="2017-05-20T00:00:00"/>
        <d v="2017-05-21T00:00:00"/>
        <d v="2017-05-22T00:00:00"/>
        <d v="2017-05-23T00:00:00"/>
        <d v="2017-05-24T00:00:00"/>
        <d v="2017-05-25T00:00:00"/>
        <d v="2017-05-26T00:00:00"/>
        <d v="2017-05-27T00:00:00"/>
        <d v="2017-05-28T00:00:00"/>
        <d v="2017-05-29T00:00:00"/>
        <d v="2017-05-30T00:00:00"/>
        <d v="2017-05-31T00:00:00"/>
        <d v="2017-06-01T00:00:00"/>
        <d v="2017-06-02T00:00:00"/>
        <d v="2017-06-03T00:00:00"/>
        <d v="2017-06-04T00:00:00"/>
        <d v="2017-06-05T00:00:00"/>
        <d v="2017-06-06T00:00:00"/>
        <d v="2017-06-07T00:00:00"/>
        <d v="2017-06-08T00:00:00"/>
        <d v="2017-06-09T00:00:00"/>
        <d v="2017-06-10T00:00:00"/>
        <d v="2017-06-11T00:00:00"/>
        <d v="2017-06-12T00:00:00"/>
        <d v="2017-06-13T00:00:00"/>
        <d v="2017-06-14T00:00:00"/>
        <d v="2017-06-15T00:00:00"/>
        <d v="2017-06-16T00:00:00"/>
        <d v="2017-06-17T00:00:00"/>
        <d v="2017-06-18T00:00:00"/>
        <d v="2017-06-19T00:00:00"/>
        <d v="2017-06-20T00:00:00"/>
        <d v="2017-06-21T00:00:00"/>
        <d v="2017-06-22T00:00:00"/>
        <d v="2017-06-23T00:00:00"/>
        <d v="2017-06-24T00:00:00"/>
        <d v="2017-06-25T00:00:00"/>
        <d v="2017-06-26T00:00:00"/>
        <d v="2017-06-27T00:00:00"/>
        <d v="2017-06-28T00:00:00"/>
        <d v="2017-06-29T00:00:00"/>
        <d v="2017-06-30T00:00:00"/>
        <d v="2017-07-01T00:00:00"/>
        <d v="2017-07-02T00:00:00"/>
        <d v="2017-07-03T00:00:00"/>
        <d v="2017-07-04T00:00:00"/>
        <d v="2017-07-05T00:00:00"/>
        <d v="2017-07-06T00:00:00"/>
        <d v="2017-07-07T00:00:00"/>
        <d v="2017-07-08T00:00:00"/>
        <d v="2017-07-09T00:00:00"/>
        <d v="2017-07-10T00:00:00"/>
        <d v="2017-07-11T00:00:00"/>
        <d v="2017-07-12T00:00:00"/>
        <d v="2017-07-13T00:00:00"/>
        <d v="2017-07-14T00:00:00"/>
        <d v="2017-07-15T00:00:00"/>
        <d v="2017-07-16T00:00:00"/>
        <d v="2017-07-17T00:00:00"/>
        <d v="2017-07-18T00:00:00"/>
        <d v="2017-07-19T00:00:00"/>
        <d v="2017-07-20T00:00:00"/>
        <d v="2017-07-21T00:00:00"/>
        <d v="2017-07-22T00:00:00"/>
        <d v="2017-07-23T00:00:00"/>
        <d v="2017-07-24T00:00:00"/>
        <d v="2017-07-25T00:00:00"/>
        <d v="2017-07-26T00:00:00"/>
        <d v="2017-07-27T00:00:00"/>
        <d v="2017-07-28T00:00:00"/>
        <d v="2017-07-29T00:00:00"/>
        <d v="2017-07-30T00:00:00"/>
        <d v="2017-07-31T00:00:00"/>
        <d v="2017-08-01T00:00:00"/>
        <d v="2017-08-02T00:00:00"/>
        <d v="2017-08-03T00:00:00"/>
        <d v="2017-08-04T00:00:00"/>
        <d v="2017-08-05T00:00:00"/>
        <d v="2017-08-06T00:00:00"/>
        <d v="2017-08-07T00:00:00"/>
        <d v="2017-08-08T00:00:00"/>
        <d v="2017-08-09T00:00:00"/>
        <d v="2017-08-10T00:00:00"/>
        <d v="2017-08-11T00:00:00"/>
        <d v="2017-08-12T00:00:00"/>
        <d v="2017-08-13T00:00:00"/>
        <d v="2017-08-14T00:00:00"/>
        <d v="2017-08-15T00:00:00"/>
        <d v="2017-08-16T00:00:00"/>
        <d v="2017-08-17T00:00:00"/>
        <d v="2017-08-18T00:00:00"/>
        <d v="2017-08-19T00:00:00"/>
        <d v="2017-08-20T00:00:00"/>
        <d v="2017-08-21T00:00:00"/>
        <d v="2017-08-22T00:00:00"/>
        <d v="2017-08-23T00:00:00"/>
        <d v="2017-08-24T00:00:00"/>
        <d v="2017-08-25T00:00:00"/>
        <d v="2017-08-26T00:00:00"/>
        <d v="2017-08-27T00:00:00"/>
        <d v="2017-08-28T00:00:00"/>
        <d v="2017-08-29T00:00:00"/>
        <d v="2017-08-30T00:00:00"/>
        <d v="2017-08-31T00:00:00"/>
        <d v="2017-09-01T00:00:00"/>
        <d v="2017-09-02T00:00:00"/>
        <d v="2017-09-03T00:00:00"/>
        <d v="2017-09-04T00:00:00"/>
        <d v="2017-09-05T00:00:00"/>
        <d v="2017-09-06T00:00:00"/>
        <d v="2017-09-07T00:00:00"/>
        <d v="2017-09-08T00:00:00"/>
        <d v="2017-09-09T00:00:00"/>
        <d v="2017-09-10T00:00:00"/>
        <d v="2017-09-11T00:00:00"/>
        <d v="2017-09-12T00:00:00"/>
        <d v="2017-09-13T00:00:00"/>
        <d v="2017-09-14T00:00:00"/>
        <d v="2017-09-15T00:00:00"/>
        <d v="2017-09-16T00:00:00"/>
        <d v="2017-09-17T00:00:00"/>
        <d v="2017-09-18T00:00:00"/>
        <d v="2017-09-19T00:00:00"/>
        <d v="2017-09-20T00:00:00"/>
        <d v="2017-09-21T00:00:00"/>
        <d v="2017-09-22T00:00:00"/>
        <d v="2017-09-23T00:00:00"/>
        <d v="2017-09-24T00:00:00"/>
        <d v="2017-09-25T00:00:00"/>
        <d v="2017-09-26T00:00:00"/>
        <d v="2017-09-27T00:00:00"/>
        <d v="2017-09-28T00:00:00"/>
        <d v="2017-09-29T00:00:00"/>
        <d v="2017-09-30T00:00:00"/>
        <d v="2017-10-01T00:00:00"/>
        <d v="2017-10-02T00:00:00"/>
        <d v="2017-10-03T00:00:00"/>
        <d v="2017-10-04T00:00:00"/>
        <d v="2017-10-05T00:00:00"/>
        <d v="2017-10-06T00:00:00"/>
        <d v="2017-10-07T00:00:00"/>
        <d v="2017-10-08T00:00:00"/>
        <d v="2017-10-09T00:00:00"/>
        <d v="2017-10-10T00:00:00"/>
        <d v="2017-10-11T00:00:00"/>
        <d v="2017-10-12T00:00:00"/>
        <d v="2017-10-13T00:00:00"/>
        <d v="2017-10-14T00:00:00"/>
        <d v="2017-10-15T00:00:00"/>
        <d v="2017-10-16T00:00:00"/>
        <d v="2017-10-17T00:00:00"/>
        <d v="2017-10-18T00:00:00"/>
        <d v="2017-10-19T00:00:00"/>
        <d v="2017-10-20T00:00:00"/>
        <d v="2017-10-21T00:00:00"/>
        <d v="2017-10-22T00:00:00"/>
        <d v="2017-10-23T00:00:00"/>
        <d v="2017-10-24T00:00:00"/>
        <d v="2017-10-25T00:00:00"/>
        <d v="2017-10-26T00:00:00"/>
        <d v="2017-10-27T00:00:00"/>
        <d v="2017-10-28T00:00:00"/>
        <d v="2017-10-29T00:00:00"/>
        <d v="2017-10-30T00:00:00"/>
        <d v="2017-10-31T00:00:00"/>
        <d v="2017-11-01T00:00:00"/>
        <d v="2017-11-02T00:00:00"/>
        <d v="2017-11-03T00:00:00"/>
        <d v="2017-11-04T00:00:00"/>
        <d v="2017-11-05T00:00:00"/>
        <d v="2017-11-06T00:00:00"/>
        <d v="2017-11-07T00:00:00"/>
        <d v="2017-11-08T00:00:00"/>
        <d v="2017-11-09T00:00:00"/>
        <d v="2017-11-10T00:00:00"/>
        <d v="2017-11-11T00:00:00"/>
        <d v="2017-11-12T00:00:00"/>
        <d v="2017-11-13T00:00:00"/>
        <d v="2017-11-14T00:00:00"/>
        <d v="2017-11-15T00:00:00"/>
        <d v="2017-11-16T00:00:00"/>
        <d v="2017-11-17T00:00:00"/>
        <d v="2017-11-18T00:00:00"/>
        <d v="2017-11-19T00:00:00"/>
        <d v="2017-11-20T00:00:00"/>
        <d v="2017-11-21T00:00:00"/>
        <d v="2017-11-22T00:00:00"/>
        <d v="2017-11-23T00:00:00"/>
        <d v="2017-11-24T00:00:00"/>
        <d v="2017-11-25T00:00:00"/>
        <d v="2017-11-26T00:00:00"/>
        <d v="2017-11-27T00:00:00"/>
        <d v="2017-11-28T00:00:00"/>
        <d v="2017-11-29T00:00:00"/>
        <d v="2017-11-30T00:00:00"/>
        <d v="2017-12-01T00:00:00"/>
        <d v="2017-12-02T00:00:00"/>
        <d v="2017-12-03T00:00:00"/>
        <d v="2017-12-04T00:00:00"/>
        <d v="2017-12-05T00:00:00"/>
        <d v="2017-12-06T00:00:00"/>
        <d v="2017-12-07T00:00:00"/>
        <d v="2017-12-08T00:00:00"/>
        <d v="2017-12-09T00:00:00"/>
        <d v="2017-12-10T00:00:00"/>
        <d v="2017-12-11T00:00:00"/>
        <d v="2017-12-12T00:00:00"/>
        <d v="2017-12-13T00:00:00"/>
        <d v="2017-12-14T00:00:00"/>
        <d v="2017-12-15T00:00:00"/>
        <d v="2017-12-16T00:00:00"/>
        <d v="2017-12-17T00:00:00"/>
        <d v="2017-12-18T00:00:00"/>
        <d v="2017-12-19T00:00:00"/>
        <d v="2017-12-20T00:00:00"/>
        <d v="2017-12-21T00:00:00"/>
        <d v="2017-12-22T00:00:00"/>
        <d v="2017-12-23T00:00:00"/>
        <d v="2017-12-24T00:00:00"/>
        <d v="2017-12-25T00:00:00"/>
        <d v="2017-12-26T00:00:00"/>
        <d v="2017-12-27T00:00:00"/>
        <d v="2017-12-28T00:00:00"/>
        <d v="2017-12-29T00:00:00"/>
        <d v="2017-12-30T00:00:00"/>
        <d v="2017-12-31T00:00:00"/>
        <d v="2018-01-01T00:00:00"/>
        <d v="2018-01-02T00:00:00"/>
        <d v="2018-01-03T00:00:00"/>
        <d v="2018-01-04T00:00:00"/>
        <d v="2018-01-05T00:00:00"/>
        <d v="2018-01-06T00:00:00"/>
        <d v="2018-01-07T00:00:00"/>
        <d v="2018-01-08T00:00:00"/>
        <d v="2018-01-09T00:00:00"/>
        <d v="2018-01-10T00:00:00"/>
        <d v="2018-01-11T00:00:00"/>
        <d v="2018-01-12T00:00:00"/>
        <d v="2018-01-13T00:00:00"/>
        <d v="2018-01-14T00:00:00"/>
        <d v="2018-01-15T00:00:00"/>
        <d v="2018-01-16T00:00:00"/>
        <d v="2018-01-17T00:00:00"/>
        <d v="2018-01-18T00:00:00"/>
        <d v="2018-01-19T00:00:00"/>
        <d v="2018-01-20T00:00:00"/>
        <d v="2018-01-21T00:00:00"/>
        <d v="2018-01-22T00:00:00"/>
        <d v="2018-01-23T00:00:00"/>
        <d v="2018-01-24T00:00:00"/>
        <d v="2018-01-25T00:00:00"/>
        <d v="2018-01-26T00:00:00"/>
        <d v="2018-01-27T00:00:00"/>
        <d v="2018-01-28T00:00:00"/>
        <d v="2018-01-29T00:00:00"/>
        <d v="2018-01-30T00:00:00"/>
        <d v="2018-01-31T00:00:00"/>
        <d v="2018-02-01T00:00:00"/>
        <d v="2018-02-02T00:00:00"/>
        <d v="2018-02-03T00:00:00"/>
        <d v="2018-02-04T00:00:00"/>
        <d v="2018-02-05T00:00:00"/>
        <d v="2018-02-06T00:00:00"/>
        <d v="2018-02-07T00:00:00"/>
        <d v="2018-02-08T00:00:00"/>
        <d v="2018-02-09T00:00:00"/>
        <d v="2018-02-10T00:00:00"/>
        <d v="2018-02-11T00:00:00"/>
        <d v="2018-02-12T00:00:00"/>
        <d v="2018-02-13T00:00:00"/>
        <d v="2018-02-14T00:00:00"/>
        <d v="2018-02-15T00:00:00"/>
        <d v="2018-02-16T00:00:00"/>
        <d v="2018-02-17T00:00:00"/>
        <d v="2018-02-18T00:00:00"/>
        <d v="2018-02-19T00:00:00"/>
        <d v="2018-02-20T00:00:00"/>
        <d v="2018-02-21T00:00:00"/>
        <d v="2018-02-22T00:00:00"/>
        <d v="2018-02-23T00:00:00"/>
        <d v="2018-02-24T00:00:00"/>
        <d v="2018-02-25T00:00:00"/>
        <d v="2018-02-26T00:00:00"/>
        <d v="2018-02-27T00:00:00"/>
        <d v="2018-02-28T00:00:00"/>
        <d v="2018-03-01T00:00:00"/>
        <d v="2018-03-02T00:00:00"/>
        <d v="2018-03-03T00:00:00"/>
        <d v="2018-03-04T00:00:00"/>
        <d v="2018-03-05T00:00:00"/>
        <d v="2018-03-06T00:00:00"/>
        <d v="2018-03-07T00:00:00"/>
        <d v="2018-03-08T00:00:00"/>
        <d v="2018-03-09T00:00:00"/>
        <d v="2018-03-10T00:00:00"/>
        <d v="2018-03-11T00:00:00"/>
        <d v="2018-03-12T00:00:00"/>
        <d v="2018-03-13T00:00:00"/>
        <d v="2018-03-14T00:00:00"/>
        <d v="2018-03-15T00:00:00"/>
        <d v="2018-03-16T00:00:00"/>
        <d v="2018-03-17T00:00:00"/>
        <d v="2018-03-18T00:00:00"/>
        <d v="2018-03-19T00:00:00"/>
        <d v="2018-03-20T00:00:00"/>
        <d v="2018-03-21T00:00:00"/>
        <d v="2018-03-22T00:00:00"/>
        <d v="2018-03-23T00:00:00"/>
        <d v="2018-03-24T00:00:00"/>
        <d v="2018-03-25T00:00:00"/>
        <d v="2018-03-26T00:00:00"/>
        <d v="2018-03-27T00:00:00"/>
        <d v="2018-03-28T00:00:00"/>
        <d v="2018-03-29T00:00:00"/>
        <d v="2018-03-30T00:00:00"/>
        <d v="2018-03-31T00:00:00"/>
        <d v="2018-04-01T00:00:00"/>
        <d v="2018-04-02T00:00:00"/>
        <d v="2018-04-03T00:00:00"/>
        <d v="2018-04-04T00:00:00"/>
        <d v="2018-04-05T00:00:00"/>
        <d v="2018-04-06T00:00:00"/>
        <d v="2018-04-07T00:00:00"/>
        <d v="2018-04-08T00:00:00"/>
        <d v="2018-04-09T00:00:00"/>
        <d v="2018-04-10T00:00:00"/>
        <d v="2018-04-11T00:00:00"/>
        <d v="2018-04-12T00:00:00"/>
        <d v="2018-04-13T00:00:00"/>
        <d v="2018-04-14T00:00:00"/>
        <d v="2018-04-15T00:00:00"/>
        <d v="2018-04-16T00:00:00"/>
        <d v="2018-04-17T00:00:00"/>
        <d v="2018-04-18T00:00:00"/>
        <d v="2018-04-19T00:00:00"/>
        <d v="2018-04-20T00:00:00"/>
        <d v="2018-04-21T00:00:00"/>
        <d v="2018-04-22T00:00:00"/>
        <d v="2018-04-23T00:00:00"/>
        <d v="2018-04-24T00:00:00"/>
        <d v="2018-04-25T00:00:00"/>
        <d v="2018-04-26T00:00:00"/>
        <d v="2018-04-27T00:00:00"/>
        <d v="2018-04-28T00:00:00"/>
        <d v="2018-04-29T00:00:00"/>
        <d v="2018-04-30T00:00:00"/>
        <d v="2018-05-01T00:00:00"/>
        <d v="2018-05-02T00:00:00"/>
        <d v="2018-05-03T00:00:00"/>
        <d v="2018-05-04T00:00:00"/>
        <d v="2018-05-05T00:00:00"/>
        <d v="2018-05-06T00:00:00"/>
        <d v="2018-05-07T00:00:00"/>
        <d v="2018-05-08T00:00:00"/>
        <d v="2018-05-09T00:00:00"/>
        <d v="2018-05-10T00:00:00"/>
        <d v="2018-05-11T00:00:00"/>
        <d v="2018-05-12T00:00:00"/>
        <d v="2018-05-13T00:00:00"/>
        <d v="2018-05-14T00:00:00"/>
        <d v="2018-05-15T00:00:00"/>
        <d v="2018-05-16T00:00:00"/>
        <d v="2018-05-17T00:00:00"/>
        <d v="2018-05-18T00:00:00"/>
        <d v="2018-05-19T00:00:00"/>
        <d v="2018-05-20T00:00:00"/>
        <d v="2018-05-21T00:00:00"/>
        <d v="2018-05-22T00:00:00"/>
        <d v="2018-05-23T00:00:00"/>
        <d v="2018-05-24T00:00:00"/>
        <d v="2018-05-25T00:00:00"/>
        <d v="2018-05-26T00:00:00"/>
        <d v="2018-05-27T00:00:00"/>
        <d v="2018-05-28T00:00:00"/>
        <d v="2018-05-29T00:00:00"/>
        <d v="2018-05-30T00:00:00"/>
        <d v="2018-05-31T00:00:00"/>
        <d v="2018-06-01T00:00:00"/>
        <d v="2018-06-02T00:00:00"/>
        <d v="2018-06-03T00:00:00"/>
        <d v="2018-06-04T00:00:00"/>
        <d v="2018-06-05T00:00:00"/>
        <d v="2018-06-06T00:00:00"/>
        <d v="2018-06-07T00:00:00"/>
        <d v="2018-06-08T00:00:00"/>
        <d v="2018-06-09T00:00:00"/>
        <d v="2018-06-10T00:00:00"/>
        <d v="2018-06-11T00:00:00"/>
        <d v="2018-06-12T00:00:00"/>
        <d v="2018-06-13T00:00:00"/>
        <d v="2018-06-14T00:00:00"/>
        <d v="2018-06-15T00:00:00"/>
        <d v="2018-06-16T00:00:00"/>
        <d v="2018-06-17T00:00:00"/>
        <d v="2018-06-18T00:00:00"/>
        <d v="2018-06-19T00:00:00"/>
        <d v="2018-06-20T00:00:00"/>
        <d v="2018-06-21T00:00:00"/>
        <d v="2018-06-22T00:00:00"/>
        <d v="2018-06-23T00:00:00"/>
        <d v="2018-06-24T00:00:00"/>
        <d v="2018-06-25T00:00:00"/>
        <d v="2018-06-26T00:00:00"/>
        <d v="2018-06-27T00:00:00"/>
        <d v="2018-06-28T00:00:00"/>
        <d v="2018-06-29T00:00:00"/>
        <d v="2018-06-30T00:00:00"/>
        <d v="2018-07-01T00:00:00"/>
        <d v="2018-07-02T00:00:00"/>
        <d v="2018-07-03T00:00:00"/>
        <d v="2018-07-04T00:00:00"/>
        <d v="2018-07-05T00:00:00"/>
        <d v="2018-07-06T00:00:00"/>
        <d v="2018-07-07T00:00:00"/>
        <d v="2018-07-08T00:00:00"/>
        <d v="2018-07-09T00:00:00"/>
        <d v="2018-07-10T00:00:00"/>
        <d v="2018-07-11T00:00:00"/>
        <d v="2018-07-12T00:00:00"/>
        <d v="2018-07-13T00:00:00"/>
        <d v="2018-07-14T00:00:00"/>
        <d v="2018-07-15T00:00:00"/>
        <d v="2018-07-16T00:00:00"/>
        <d v="2018-07-17T00:00:00"/>
        <d v="2018-07-18T00:00:00"/>
        <d v="2018-07-19T00:00:00"/>
        <d v="2018-07-20T00:00:00"/>
        <d v="2018-07-21T00:00:00"/>
        <d v="2018-07-22T00:00:00"/>
        <d v="2018-07-23T00:00:00"/>
        <d v="2018-07-24T00:00:00"/>
        <d v="2018-07-25T00:00:00"/>
        <d v="2018-07-26T00:00:00"/>
        <d v="2018-07-27T00:00:00"/>
        <d v="2018-07-28T00:00:00"/>
        <d v="2018-07-29T00:00:00"/>
        <d v="2018-07-30T00:00:00"/>
        <d v="2018-07-31T00:00:00"/>
        <d v="2018-08-01T00:00:00"/>
        <d v="2018-08-02T00:00:00"/>
        <d v="2018-08-03T00:00:00"/>
        <d v="2018-08-04T00:00:00"/>
        <d v="2018-08-05T00:00:00"/>
        <d v="2018-08-06T00:00:00"/>
        <d v="2018-08-07T00:00:00"/>
        <d v="2018-08-08T00:00:00"/>
        <d v="2018-08-09T00:00:00"/>
        <d v="2018-08-10T00:00:00"/>
        <d v="2018-08-11T00:00:00"/>
        <d v="2018-08-12T00:00:00"/>
        <d v="2018-08-13T00:00:00"/>
        <d v="2018-08-14T00:00:00"/>
        <d v="2018-08-15T00:00:00"/>
        <d v="2018-08-16T00:00:00"/>
        <d v="2018-08-17T00:00:00"/>
        <d v="2018-08-18T00:00:00"/>
        <d v="2018-08-19T00:00:00"/>
        <d v="2018-08-20T00:00:00"/>
        <d v="2018-08-21T00:00:00"/>
        <d v="2018-08-22T00:00:00"/>
        <d v="2018-08-23T00:00:00"/>
        <d v="2018-08-24T00:00:00"/>
        <d v="2018-08-25T00:00:00"/>
        <d v="2018-08-26T00:00:00"/>
        <d v="2018-08-27T00:00:00"/>
        <d v="2018-08-28T00:00:00"/>
        <d v="2018-08-29T00:00:00"/>
        <d v="2018-08-30T00:00:00"/>
        <d v="2018-08-31T00:00:00"/>
        <d v="2018-09-01T00:00:00"/>
        <d v="2018-09-02T00:00:00"/>
        <d v="2018-09-03T00:00:00"/>
        <d v="2018-09-04T00:00:00"/>
        <d v="2018-09-05T00:00:00"/>
        <d v="2018-09-06T00:00:00"/>
        <d v="2018-09-07T00:00:00"/>
        <d v="2018-09-08T00:00:00"/>
        <d v="2018-09-09T00:00:00"/>
        <d v="2018-09-10T00:00:00"/>
        <d v="2018-09-11T00:00:00"/>
        <d v="2018-09-12T00:00:00"/>
        <d v="2018-09-13T00:00:00"/>
        <d v="2018-09-14T00:00:00"/>
        <d v="2018-09-15T00:00:00"/>
        <d v="2018-09-16T00:00:00"/>
        <d v="2018-09-17T00:00:00"/>
        <d v="2018-09-18T00:00:00"/>
        <d v="2018-09-19T00:00:00"/>
        <d v="2018-09-20T00:00:00"/>
        <d v="2018-09-21T00:00:00"/>
        <d v="2018-09-22T00:00:00"/>
        <d v="2018-09-23T00:00:00"/>
        <d v="2018-09-24T00:00:00"/>
        <d v="2018-09-25T00:00:00"/>
        <d v="2018-09-26T00:00:00"/>
        <d v="2018-09-27T00:00:00"/>
        <d v="2018-09-28T00:00:00"/>
        <d v="2018-09-29T00:00:00"/>
        <d v="2018-09-30T00:00:00"/>
        <d v="2018-10-01T00:00:00"/>
        <d v="2018-10-02T00:00:00"/>
        <d v="2018-10-03T00:00:00"/>
        <d v="2018-10-04T00:00:00"/>
        <d v="2018-10-05T00:00:00"/>
        <d v="2018-10-06T00:00:00"/>
        <d v="2018-10-07T00:00:00"/>
        <d v="2018-10-08T00:00:00"/>
        <d v="2018-10-09T00:00:00"/>
        <d v="2018-10-10T00:00:00"/>
        <d v="2018-10-11T00:00:00"/>
        <d v="2018-10-12T00:00:00"/>
        <d v="2018-10-13T00:00:00"/>
        <d v="2018-10-14T00:00:00"/>
        <d v="2018-10-15T00:00:00"/>
        <d v="2018-10-16T00:00:00"/>
        <d v="2018-10-17T00:00:00"/>
        <d v="2018-10-18T00:00:00"/>
        <d v="2018-10-19T00:00:00"/>
        <d v="2018-10-20T00:00:00"/>
        <d v="2018-10-21T00:00:00"/>
        <d v="2018-10-22T00:00:00"/>
        <d v="2018-10-23T00:00:00"/>
        <d v="2018-10-24T00:00:00"/>
        <d v="2018-10-25T00:00:00"/>
        <d v="2018-10-26T00:00:00"/>
        <d v="2018-10-27T00:00:00"/>
        <d v="2018-10-28T00:00:00"/>
        <d v="2018-10-29T00:00:00"/>
        <d v="2018-10-30T00:00:00"/>
        <d v="2018-10-31T00:00:00"/>
        <d v="2018-11-01T00:00:00"/>
        <d v="2018-11-02T00:00:00"/>
        <d v="2018-11-03T00:00:00"/>
        <d v="2018-11-04T00:00:00"/>
        <d v="2018-11-05T00:00:00"/>
        <d v="2018-11-06T00:00:00"/>
        <d v="2018-11-07T00:00:00"/>
        <d v="2018-11-08T00:00:00"/>
        <d v="2018-11-09T00:00:00"/>
        <d v="2018-11-10T00:00:00"/>
        <d v="2018-11-11T00:00:00"/>
        <d v="2018-11-12T00:00:00"/>
        <d v="2018-11-13T00:00:00"/>
        <d v="2018-11-14T00:00:00"/>
        <d v="2018-11-15T00:00:00"/>
        <d v="2018-11-16T00:00:00"/>
        <d v="2018-11-17T00:00:00"/>
        <d v="2018-11-18T00:00:00"/>
        <d v="2018-11-19T00:00:00"/>
        <d v="2018-11-20T00:00:00"/>
        <d v="2018-11-21T00:00:00"/>
        <d v="2018-11-22T00:00:00"/>
        <d v="2018-11-23T00:00:00"/>
        <d v="2018-11-24T00:00:00"/>
        <d v="2018-11-25T00:00:00"/>
        <d v="2018-11-26T00:00:00"/>
        <d v="2018-11-27T00:00:00"/>
        <d v="2018-11-28T00:00:00"/>
        <d v="2018-11-29T00:00:00"/>
        <d v="2018-11-30T00:00:00"/>
        <d v="2018-12-01T00:00:00"/>
        <d v="2018-12-02T00:00:00"/>
        <d v="2018-12-03T00:00:00"/>
        <d v="2018-12-04T00:00:00"/>
        <d v="2018-12-05T00:00:00"/>
        <d v="2018-12-06T00:00:00"/>
        <d v="2018-12-07T00:00:00"/>
        <d v="2018-12-08T00:00:00"/>
        <d v="2018-12-09T00:00:00"/>
        <d v="2018-12-10T00:00:00"/>
        <d v="2018-12-11T00:00:00"/>
        <d v="2018-12-12T00:00:00"/>
        <d v="2018-12-13T00:00:00"/>
        <d v="2018-12-14T00:00:00"/>
        <d v="2018-12-15T00:00:00"/>
        <d v="2018-12-16T00:00:00"/>
        <d v="2018-12-17T00:00:00"/>
        <d v="2018-12-18T00:00:00"/>
        <d v="2018-12-19T00:00:00"/>
        <d v="2018-12-20T00:00:00"/>
        <d v="2018-12-21T00:00:00"/>
        <d v="2018-12-22T00:00:00"/>
        <d v="2018-12-23T00:00:00"/>
        <d v="2018-12-24T00:00:00"/>
        <d v="2018-12-25T00:00:00"/>
        <d v="2018-12-26T00:00:00"/>
        <d v="2018-12-27T00:00:00"/>
        <d v="2018-12-28T00:00:00"/>
        <d v="2018-12-29T00:00:00"/>
        <d v="2018-12-30T00:00:00"/>
        <d v="2018-12-31T00:00:00"/>
        <d v="2019-01-01T00:00:00"/>
        <d v="2019-01-02T00:00:00"/>
        <d v="2019-01-03T00:00:00"/>
        <d v="2019-01-04T00:00:00"/>
        <d v="2019-01-05T00:00:00"/>
        <d v="2019-01-06T00:00:00"/>
        <d v="2019-01-07T00:00:00"/>
        <d v="2019-01-08T00:00:00"/>
        <d v="2019-01-09T00:00:00"/>
        <d v="2019-01-10T00:00:00"/>
        <d v="2019-01-11T00:00:00"/>
        <d v="2019-01-12T00:00:00"/>
        <d v="2019-01-13T00:00:00"/>
        <d v="2019-01-14T00:00:00"/>
        <d v="2019-01-15T00:00:00"/>
        <d v="2019-01-16T00:00:00"/>
        <d v="2019-01-17T00:00:00"/>
        <d v="2019-01-18T00:00:00"/>
        <d v="2019-01-19T00:00:00"/>
        <d v="2019-01-20T00:00:00"/>
        <d v="2019-01-21T00:00:00"/>
        <d v="2019-01-22T00:00:00"/>
        <d v="2019-01-23T00:00:00"/>
        <d v="2019-01-24T00:00:00"/>
        <d v="2019-01-25T00:00:00"/>
        <d v="2019-01-26T00:00:00"/>
        <d v="2019-01-27T00:00:00"/>
        <d v="2019-01-28T00:00:00"/>
        <d v="2019-01-29T00:00:00"/>
        <d v="2019-01-30T00:00:00"/>
        <d v="2019-01-31T00:00:00"/>
        <d v="2019-02-01T00:00:00"/>
        <d v="2019-02-02T00:00:00"/>
        <d v="2019-02-03T00:00:00"/>
        <d v="2019-02-04T00:00:00"/>
        <d v="2019-02-05T00:00:00"/>
        <d v="2019-02-06T00:00:00"/>
        <d v="2019-02-07T00:00:00"/>
        <d v="2019-02-08T00:00:00"/>
        <d v="2019-02-09T00:00:00"/>
        <d v="2019-02-10T00:00:00"/>
        <d v="2019-02-11T00:00:00"/>
        <d v="2019-02-12T00:00:00"/>
        <d v="2019-02-13T00:00:00"/>
        <d v="2019-02-14T00:00:00"/>
        <d v="2019-02-15T00:00:00"/>
        <d v="2019-02-16T00:00:00"/>
        <d v="2019-02-17T00:00:00"/>
        <d v="2019-02-18T00:00:00"/>
        <d v="2019-02-19T00:00:00"/>
        <d v="2019-02-20T00:00:00"/>
        <d v="2019-02-21T00:00:00"/>
        <d v="2019-02-22T00:00:00"/>
        <d v="2019-02-23T00:00:00"/>
        <d v="2019-02-24T00:00:00"/>
        <d v="2019-02-25T00:00:00"/>
        <d v="2019-02-26T00:00:00"/>
        <d v="2019-02-27T00:00:00"/>
        <d v="2019-02-28T00:00:00"/>
        <d v="2019-03-01T00:00:00"/>
        <d v="2019-03-02T00:00:00"/>
        <d v="2019-03-03T00:00:00"/>
        <d v="2019-03-04T00:00:00"/>
        <d v="2019-03-05T00:00:00"/>
        <d v="2019-03-06T00:00:00"/>
        <d v="2019-03-07T00:00:00"/>
        <d v="2019-03-08T00:00:00"/>
        <d v="2019-03-09T00:00:00"/>
        <d v="2019-03-10T00:00:00"/>
        <d v="2019-03-11T00:00:00"/>
        <d v="2019-03-12T00:00:00"/>
        <d v="2019-03-13T00:00:00"/>
        <d v="2019-03-14T00:00:00"/>
        <d v="2019-03-15T00:00:00"/>
        <d v="2019-03-16T00:00:00"/>
        <d v="2019-03-17T00:00:00"/>
        <d v="2019-03-18T00:00:00"/>
        <d v="2019-03-19T00:00:00"/>
        <d v="2019-03-20T00:00:00"/>
        <d v="2019-03-21T00:00:00"/>
        <d v="2019-03-22T00:00:00"/>
        <d v="2019-03-23T00:00:00"/>
        <d v="2019-03-24T00:00:00"/>
        <d v="2019-03-25T00:00:00"/>
        <d v="2019-03-26T00:00:00"/>
        <d v="2019-03-27T00:00:00"/>
        <d v="2019-03-28T00:00:00"/>
        <d v="2019-03-29T00:00:00"/>
        <d v="2019-03-30T00:00:00"/>
        <d v="2019-03-31T00:00:00"/>
        <d v="2019-04-01T00:00:00"/>
        <d v="2019-04-02T00:00:00"/>
        <d v="2019-04-03T00:00:00"/>
        <d v="2019-04-04T00:00:00"/>
        <d v="2019-04-05T00:00:00"/>
        <d v="2019-04-06T00:00:00"/>
        <d v="2019-04-07T00:00:00"/>
        <d v="2019-04-08T00:00:00"/>
        <d v="2019-04-09T00:00:00"/>
        <d v="2019-04-10T00:00:00"/>
        <d v="2019-04-11T00:00:00"/>
        <d v="2019-04-12T00:00:00"/>
        <d v="2019-04-13T00:00:00"/>
        <d v="2019-04-14T00:00:00"/>
        <d v="2019-04-15T00:00:00"/>
        <d v="2019-04-16T00:00:00"/>
        <d v="2019-04-17T00:00:00"/>
        <d v="2019-04-18T00:00:00"/>
        <d v="2019-04-19T00:00:00"/>
        <d v="2019-04-20T00:00:00"/>
        <d v="2019-04-21T00:00:00"/>
        <d v="2019-04-22T00:00:00"/>
        <d v="2019-04-23T00:00:00"/>
        <d v="2019-04-24T00:00:00"/>
        <d v="2019-04-25T00:00:00"/>
        <d v="2019-04-26T00:00:00"/>
        <d v="2019-04-27T00:00:00"/>
        <d v="2019-04-28T00:00:00"/>
        <d v="2019-04-29T00:00:00"/>
        <d v="2019-04-30T00:00:00"/>
        <d v="2019-05-01T00:00:00"/>
        <d v="2019-05-02T00:00:00"/>
        <d v="2019-05-03T00:00:00"/>
        <d v="2019-05-04T00:00:00"/>
        <d v="2019-05-05T00:00:00"/>
        <d v="2019-05-06T00:00:00"/>
        <d v="2019-05-07T00:00:00"/>
        <d v="2019-05-08T00:00:00"/>
        <d v="2019-05-09T00:00:00"/>
        <d v="2019-05-10T00:00:00"/>
        <d v="2019-05-11T00:00:00"/>
        <d v="2019-05-12T00:00:00"/>
        <d v="2019-05-13T00:00:00"/>
        <d v="2019-05-14T00:00:00"/>
        <d v="2019-05-15T00:00:00"/>
        <d v="2019-05-16T00:00:00"/>
        <d v="2019-05-17T00:00:00"/>
        <d v="2019-05-18T00:00:00"/>
        <d v="2019-05-19T00:00:00"/>
        <d v="2019-05-20T00:00:00"/>
        <d v="2019-05-21T00:00:00"/>
        <d v="2019-05-22T00:00:00"/>
        <d v="2019-05-23T00:00:00"/>
        <d v="2019-05-24T00:00:00"/>
        <d v="2019-05-25T00:00:00"/>
        <d v="2019-05-26T00:00:00"/>
        <d v="2019-05-27T00:00:00"/>
        <d v="2019-05-28T00:00:00"/>
        <d v="2019-05-29T00:00:00"/>
        <d v="2019-05-30T00:00:00"/>
        <d v="2019-05-31T00:00:00"/>
        <d v="2019-06-01T00:00:00"/>
        <d v="2019-06-02T00:00:00"/>
        <d v="2019-06-03T00:00:00"/>
        <d v="2019-06-04T00:00:00"/>
        <d v="2019-06-05T00:00:00"/>
        <d v="2019-06-06T00:00:00"/>
        <d v="2019-06-07T00:00:00"/>
        <d v="2019-06-08T00:00:00"/>
        <d v="2019-06-09T00:00:00"/>
        <d v="2019-06-10T00:00:00"/>
        <d v="2019-06-11T00:00:00"/>
        <d v="2019-06-12T00:00:00"/>
        <d v="2019-06-13T00:00:00"/>
        <d v="2019-06-14T00:00:00"/>
        <d v="2019-06-15T00:00:00"/>
        <d v="2019-06-16T00:00:00"/>
        <d v="2019-06-17T00:00:00"/>
        <d v="2019-06-18T00:00:00"/>
        <d v="2019-06-19T00:00:00"/>
        <d v="2019-06-20T00:00:00"/>
        <d v="2019-06-21T00:00:00"/>
        <d v="2019-06-22T00:00:00"/>
        <d v="2019-06-23T00:00:00"/>
        <d v="2019-06-24T00:00:00"/>
        <d v="2019-06-25T00:00:00"/>
        <d v="2019-06-26T00:00:00"/>
        <d v="2019-06-27T00:00:00"/>
        <d v="2019-06-28T00:00:00"/>
        <d v="2019-06-29T00:00:00"/>
        <d v="2019-06-30T00:00:00"/>
        <d v="2019-07-01T00:00:00"/>
        <d v="2019-07-02T00:00:00"/>
        <d v="2019-07-03T00:00:00"/>
        <d v="2019-07-04T00:00:00"/>
        <d v="2019-07-05T00:00:00"/>
        <d v="2019-07-06T00:00:00"/>
        <d v="2019-07-07T00:00:00"/>
        <d v="2019-07-08T00:00:00"/>
        <d v="2019-07-09T00:00:00"/>
        <d v="2019-07-10T00:00:00"/>
        <d v="2019-07-11T00:00:00"/>
        <d v="2019-07-12T00:00:00"/>
        <d v="2019-07-13T00:00:00"/>
        <d v="2019-07-14T00:00:00"/>
        <d v="2019-07-15T00:00:00"/>
        <d v="2019-07-16T00:00:00"/>
        <d v="2019-07-17T00:00:00"/>
        <d v="2019-07-18T00:00:00"/>
        <d v="2019-07-19T00:00:00"/>
        <d v="2019-07-20T00:00:00"/>
        <d v="2019-07-21T00:00:00"/>
        <d v="2019-07-22T00:00:00"/>
        <d v="2019-07-23T00:00:00"/>
        <d v="2019-07-24T00:00:00"/>
        <d v="2019-07-25T00:00:00"/>
        <d v="2019-07-26T00:00:00"/>
        <d v="2019-07-27T00:00:00"/>
        <d v="2019-07-28T00:00:00"/>
        <d v="2019-07-29T00:00:00"/>
        <d v="2019-07-30T00:00:00"/>
        <d v="2019-07-31T00:00:00"/>
        <d v="2019-08-01T00:00:00"/>
        <d v="2019-08-02T00:00:00"/>
        <d v="2019-08-03T00:00:00"/>
        <d v="2019-08-04T00:00:00"/>
        <d v="2019-08-05T00:00:00"/>
        <d v="2019-08-06T00:00:00"/>
        <d v="2019-08-07T00:00:00"/>
        <d v="2019-08-08T00:00:00"/>
        <d v="2019-08-09T00:00:00"/>
        <d v="2019-08-10T00:00:00"/>
        <d v="2019-08-11T00:00:00"/>
        <d v="2019-08-12T00:00:00"/>
        <d v="2019-08-13T00:00:00"/>
        <d v="2019-08-14T00:00:00"/>
        <d v="2019-08-15T00:00:00"/>
        <d v="2019-08-16T00:00:00"/>
        <d v="2019-08-17T00:00:00"/>
        <d v="2019-08-18T00:00:00"/>
        <d v="2019-08-19T00:00:00"/>
        <d v="2019-08-20T00:00:00"/>
        <d v="2019-08-21T00:00:00"/>
        <d v="2019-08-22T00:00:00"/>
        <d v="2019-08-23T00:00:00"/>
        <d v="2019-08-24T00:00:00"/>
        <d v="2019-08-25T00:00:00"/>
        <d v="2019-08-26T00:00:00"/>
        <d v="2019-08-27T00:00:00"/>
        <d v="2019-08-28T00:00:00"/>
        <d v="2019-08-29T00:00:00"/>
        <d v="2019-08-30T00:00:00"/>
        <d v="2019-08-31T00:00:00"/>
        <d v="2019-09-01T00:00:00"/>
        <d v="2019-09-02T00:00:00"/>
        <d v="2019-09-03T00:00:00"/>
        <d v="2019-09-04T00:00:00"/>
        <d v="2019-09-05T00:00:00"/>
        <d v="2019-09-06T00:00:00"/>
        <d v="2019-09-07T00:00:00"/>
        <d v="2019-09-08T00:00:00"/>
        <d v="2019-09-09T00:00:00"/>
        <d v="2019-09-10T00:00:00"/>
        <d v="2019-09-11T00:00:00"/>
        <d v="2019-09-12T00:00:00"/>
        <d v="2019-09-13T00:00:00"/>
        <d v="2019-09-14T00:00:00"/>
        <d v="2019-09-15T00:00:00"/>
        <d v="2019-09-16T00:00:00"/>
        <d v="2019-09-17T00:00:00"/>
        <d v="2019-09-18T00:00:00"/>
        <d v="2019-09-19T00:00:00"/>
        <d v="2019-09-20T00:00:00"/>
        <d v="2019-09-21T00:00:00"/>
        <d v="2019-09-22T00:00:00"/>
        <d v="2019-09-23T00:00:00"/>
        <d v="2019-09-24T00:00:00"/>
        <d v="2019-09-25T00:00:00"/>
        <d v="2019-09-26T00:00:00"/>
        <d v="2019-09-27T00:00:00"/>
        <d v="2019-09-28T00:00:00"/>
        <d v="2019-09-29T00:00:00"/>
        <d v="2019-09-30T00:00:00"/>
        <d v="2019-10-01T00:00:00"/>
        <d v="2019-10-02T00:00:00"/>
        <d v="2019-10-03T00:00:00"/>
        <d v="2019-10-04T00:00:00"/>
        <d v="2019-10-05T00:00:00"/>
        <d v="2019-10-06T00:00:00"/>
        <d v="2019-10-07T00:00:00"/>
        <d v="2019-10-08T00:00:00"/>
        <d v="2019-10-09T00:00:00"/>
        <d v="2019-10-10T00:00:00"/>
        <d v="2019-10-11T00:00:00"/>
        <d v="2019-10-12T00:00:00"/>
        <d v="2019-10-13T00:00:00"/>
        <d v="2019-10-14T00:00:00"/>
        <d v="2019-10-15T00:00:00"/>
        <d v="2019-10-16T00:00:00"/>
        <d v="2019-10-17T00:00:00"/>
        <d v="2019-10-18T00:00:00"/>
        <d v="2019-10-19T00:00:00"/>
        <d v="2019-10-20T00:00:00"/>
        <d v="2019-10-21T00:00:00"/>
        <d v="2019-10-22T00:00:00"/>
        <d v="2019-10-23T00:00:00"/>
        <d v="2019-10-24T00:00:00"/>
        <d v="2019-10-25T00:00:00"/>
        <d v="2019-10-26T00:00:00"/>
        <d v="2019-10-27T00:00:00"/>
        <d v="2019-10-28T00:00:00"/>
        <d v="2019-10-29T00:00:00"/>
        <d v="2019-10-30T00:00:00"/>
        <d v="2019-10-31T00:00:00"/>
        <d v="2019-11-01T00:00:00"/>
        <d v="2019-11-02T00:00:00"/>
        <d v="2019-11-03T00:00:00"/>
        <d v="2019-11-04T00:00:00"/>
        <d v="2019-11-05T00:00:00"/>
        <d v="2019-11-06T00:00:00"/>
        <d v="2019-11-07T00:00:00"/>
        <d v="2019-11-08T00:00:00"/>
        <d v="2019-11-09T00:00:00"/>
        <d v="2019-11-10T00:00:00"/>
        <d v="2019-11-11T00:00:00"/>
        <d v="2019-11-12T00:00:00"/>
        <d v="2019-11-13T00:00:00"/>
        <d v="2019-11-14T00:00:00"/>
        <d v="2019-11-15T00:00:00"/>
        <d v="2019-11-16T00:00:00"/>
        <d v="2019-11-17T00:00:00"/>
        <d v="2019-11-18T00:00:00"/>
        <d v="2019-11-19T00:00:00"/>
        <d v="2019-11-20T00:00:00"/>
        <d v="2019-11-21T00:00:00"/>
        <d v="2019-11-22T00:00:00"/>
        <d v="2019-11-23T00:00:00"/>
        <d v="2019-11-24T00:00:00"/>
        <d v="2019-11-25T00:00:00"/>
        <d v="2019-11-26T00:00:00"/>
        <d v="2019-11-27T00:00:00"/>
        <d v="2019-11-28T00:00:00"/>
        <d v="2019-11-29T00:00:00"/>
        <d v="2019-11-30T00:00:00"/>
        <d v="2019-12-01T00:00:00"/>
        <d v="2019-12-02T00:00:00"/>
        <d v="2019-12-03T00:00:00"/>
        <d v="2019-12-04T00:00:00"/>
        <d v="2019-12-05T00:00:00"/>
        <d v="2019-12-06T00:00:00"/>
        <d v="2019-12-07T00:00:00"/>
        <d v="2019-12-08T00:00:00"/>
        <d v="2019-12-09T00:00:00"/>
        <d v="2019-12-10T00:00:00"/>
        <d v="2019-12-11T00:00:00"/>
        <d v="2019-12-12T00:00:00"/>
        <d v="2019-12-13T00:00:00"/>
        <d v="2019-12-14T00:00:00"/>
        <d v="2019-12-15T00:00:00"/>
        <d v="2019-12-16T00:00:00"/>
        <d v="2019-12-17T00:00:00"/>
        <d v="2019-12-18T00:00:00"/>
        <d v="2019-12-19T00:00:00"/>
        <d v="2019-12-20T00:00:00"/>
        <d v="2019-12-21T00:00:00"/>
        <d v="2019-12-22T00:00:00"/>
        <d v="2019-12-23T00:00:00"/>
        <d v="2019-12-24T00:00:00"/>
        <d v="2019-12-25T00:00:00"/>
        <d v="2019-12-26T00:00:00"/>
        <d v="2019-12-27T00:00:00"/>
        <d v="2019-12-28T00:00:00"/>
        <d v="2019-12-29T00:00:00"/>
        <d v="2019-12-30T00:00:00"/>
        <d v="2019-12-31T00:00:00"/>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2-29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6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05T00:00:00"/>
        <d v="2021-04-06T00:00:00"/>
        <d v="2021-04-07T00:00:00"/>
        <d v="2021-04-08T00:00:00"/>
        <d v="2021-04-09T00:00:00"/>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d v="2021-05-11T00:00:00"/>
        <d v="2021-05-12T00:00:00"/>
        <d v="2021-05-13T00:00:00"/>
        <d v="2021-05-14T00:00:00"/>
        <d v="2021-05-15T00:00:00"/>
        <d v="2021-05-16T00:00:00"/>
        <d v="2021-05-17T00:00:00"/>
        <d v="2021-05-18T00:00:00"/>
        <d v="2021-05-19T00:00:00"/>
        <d v="2021-05-20T00:00:00"/>
        <d v="2021-05-21T00:00:00"/>
        <d v="2021-05-22T00:00:00"/>
        <d v="2021-05-23T00:00:00"/>
        <d v="2021-05-24T00:00:00"/>
        <d v="2021-05-25T00:00:00"/>
        <d v="2021-05-26T00:00:00"/>
        <d v="2021-05-27T00:00:00"/>
        <d v="2021-05-28T00:00:00"/>
        <d v="2021-05-29T00:00:00"/>
        <d v="2021-05-30T00:00:00"/>
        <d v="2021-05-31T00:00:00"/>
        <d v="2021-06-01T00:00:00"/>
        <d v="2021-06-02T00:00:00"/>
        <d v="2021-06-03T00:00:00"/>
        <d v="2021-06-04T00:00:00"/>
        <d v="2021-06-05T00:00:00"/>
        <d v="2021-06-06T00:00:00"/>
        <d v="2021-06-07T00:00:00"/>
        <d v="2021-06-08T00:00:00"/>
        <d v="2021-06-09T00:00:00"/>
        <d v="2021-06-10T00:00:00"/>
        <d v="2021-06-11T00:00:00"/>
        <d v="2021-06-12T00:00:00"/>
        <d v="2021-06-13T00:00:00"/>
        <d v="2021-06-14T00:00:00"/>
        <d v="2021-06-15T00:00:00"/>
        <d v="2021-06-16T00:00:00"/>
        <d v="2021-06-17T00:00:00"/>
        <d v="2021-06-18T00:00:00"/>
        <d v="2021-06-19T00:00:00"/>
        <d v="2021-06-20T00:00:00"/>
        <d v="2021-06-21T00:00:00"/>
        <d v="2021-06-22T00:00:00"/>
        <d v="2021-06-23T00:00:00"/>
        <d v="2021-06-24T00:00:00"/>
        <d v="2021-06-25T00:00:00"/>
        <d v="2021-06-26T00:00:00"/>
        <d v="2021-06-27T00:00:00"/>
        <d v="2021-06-28T00:00:00"/>
        <d v="2021-06-29T00:00:00"/>
        <d v="2021-06-30T00:00:00"/>
        <d v="2021-07-01T00:00:00"/>
        <d v="2021-07-02T00:00:00"/>
        <d v="2021-07-03T00:00:00"/>
        <d v="2021-07-04T00:00:00"/>
        <d v="2021-07-05T00:00:00"/>
        <d v="2021-07-06T00:00:00"/>
        <d v="2021-07-07T00:00:00"/>
        <d v="2021-07-08T00:00:00"/>
        <d v="2021-07-09T00:00:00"/>
        <d v="2021-07-10T00:00:00"/>
        <d v="2021-07-11T00:00:00"/>
        <d v="2021-07-12T00:00:00"/>
        <d v="2021-07-13T00:00:00"/>
        <d v="2021-07-14T00:00:00"/>
        <d v="2021-07-15T00:00:00"/>
        <d v="2021-07-16T00:00:00"/>
        <d v="2021-07-17T00:00:00"/>
        <d v="2021-07-18T00:00:00"/>
        <d v="2021-07-19T00:00:00"/>
        <d v="2021-07-20T00:00:00"/>
        <d v="2021-07-21T00:00:00"/>
        <d v="2021-07-22T00:00:00"/>
        <d v="2021-07-23T00:00:00"/>
        <d v="2021-07-24T00:00:00"/>
        <d v="2021-07-25T00:00:00"/>
        <d v="2021-07-26T00:00:00"/>
        <d v="2021-07-27T00:00:00"/>
        <d v="2021-07-28T00:00:00"/>
        <d v="2021-07-29T00:00:00"/>
        <d v="2021-07-30T00:00:00"/>
        <d v="2021-07-31T00:00:00"/>
        <d v="2021-08-01T00:00:00"/>
        <d v="2021-08-02T00:00:00"/>
        <d v="2021-08-03T00:00:00"/>
        <d v="2021-08-04T00:00:00"/>
        <d v="2021-08-05T00:00:00"/>
        <d v="2021-08-06T00:00:00"/>
        <d v="2021-08-07T00:00:00"/>
        <d v="2021-08-08T00:00:00"/>
        <d v="2021-08-09T00:00:00"/>
        <d v="2021-08-10T00:00:00"/>
        <d v="2021-08-11T00:00:00"/>
        <d v="2021-08-12T00:00:00"/>
        <d v="2021-08-13T00:00:00"/>
        <d v="2021-08-14T00:00:00"/>
        <d v="2021-08-15T00:00:00"/>
        <d v="2021-08-16T00:00:00"/>
        <d v="2021-08-17T00:00:00"/>
        <d v="2021-08-18T00:00:00"/>
        <d v="2021-08-19T00:00:00"/>
        <d v="2021-08-20T00:00:00"/>
        <d v="2021-08-21T00:00:00"/>
        <d v="2021-08-22T00:00:00"/>
        <d v="2021-08-23T00:00:00"/>
        <d v="2021-08-24T00:00:00"/>
        <d v="2021-08-25T00:00:00"/>
        <d v="2021-08-26T00:00:00"/>
        <d v="2021-08-27T00:00:00"/>
        <d v="2021-08-28T00:00:00"/>
        <d v="2021-08-29T00:00:00"/>
        <d v="2021-08-30T00:00:00"/>
        <d v="2021-08-31T00:00:00"/>
        <d v="2021-09-01T00:00:00"/>
        <d v="2021-09-02T00:00:00"/>
        <d v="2021-09-03T00:00:00"/>
        <d v="2021-09-04T00:00:00"/>
        <d v="2021-09-05T00:00:00"/>
        <d v="2021-09-06T00:00:00"/>
        <d v="2021-09-07T00:00:00"/>
        <d v="2021-09-08T00:00:00"/>
        <d v="2021-09-09T00:00:00"/>
        <d v="2021-09-10T00:00:00"/>
        <d v="2021-09-11T00:00:00"/>
        <d v="2021-09-12T00:00:00"/>
        <d v="2021-09-13T00:00:00"/>
        <d v="2021-09-14T00:00:00"/>
        <d v="2021-09-15T00:00:00"/>
        <d v="2021-09-16T00:00:00"/>
        <d v="2021-09-17T00:00:00"/>
        <d v="2021-09-18T00:00:00"/>
        <d v="2021-09-19T00:00:00"/>
        <d v="2021-09-20T00:00:00"/>
        <d v="2021-09-21T00:00:00"/>
        <d v="2021-09-22T00:00:00"/>
        <d v="2021-09-23T00:00:00"/>
        <d v="2021-09-24T00:00:00"/>
        <d v="2021-09-25T00:00:00"/>
        <d v="2021-09-26T00:00:00"/>
        <d v="2021-09-27T00:00:00"/>
        <d v="2021-09-28T00:00:00"/>
        <d v="2021-09-29T00:00:00"/>
        <d v="2021-09-30T00:00:00"/>
        <d v="2021-10-01T00:00:00"/>
        <d v="2021-10-02T00:00:00"/>
        <d v="2021-10-03T00:00:00"/>
        <d v="2021-10-04T00:00:00"/>
        <d v="2021-10-05T00:00:00"/>
        <d v="2021-10-06T00:00:00"/>
        <d v="2021-10-07T00:00:00"/>
        <d v="2021-10-08T00:00:00"/>
        <d v="2021-10-09T00:00:00"/>
        <d v="2021-10-10T00:00:00"/>
        <d v="2021-10-11T00:00:00"/>
        <d v="2021-10-12T00:00:00"/>
        <d v="2021-10-13T00:00:00"/>
        <d v="2021-10-14T00:00:00"/>
        <d v="2021-10-15T00:00:00"/>
        <d v="2021-10-16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d v="2022-01-01T00:00:00"/>
        <d v="2022-01-02T00:00:00"/>
        <d v="2022-01-03T00:00:00"/>
        <d v="2022-01-04T00:00:00"/>
        <d v="2022-01-05T00:00:00"/>
        <d v="2022-01-06T00:00:00"/>
        <d v="2022-01-07T00:00:00"/>
        <d v="2022-01-08T00:00:00"/>
        <d v="2022-01-09T00:00:00"/>
        <d v="2022-01-10T00:00:00"/>
        <d v="2022-01-11T00:00:00"/>
        <d v="2022-01-12T00:00:00"/>
        <d v="2022-01-13T00:00:00"/>
        <d v="2022-01-14T00:00:00"/>
        <d v="2022-01-15T00:00:00"/>
        <d v="2022-01-16T00:00:00"/>
        <d v="2022-01-17T00:00:00"/>
        <d v="2022-01-18T00:00:00"/>
        <d v="2022-01-19T00:00:00"/>
        <d v="2022-01-20T00:00:00"/>
        <d v="2022-01-21T00:00:00"/>
        <d v="2022-01-22T00:00:00"/>
        <d v="2022-01-23T00:00:00"/>
        <d v="2022-01-24T00:00:00"/>
        <d v="2022-01-25T00:00:00"/>
        <d v="2022-01-26T00:00:00"/>
        <d v="2022-01-27T00:00:00"/>
        <d v="2022-01-28T00:00:00"/>
        <d v="2022-01-29T00:00:00"/>
        <d v="2022-01-30T00:00:00"/>
        <d v="2022-01-31T00:00:00"/>
        <d v="2022-02-01T00:00:00"/>
        <d v="2022-02-02T00:00:00"/>
        <d v="2022-02-03T00:00:00"/>
        <d v="2022-02-04T00:00:00"/>
        <d v="2022-02-05T00:00:00"/>
        <d v="2022-02-06T00:00:00"/>
        <d v="2022-02-07T00:00:00"/>
        <d v="2022-02-08T00:00:00"/>
        <d v="2022-02-09T00:00:00"/>
        <d v="2022-02-10T00:00:00"/>
        <d v="2022-02-11T00:00:00"/>
        <d v="2022-02-12T00:00:00"/>
        <d v="2022-02-13T00:00:00"/>
        <d v="2022-02-14T00:00:00"/>
        <d v="2022-02-15T00:00:00"/>
        <d v="2022-02-16T00:00:00"/>
        <d v="2022-02-17T00:00:00"/>
        <d v="2022-02-18T00:00:00"/>
        <d v="2022-02-19T00:00:00"/>
        <d v="2022-02-20T00:00:00"/>
        <d v="2022-02-21T00:00:00"/>
        <d v="2022-02-22T00:00:00"/>
        <d v="2022-02-23T00:00:00"/>
        <d v="2022-02-24T00:00:00"/>
        <d v="2022-02-25T00:00:00"/>
        <d v="2022-02-26T00:00:00"/>
        <d v="2022-02-27T00:00:00"/>
        <d v="2022-02-28T00:00:00"/>
        <d v="2022-03-01T00:00:00"/>
        <d v="2022-03-02T00:00:00"/>
        <d v="2022-03-03T00:00:00"/>
        <d v="2022-03-04T00:00:00"/>
        <d v="2022-03-05T00:00:00"/>
        <d v="2022-03-06T00:00:00"/>
        <d v="2022-03-07T00:00:00"/>
        <d v="2022-03-08T00:00:00"/>
        <d v="2022-03-09T00:00:00"/>
        <d v="2022-03-10T00:00:00"/>
        <d v="2022-03-11T00:00:00"/>
        <d v="2022-03-12T00:00:00"/>
        <d v="2022-03-13T00:00:00"/>
        <d v="2022-03-14T00:00:00"/>
        <d v="2022-03-15T00:00:00"/>
        <d v="2022-03-16T00:00:00"/>
        <d v="2022-03-17T00:00:00"/>
        <d v="2022-03-18T00:00:00"/>
        <d v="2022-03-19T00:00:00"/>
        <d v="2022-03-20T00:00:00"/>
        <d v="2022-03-21T00:00:00"/>
        <d v="2022-03-22T00:00:00"/>
        <d v="2022-03-23T00:00:00"/>
        <d v="2022-03-24T00:00:00"/>
        <d v="2022-03-25T00:00:00"/>
        <d v="2022-03-26T00:00:00"/>
        <d v="2022-03-27T00:00:00"/>
        <d v="2022-03-28T00:00:00"/>
        <d v="2022-03-29T00:00:00"/>
        <d v="2022-03-30T00:00:00"/>
        <d v="2022-03-31T00:00:00"/>
        <d v="2022-04-01T00:00:00"/>
        <d v="2022-04-02T00:00:00"/>
        <d v="2022-04-03T00:00:00"/>
        <d v="2022-04-04T00:00:00"/>
        <d v="2022-04-05T00:00:00"/>
        <d v="2022-04-06T00:00:00"/>
        <d v="2022-04-07T00:00:00"/>
        <d v="2022-04-08T00:00:00"/>
        <d v="2022-04-09T00:00:00"/>
        <d v="2022-04-10T00:00:00"/>
        <d v="2022-04-11T00:00:00"/>
        <d v="2022-04-12T00:00:00"/>
        <d v="2022-04-13T00:00:00"/>
        <d v="2022-04-14T00:00:00"/>
        <d v="2022-04-15T00:00:00"/>
        <d v="2022-04-16T00:00:00"/>
        <d v="2022-04-17T00:00:00"/>
        <d v="2022-04-18T00:00:00"/>
        <d v="2022-04-19T00:00:00"/>
        <d v="2022-04-20T00:00:00"/>
        <d v="2022-04-21T00:00:00"/>
        <d v="2022-04-22T00:00:00"/>
        <d v="2022-04-23T00:00:00"/>
        <d v="2022-04-24T00:00:00"/>
        <d v="2022-04-25T00:00:00"/>
        <d v="2022-04-26T00:00:00"/>
        <d v="2022-04-27T00:00:00"/>
        <d v="2022-04-28T00:00:00"/>
        <d v="2022-04-29T00:00:00"/>
        <d v="2022-04-30T00:00:00"/>
        <d v="2022-05-01T00:00:00"/>
        <d v="2022-05-02T00:00:00"/>
        <d v="2022-05-03T00:00:00"/>
        <d v="2022-05-04T00:00:00"/>
        <d v="2022-05-05T00:00:00"/>
        <d v="2022-05-06T00:00:00"/>
        <d v="2022-05-07T00:00:00"/>
        <d v="2022-05-08T00:00:00"/>
        <d v="2022-05-09T00:00:00"/>
        <d v="2022-05-10T00:00:00"/>
        <d v="2022-05-11T00:00:00"/>
        <d v="2022-05-12T00:00:00"/>
        <d v="2022-05-13T00:00:00"/>
        <d v="2022-05-14T00:00:00"/>
        <d v="2022-05-15T00:00:00"/>
        <d v="2022-05-16T00:00:00"/>
        <d v="2022-05-17T00:00:00"/>
        <d v="2022-05-18T00:00:00"/>
        <d v="2022-05-19T00:00:00"/>
        <d v="2022-05-20T00:00:00"/>
        <d v="2022-05-21T00:00:00"/>
        <d v="2022-05-22T00:00:00"/>
        <d v="2022-05-23T00:00:00"/>
        <d v="2022-05-24T00:00:00"/>
        <d v="2022-05-25T00:00:00"/>
        <d v="2022-05-26T00:00:00"/>
        <d v="2022-05-27T00:00:00"/>
        <d v="2022-05-28T00:00:00"/>
        <d v="2022-05-29T00:00:00"/>
        <d v="2022-05-30T00:00:00"/>
        <d v="2022-05-31T00:00:00"/>
        <d v="2022-06-01T00:00:00"/>
        <d v="2022-06-02T00:00:00"/>
        <d v="2022-06-03T00:00:00"/>
        <d v="2022-06-04T00:00:00"/>
        <d v="2022-06-05T00:00:00"/>
        <d v="2022-06-06T00:00:00"/>
        <d v="2022-06-07T00:00:00"/>
        <d v="2022-06-08T00:00:00"/>
        <d v="2022-06-09T00:00:00"/>
        <d v="2022-06-10T00:00:00"/>
        <d v="2022-06-11T00:00:00"/>
        <d v="2022-06-12T00:00:00"/>
        <d v="2022-06-13T00:00:00"/>
        <d v="2022-06-14T00:00:00"/>
        <d v="2022-06-15T00:00:00"/>
        <d v="2022-06-16T00:00:00"/>
        <d v="2022-06-17T00:00:00"/>
        <d v="2022-06-18T00:00:00"/>
        <d v="2022-06-19T00:00:00"/>
        <d v="2022-06-20T00:00:00"/>
        <d v="2022-06-21T00:00:00"/>
        <d v="2022-06-22T00:00:00"/>
        <d v="2022-06-23T00:00:00"/>
        <d v="2022-06-24T00:00:00"/>
        <d v="2022-06-25T00:00:00"/>
        <d v="2022-06-26T00:00:00"/>
        <d v="2022-06-27T00:00:00"/>
        <d v="2022-06-28T00:00:00"/>
        <d v="2022-06-29T00:00:00"/>
        <d v="2022-06-30T00:00:00"/>
        <d v="2022-07-01T00:00:00"/>
        <d v="2022-07-02T00:00:00"/>
        <d v="2022-07-03T00:00:00"/>
        <d v="2022-07-04T00:00:00"/>
        <d v="2022-07-05T00:00:00"/>
        <d v="2022-07-06T00:00:00"/>
        <d v="2022-07-07T00:00:00"/>
        <d v="2022-07-08T00:00:00"/>
        <d v="2022-07-09T00:00:00"/>
        <d v="2022-07-10T00:00:00"/>
        <d v="2022-07-11T00:00:00"/>
        <d v="2022-07-12T00:00:00"/>
        <d v="2022-07-13T00:00:00"/>
        <d v="2022-07-14T00:00:00"/>
        <d v="2022-07-15T00:00:00"/>
        <d v="2022-07-16T00:00:00"/>
        <d v="2022-07-17T00:00:00"/>
        <d v="2022-07-18T00:00:00"/>
        <d v="2022-07-19T00:00:00"/>
        <d v="2022-07-20T00:00:00"/>
        <d v="2022-07-21T00:00:00"/>
        <d v="2022-07-22T00:00:00"/>
        <d v="2022-07-23T00:00:00"/>
        <d v="2022-07-24T00:00:00"/>
        <d v="2022-07-25T00:00:00"/>
        <d v="2022-07-26T00:00:00"/>
        <d v="2022-07-27T00:00:00"/>
        <d v="2022-07-28T00:00:00"/>
        <d v="2022-07-29T00:00:00"/>
        <d v="2022-07-30T00:00:00"/>
        <d v="2022-07-31T00:00:00"/>
        <d v="2022-08-01T00:00:00"/>
        <d v="2022-08-02T00:00:00"/>
        <d v="2022-08-03T00:00:00"/>
        <d v="2022-08-04T00:00:00"/>
        <d v="2022-08-05T00:00:00"/>
        <d v="2022-08-06T00:00:00"/>
        <d v="2022-08-07T00:00:00"/>
        <d v="2022-08-08T00:00:00"/>
        <d v="2022-08-09T00:00:00"/>
        <d v="2022-08-10T00:00:00"/>
        <d v="2022-08-11T00:00:00"/>
        <d v="2022-08-12T00:00:00"/>
        <d v="2022-08-13T00:00:00"/>
        <d v="2022-08-14T00:00:00"/>
        <d v="2022-08-15T00:00:00"/>
        <d v="2022-08-16T00:00:00"/>
        <d v="2022-08-17T00:00:00"/>
        <d v="2022-08-18T00:00:00"/>
        <d v="2022-08-19T00:00:00"/>
        <d v="2022-08-20T00:00:00"/>
        <d v="2022-08-21T00:00:00"/>
        <d v="2022-08-22T00:00:00"/>
        <d v="2022-08-23T00:00:00"/>
        <d v="2022-08-24T00:00:00"/>
        <d v="2022-08-25T00:00:00"/>
        <d v="2022-08-26T00:00:00"/>
        <d v="2022-08-27T00:00:00"/>
        <d v="2022-08-28T00:00:00"/>
        <d v="2022-08-29T00:00:00"/>
        <d v="2022-08-30T00:00:00"/>
        <d v="2022-08-31T00:00:00"/>
        <d v="2022-09-01T00:00:00"/>
        <d v="2022-09-02T00:00:00"/>
        <d v="2022-09-03T00:00:00"/>
        <d v="2022-09-04T00:00:00"/>
        <d v="2022-09-05T00:00:00"/>
        <d v="2022-09-06T00:00:00"/>
        <d v="2022-09-07T00:00:00"/>
        <d v="2022-09-08T00:00:00"/>
        <d v="2022-09-09T00:00:00"/>
        <d v="2022-09-10T00:00:00"/>
        <d v="2022-09-11T00:00:00"/>
        <d v="2022-09-12T00:00:00"/>
        <d v="2022-09-13T00:00:00"/>
        <d v="2022-09-14T00:00:00"/>
        <d v="2022-09-15T00:00:00"/>
        <d v="2022-09-16T00:00:00"/>
        <d v="2022-09-17T00:00:00"/>
        <d v="2022-09-18T00:00:00"/>
        <d v="2022-09-19T00:00:00"/>
        <d v="2022-09-20T00:00:00"/>
        <d v="2022-09-21T00:00:00"/>
        <d v="2022-09-22T00:00:00"/>
        <d v="2022-09-23T00:00:00"/>
        <d v="2022-09-24T00:00:00"/>
        <d v="2022-09-25T00:00:00"/>
        <d v="2022-09-26T00:00:00"/>
        <d v="2022-09-27T00:00:00"/>
        <d v="2022-09-28T00:00:00"/>
        <d v="2022-09-29T00:00:00"/>
        <d v="2022-09-30T00:00:00"/>
        <d v="2022-10-01T00:00:00"/>
        <d v="2022-10-02T00:00:00"/>
        <d v="2022-10-03T00:00:00"/>
        <d v="2022-10-04T00:00:00"/>
        <d v="2022-10-05T00:00:00"/>
        <d v="2022-10-06T00:00:00"/>
        <d v="2022-10-07T00:00:00"/>
        <d v="2022-10-08T00:00:00"/>
        <d v="2022-10-09T00:00:00"/>
        <d v="2022-10-10T00:00:00"/>
        <d v="2022-10-11T00:00:00"/>
        <d v="2022-10-12T00:00:00"/>
        <d v="2022-10-13T00:00:00"/>
        <d v="2022-10-14T00:00:00"/>
        <d v="2022-10-15T00:00:00"/>
        <d v="2022-10-16T00:00:00"/>
        <d v="2022-10-17T00:00:00"/>
        <d v="2022-10-18T00:00:00"/>
        <d v="2022-10-19T00:00:00"/>
        <d v="2022-10-20T00:00:00"/>
        <d v="2022-10-21T00:00:00"/>
        <d v="2022-10-22T00:00:00"/>
        <d v="2022-10-23T00:00:00"/>
        <d v="2022-10-24T00:00:00"/>
        <d v="2022-10-25T00:00:00"/>
        <d v="2022-10-26T00:00:00"/>
        <d v="2022-10-27T00:00:00"/>
        <d v="2022-10-28T00:00:00"/>
        <d v="2022-10-29T00:00:00"/>
        <d v="2022-10-30T00:00:00"/>
        <d v="2022-10-31T00:00:00"/>
        <d v="2022-11-01T00:00:00"/>
        <d v="2022-11-02T00:00:00"/>
        <d v="2022-11-03T00:00:00"/>
        <d v="2022-11-04T00:00:00"/>
        <d v="2022-11-05T00:00:00"/>
        <d v="2022-11-06T00:00:00"/>
        <d v="2022-11-07T00:00:00"/>
        <d v="2022-11-08T00:00:00"/>
        <d v="2022-11-09T00:00:00"/>
        <d v="2022-11-10T00:00:00"/>
        <d v="2022-11-11T00:00:00"/>
        <d v="2022-11-12T00:00:00"/>
        <d v="2022-11-13T00:00:00"/>
        <d v="2022-11-14T00:00:00"/>
        <d v="2022-11-15T00:00:00"/>
        <d v="2022-11-16T00:00:00"/>
        <d v="2022-11-17T00:00:00"/>
        <d v="2022-11-18T00:00:00"/>
        <d v="2022-11-19T00:00:00"/>
        <d v="2022-11-20T00:00:00"/>
        <d v="2022-11-21T00:00:00"/>
        <d v="2022-11-22T00:00:00"/>
        <d v="2022-11-23T00:00:00"/>
        <d v="2022-11-24T00:00:00"/>
        <d v="2022-11-25T00:00:00"/>
        <d v="2022-11-26T00:00:00"/>
        <d v="2022-11-27T00:00:00"/>
        <d v="2022-11-28T00:00:00"/>
        <d v="2022-11-29T00:00:00"/>
        <d v="2022-11-30T00:00:00"/>
        <d v="2022-12-01T00:00:00"/>
        <d v="2022-12-02T00:00:00"/>
        <d v="2022-12-03T00:00:00"/>
        <d v="2022-12-04T00:00:00"/>
        <d v="2022-12-05T00:00:00"/>
        <d v="2022-12-06T00:00:00"/>
        <d v="2022-12-07T00:00:00"/>
        <d v="2022-12-08T00:00:00"/>
        <d v="2022-12-09T00:00:00"/>
        <d v="2022-12-10T00:00:00"/>
        <d v="2022-12-11T00:00:00"/>
        <d v="2022-12-12T00:00:00"/>
        <d v="2022-12-13T00:00:00"/>
        <d v="2022-12-14T00:00:00"/>
        <d v="2022-12-15T00:00:00"/>
        <d v="2022-12-16T00:00:00"/>
        <d v="2022-12-17T00:00:00"/>
        <d v="2022-12-18T00:00:00"/>
        <d v="2022-12-19T00:00:00"/>
        <d v="2022-12-20T00:00:00"/>
        <d v="2022-12-21T00:00:00"/>
        <d v="2022-12-22T00:00:00"/>
        <d v="2022-12-23T00:00:00"/>
        <d v="2022-12-24T00:00:00"/>
        <d v="2022-12-25T00:00:00"/>
        <d v="2022-12-26T00:00:00"/>
        <d v="2022-12-27T00:00:00"/>
        <d v="2022-12-28T00:00:00"/>
        <d v="2022-12-29T00:00:00"/>
        <d v="2022-12-30T00:00:00"/>
        <d v="2022-12-31T00:00:00"/>
        <d v="2023-01-01T00:00:00"/>
        <d v="2023-01-02T00:00:00"/>
        <d v="2023-01-03T00:00:00"/>
        <d v="2023-01-04T00:00:00"/>
        <d v="2023-01-05T00:00:00"/>
        <d v="2023-01-06T00:00:00"/>
        <d v="2023-01-07T00:00:00"/>
        <d v="2023-01-08T00:00:00"/>
        <d v="2023-01-09T00:00:00"/>
        <d v="2023-01-10T00:00:00"/>
        <d v="2023-01-11T00:00:00"/>
        <d v="2023-01-12T00:00:00"/>
        <d v="2023-01-13T00:00:00"/>
        <d v="2023-01-14T00:00:00"/>
        <d v="2023-01-15T00:00:00"/>
        <d v="2023-01-16T00:00:00"/>
        <d v="2023-01-17T00:00:00"/>
        <d v="2023-01-18T00:00:00"/>
        <d v="2023-01-19T00:00:00"/>
        <d v="2023-01-20T00:00:00"/>
        <d v="2023-01-21T00:00:00"/>
        <d v="2023-01-22T00:00:00"/>
        <d v="2023-01-23T00:00:00"/>
        <d v="2023-01-24T00:00:00"/>
        <d v="2023-01-25T00:00:00"/>
        <d v="2023-01-26T00:00:00"/>
        <d v="2023-01-27T00:00:00"/>
        <d v="2023-01-28T00:00:00"/>
        <d v="2023-01-29T00:00:00"/>
        <d v="2023-01-30T00:00:00"/>
        <d v="2023-01-31T00:00:00"/>
        <d v="2023-02-01T00:00:00"/>
        <d v="2023-02-02T00:00:00"/>
        <d v="2023-02-03T00:00:00"/>
        <d v="2023-02-04T00:00:00"/>
        <d v="2023-02-05T00:00:00"/>
        <d v="2023-02-06T00:00:00"/>
        <d v="2023-02-07T00:00:00"/>
        <d v="2023-02-08T00:00:00"/>
        <d v="2023-02-09T00:00:00"/>
        <d v="2023-02-10T00:00:00"/>
        <d v="2023-02-11T00:00:00"/>
        <d v="2023-02-12T00:00:00"/>
        <d v="2023-02-13T00:00:00"/>
        <d v="2023-02-14T00:00:00"/>
        <d v="2023-02-15T00:00:00"/>
        <d v="2023-02-16T00:00:00"/>
        <d v="2023-02-17T00:00:00"/>
        <d v="2023-02-18T00:00:00"/>
        <d v="2023-02-19T00:00:00"/>
        <d v="2023-02-20T00:00:00"/>
        <d v="2023-02-21T00:00:00"/>
        <d v="2023-02-22T00:00:00"/>
        <d v="2023-02-23T00:00:00"/>
        <d v="2023-02-24T00:00:00"/>
        <d v="2023-02-25T00:00:00"/>
        <d v="2023-02-26T00:00:00"/>
        <d v="2023-02-27T00:00:00"/>
        <d v="2023-02-28T00:00:00"/>
        <d v="2023-03-01T00:00:00"/>
        <d v="2023-03-02T00:00:00"/>
        <d v="2023-03-03T00:00:00"/>
        <d v="2023-03-04T00:00:00"/>
        <d v="2023-03-05T00:00:00"/>
        <d v="2023-03-06T00:00:00"/>
        <d v="2023-03-07T00:00:00"/>
        <d v="2023-03-08T00:00:00"/>
        <d v="2023-03-09T00:00:00"/>
        <d v="2023-03-10T00:00:00"/>
        <d v="2023-03-11T00:00:00"/>
        <d v="2023-03-12T00:00:00"/>
        <d v="2023-03-13T00:00:00"/>
        <d v="2023-03-14T00:00:00"/>
        <d v="2023-03-15T00:00:00"/>
        <d v="2023-03-16T00:00:00"/>
        <d v="2023-03-17T00:00:00"/>
        <d v="2023-03-18T00:00:00"/>
        <d v="2023-03-19T00:00:00"/>
        <d v="2023-03-20T00:00:00"/>
        <d v="2023-03-21T00:00:00"/>
        <d v="2023-03-22T00:00:00"/>
        <d v="2023-03-23T00:00:00"/>
        <d v="2023-03-24T00:00:00"/>
        <d v="2023-03-25T00:00:00"/>
        <d v="2023-03-26T00:00:00"/>
        <d v="2023-03-27T00:00:00"/>
        <d v="2023-03-28T00:00:00"/>
        <d v="2023-03-29T00:00:00"/>
        <d v="2023-03-30T00:00:00"/>
        <d v="2023-03-31T00:00:00"/>
        <d v="2023-04-01T00:00:00"/>
        <d v="2023-04-02T00:00:00"/>
        <d v="2023-04-03T00:00:00"/>
        <d v="2023-04-04T00:00:00"/>
        <d v="2023-04-05T00:00:00"/>
        <d v="2023-04-06T00:00:00"/>
        <d v="2023-04-07T00:00:00"/>
        <d v="2023-04-08T00:00:00"/>
        <d v="2023-04-09T00:00:00"/>
        <d v="2023-04-10T00:00:00"/>
        <d v="2023-04-11T00:00:00"/>
        <d v="2023-04-12T00:00:00"/>
        <d v="2023-04-13T00:00:00"/>
        <d v="2023-04-14T00:00:00"/>
        <d v="2023-04-15T00:00:00"/>
        <d v="2023-04-16T00:00:00"/>
        <d v="2023-04-17T00:00:00"/>
        <d v="2023-04-18T00:00:00"/>
        <d v="2023-04-19T00:00:00"/>
        <d v="2023-04-20T00:00:00"/>
        <d v="2023-04-21T00:00:00"/>
        <d v="2023-04-22T00:00:00"/>
        <d v="2023-04-23T00:00:00"/>
        <d v="2023-04-24T00:00:00"/>
        <d v="2023-04-25T00:00:00"/>
        <d v="2023-04-26T00:00:00"/>
        <d v="2023-04-27T00:00:00"/>
        <d v="2023-04-28T00:00:00"/>
        <d v="2023-04-29T00:00:00"/>
        <d v="2023-04-30T00:00:00"/>
        <d v="2023-05-01T00:00:00"/>
        <d v="2023-05-02T00:00:00"/>
        <d v="2023-05-03T00:00:00"/>
        <d v="2023-05-04T00:00:00"/>
        <d v="2023-05-05T00:00:00"/>
        <d v="2023-05-06T00:00:00"/>
        <d v="2023-05-07T00:00:00"/>
        <d v="2023-05-08T00:00:00"/>
        <d v="2023-05-09T00:00:00"/>
        <d v="2023-05-10T00:00:00"/>
        <d v="2023-05-11T00:00:00"/>
        <d v="2023-05-12T00:00:00"/>
        <d v="2023-05-13T00:00:00"/>
        <d v="2023-05-14T00:00:00"/>
        <d v="2023-05-15T00:00:00"/>
        <d v="2023-05-16T00:00:00"/>
        <d v="2023-05-17T00:00:00"/>
        <d v="2023-05-18T00:00:00"/>
        <d v="2023-05-19T00:00:00"/>
        <d v="2023-05-20T00:00:00"/>
        <d v="2023-05-21T00:00:00"/>
        <d v="2023-05-22T00:00:00"/>
        <d v="2023-05-23T00:00:00"/>
        <d v="2023-05-24T00:00:00"/>
        <d v="2023-05-25T00:00:00"/>
        <d v="2023-05-26T00:00:00"/>
        <d v="2023-05-27T00:00:00"/>
        <d v="2023-05-28T00:00:00"/>
        <d v="2023-05-29T00:00:00"/>
        <d v="2023-05-30T00:00:00"/>
        <d v="2023-05-31T00:00:00"/>
        <d v="2023-06-01T00:00:00"/>
        <d v="2023-06-02T00:00:00"/>
        <d v="2023-06-03T00:00:00"/>
        <d v="2023-06-04T00:00:00"/>
        <d v="2023-06-05T00:00:00"/>
        <d v="2023-06-06T00:00:00"/>
        <d v="2023-06-07T00:00:00"/>
        <d v="2023-06-08T00:00:00"/>
        <d v="2023-06-09T00:00:00"/>
        <d v="2023-06-10T00:00:00"/>
        <d v="2023-06-11T00:00:00"/>
        <d v="2023-06-12T00:00:00"/>
        <d v="2023-06-13T00:00:00"/>
        <d v="2023-06-14T00:00:00"/>
        <d v="2023-06-15T00:00:00"/>
        <d v="2023-06-16T00:00:00"/>
        <d v="2023-06-17T00:00:00"/>
        <d v="2023-06-18T00:00:00"/>
        <d v="2023-06-19T00:00:00"/>
        <d v="2023-06-20T00:00:00"/>
        <d v="2023-06-21T00:00:00"/>
        <d v="2023-06-22T00:00:00"/>
        <d v="2023-06-23T00:00:00"/>
        <d v="2023-06-24T00:00:00"/>
        <d v="2023-06-25T00:00:00"/>
        <d v="2023-06-26T00:00:00"/>
        <d v="2023-06-27T00:00:00"/>
        <d v="2023-06-28T00:00:00"/>
        <d v="2023-06-29T00:00:00"/>
        <d v="2023-06-30T00:00:00"/>
        <d v="2023-07-01T00:00:00"/>
        <d v="2023-07-02T00:00:00"/>
        <d v="2023-07-03T00:00:00"/>
        <d v="2023-07-04T00:00:00"/>
        <d v="2023-07-05T00:00:00"/>
        <d v="2023-07-06T00:00:00"/>
        <d v="2023-07-07T00:00:00"/>
        <d v="2023-07-08T00:00:00"/>
        <d v="2023-07-09T00:00:00"/>
        <d v="2023-07-10T00:00:00"/>
        <d v="2023-07-11T00:00:00"/>
        <d v="2023-07-12T00:00:00"/>
        <d v="2023-07-13T00:00:00"/>
        <d v="2023-07-14T00:00:00"/>
        <d v="2023-07-15T00:00:00"/>
        <d v="2023-07-16T00:00:00"/>
        <d v="2023-07-17T00:00:00"/>
        <d v="2023-07-18T00:00:00"/>
        <d v="2023-07-19T00:00:00"/>
        <d v="2023-07-20T00:00:00"/>
        <d v="2023-07-21T00:00:00"/>
        <d v="2023-07-22T00:00:00"/>
        <d v="2023-07-23T00:00:00"/>
        <d v="2023-07-24T00:00:00"/>
        <d v="2023-07-25T00:00:00"/>
        <d v="2023-07-26T00:00:00"/>
        <d v="2023-07-27T00:00:00"/>
        <d v="2023-07-28T00:00:00"/>
        <d v="2023-07-29T00:00:00"/>
        <d v="2023-07-30T00:00:00"/>
        <d v="2023-07-31T00:00:00"/>
        <d v="2023-08-01T00:00:00"/>
        <d v="2023-08-02T00:00:00"/>
        <d v="2023-08-03T00:00:00"/>
        <d v="2023-08-04T00:00:00"/>
        <d v="2023-08-05T00:00:00"/>
        <d v="2023-08-06T00:00:00"/>
        <d v="2023-08-07T00:00:00"/>
        <d v="2023-08-08T00:00:00"/>
        <d v="2023-08-09T00:00:00"/>
        <d v="2023-08-10T00:00:00"/>
        <d v="2023-08-11T00:00:00"/>
        <d v="2023-08-12T00:00:00"/>
        <d v="2023-08-13T00:00:00"/>
        <d v="2023-08-14T00:00:00"/>
        <d v="2023-08-15T00:00:00"/>
        <d v="2023-08-16T00:00:00"/>
        <d v="2023-08-17T00:00:00"/>
        <d v="2023-08-18T00:00:00"/>
        <d v="2023-08-19T00:00:00"/>
        <d v="2023-08-20T00:00:00"/>
        <d v="2023-08-21T00:00:00"/>
        <d v="2023-08-22T00:00:00"/>
        <d v="2023-08-23T00:00:00"/>
        <d v="2023-08-24T00:00:00"/>
        <d v="2023-08-25T00:00:00"/>
        <d v="2023-08-26T00:00:00"/>
        <d v="2023-08-27T00:00:00"/>
        <d v="2023-08-28T00:00:00"/>
        <d v="2023-08-29T00:00:00"/>
        <d v="2023-08-30T00:00:00"/>
        <d v="2023-08-31T00:00:00"/>
        <d v="2023-09-01T00:00:00"/>
        <d v="2023-09-02T00:00:00"/>
        <d v="2023-09-03T00:00:00"/>
        <d v="2023-09-04T00:00:00"/>
        <d v="2023-09-05T00:00:00"/>
        <d v="2023-09-06T00:00:00"/>
        <d v="2023-09-07T00:00:00"/>
        <d v="2023-09-08T00:00:00"/>
        <d v="2023-09-09T00:00:00"/>
        <d v="2023-09-10T00:00:00"/>
        <d v="2023-09-11T00:00:00"/>
        <d v="2023-09-12T00:00:00"/>
        <d v="2023-09-13T00:00:00"/>
        <d v="2023-09-14T00:00:00"/>
        <d v="2023-09-15T00:00:00"/>
        <d v="2023-09-16T00:00:00"/>
        <d v="2023-09-17T00:00:00"/>
        <d v="2023-09-18T00:00:00"/>
        <d v="2023-09-19T00:00:00"/>
        <d v="2023-09-20T00:00:00"/>
        <d v="2023-09-21T00:00:00"/>
        <d v="2023-09-22T00:00:00"/>
        <d v="2023-09-23T00:00:00"/>
        <d v="2023-09-24T00:00:00"/>
        <d v="2023-09-25T00:00:00"/>
        <d v="2023-09-26T00:00:00"/>
        <d v="2023-09-27T00:00:00"/>
        <d v="2023-09-28T00:00:00"/>
        <d v="2023-09-29T00:00:00"/>
        <d v="2023-09-30T00:00:00"/>
        <d v="2023-10-01T00:00:00"/>
        <d v="2023-10-02T00:00:00"/>
        <d v="2023-10-03T00:00:00"/>
        <d v="2023-10-04T00:00:00"/>
        <d v="2023-10-05T00:00:00"/>
        <d v="2023-10-06T00:00:00"/>
        <d v="2023-10-07T00:00:00"/>
        <d v="2023-10-08T00:00:00"/>
        <d v="2023-10-09T00:00:00"/>
        <d v="2023-10-10T00:00:00"/>
        <d v="2023-10-11T00:00:00"/>
        <d v="2023-10-12T00:00:00"/>
        <d v="2023-10-13T00:00:00"/>
        <d v="2023-10-14T00:00:00"/>
        <d v="2023-10-15T00:00:00"/>
        <d v="2023-10-16T00:00:00"/>
        <d v="2023-10-17T00:00:00"/>
        <d v="2023-10-18T00:00:00"/>
        <d v="2023-10-19T00:00:00"/>
        <d v="2023-10-20T00:00:00"/>
        <d v="2023-10-21T00:00:00"/>
        <d v="2023-10-22T00:00:00"/>
        <d v="2023-10-23T00:00:00"/>
        <d v="2023-10-24T00:00:00"/>
        <d v="2023-10-25T00:00:00"/>
        <d v="2023-10-26T00:00:00"/>
        <d v="2023-10-27T00:00:00"/>
        <d v="2023-10-28T00:00:00"/>
        <d v="2023-10-29T00:00:00"/>
        <d v="2023-10-30T00:00:00"/>
        <d v="2023-10-31T00:00:00"/>
        <d v="2023-11-01T00:00:00"/>
        <d v="2023-11-02T00:00:00"/>
        <d v="2023-11-03T00:00:00"/>
        <d v="2023-11-04T00:00:00"/>
        <d v="2023-11-05T00:00:00"/>
        <d v="2023-11-06T00:00:00"/>
        <d v="2023-11-07T00:00:00"/>
        <d v="2023-11-08T00:00:00"/>
        <d v="2023-11-09T00:00:00"/>
        <d v="2023-11-10T00:00:00"/>
        <d v="2023-11-11T00:00:00"/>
        <d v="2023-11-12T00:00:00"/>
        <d v="2023-11-13T00:00:00"/>
        <d v="2023-11-14T00:00:00"/>
        <d v="2023-11-15T00:00:00"/>
        <d v="2023-11-16T00:00:00"/>
        <d v="2023-11-17T00:00:00"/>
        <d v="2023-11-18T00:00:00"/>
        <d v="2023-11-19T00:00:00"/>
        <d v="2023-11-20T00:00:00"/>
        <d v="2023-11-21T00:00:00"/>
        <d v="2023-11-22T00:00:00"/>
        <d v="2023-11-23T00:00:00"/>
        <d v="2023-11-24T00:00:00"/>
        <d v="2023-11-25T00:00:00"/>
        <d v="2023-11-26T00:00:00"/>
        <d v="2023-11-27T00:00:00"/>
        <d v="2023-11-28T00:00:00"/>
        <d v="2023-11-29T00:00:00"/>
        <d v="2023-11-30T00:00:00"/>
        <d v="2023-12-01T00:00:00"/>
        <d v="2023-12-02T00:00:00"/>
        <d v="2023-12-03T00:00:00"/>
        <d v="2023-12-04T00:00:00"/>
        <d v="2023-12-05T00:00:00"/>
        <d v="2023-12-06T00:00:00"/>
        <d v="2023-12-07T00:00:00"/>
        <d v="2023-12-08T00:00:00"/>
        <d v="2023-12-09T00:00:00"/>
        <d v="2023-12-10T00:00:00"/>
        <d v="2023-12-11T00:00:00"/>
        <d v="2023-12-12T00:00:00"/>
        <d v="2023-12-13T00:00:00"/>
        <d v="2023-12-14T00:00:00"/>
        <d v="2023-12-15T00:00:00"/>
        <d v="2023-12-16T00:00:00"/>
        <d v="2023-12-17T00:00:00"/>
        <d v="2023-12-18T00:00:00"/>
        <d v="2023-12-19T00:00:00"/>
        <d v="2023-12-20T00:00:00"/>
        <d v="2023-12-21T00:00:00"/>
        <d v="2023-12-22T00:00:00"/>
        <d v="2023-12-23T00:00:00"/>
        <d v="2023-12-24T00:00:00"/>
        <d v="2023-12-25T00:00:00"/>
        <d v="2023-12-26T00:00:00"/>
        <d v="2023-12-27T00:00:00"/>
        <d v="2023-12-28T00:00:00"/>
        <d v="2023-12-29T00:00:00"/>
        <d v="2023-12-30T00:00:00"/>
        <d v="2023-12-31T00:00:00"/>
        <d v="2024-01-01T00:00:00"/>
        <d v="2024-01-02T00:00:00"/>
        <d v="2024-01-03T00:00:00"/>
        <d v="2024-01-04T00:00:00"/>
        <d v="2024-01-05T00:00:00"/>
        <d v="2024-01-06T00:00:00"/>
        <d v="2024-01-07T00:00:00"/>
        <d v="2024-01-08T00:00:00"/>
        <d v="2024-01-09T00:00:00"/>
        <d v="2024-01-10T00:00:00"/>
        <d v="2024-01-11T00:00:00"/>
        <d v="2024-01-12T00:00:00"/>
        <d v="2024-01-13T00:00:00"/>
        <d v="2024-01-14T00:00:00"/>
        <d v="2024-01-15T00:00:00"/>
        <d v="2024-01-16T00:00:00"/>
        <d v="2024-01-17T00:00:00"/>
        <d v="2024-01-18T00:00:00"/>
        <d v="2024-01-19T00:00:00"/>
        <d v="2024-01-20T00:00:00"/>
        <d v="2024-01-21T00:00:00"/>
        <d v="2024-01-22T00:00:00"/>
        <d v="2024-01-23T00:00:00"/>
        <d v="2024-01-24T00:00:00"/>
        <d v="2024-01-25T00:00:00"/>
        <d v="2024-01-26T00:00:00"/>
        <d v="2024-01-27T00:00:00"/>
        <d v="2024-01-28T00:00:00"/>
        <d v="2024-01-29T00:00:00"/>
        <d v="2024-01-30T00:00:00"/>
        <d v="2024-01-31T00:00:00"/>
        <d v="2024-02-01T00:00:00"/>
        <d v="2024-02-02T00:00:00"/>
        <d v="2024-02-03T00:00:00"/>
        <d v="2024-02-04T00:00:00"/>
        <d v="2024-02-05T00:00:00"/>
        <d v="2024-02-06T00:00:00"/>
        <d v="2024-02-07T00:00:00"/>
        <d v="2024-02-08T00:00:00"/>
        <d v="2024-02-09T00:00:00"/>
        <d v="2024-02-10T00:00:00"/>
        <d v="2024-02-11T00:00:00"/>
        <d v="2024-02-12T00:00:00"/>
        <d v="2024-02-13T00:00:00"/>
        <d v="2024-02-14T00:00:00"/>
        <d v="2024-02-15T00:00:00"/>
        <d v="2024-02-16T00:00:00"/>
        <d v="2024-02-17T00:00:00"/>
        <d v="2024-02-18T00:00:00"/>
        <d v="2024-02-19T00:00:00"/>
        <d v="2024-02-20T00:00:00"/>
        <d v="2024-02-21T00:00:00"/>
        <d v="2024-02-22T00:00:00"/>
        <d v="2024-02-23T00:00:00"/>
        <d v="2024-02-24T00:00:00"/>
        <d v="2024-02-25T00:00:00"/>
        <d v="2024-02-26T00:00:00"/>
        <d v="2024-02-27T00:00:00"/>
        <d v="2024-02-28T00:00:00"/>
        <d v="2024-02-29T00:00:00"/>
        <d v="2024-03-01T00:00:00"/>
        <d v="2024-03-02T00:00:00"/>
        <d v="2024-03-03T00:00:00"/>
        <d v="2024-03-04T00:00:00"/>
        <d v="2024-03-05T00:00:00"/>
        <d v="2024-03-06T00:00:00"/>
        <d v="2024-03-07T00:00:00"/>
        <d v="2024-03-08T00:00:00"/>
        <d v="2024-03-09T00:00:00"/>
        <d v="2024-03-10T00:00:00"/>
        <d v="2024-03-11T00:00:00"/>
        <d v="2024-03-12T00:00:00"/>
        <d v="2024-03-13T00:00:00"/>
        <d v="2024-03-14T00:00:00"/>
        <d v="2024-03-15T00:00:00"/>
        <d v="2024-03-16T00:00:00"/>
        <d v="2024-03-17T00:00:00"/>
        <d v="2024-03-18T00:00:00"/>
        <d v="2024-03-19T00:00:00"/>
        <d v="2024-03-20T00:00:00"/>
        <d v="2024-03-21T00:00:00"/>
        <d v="2024-03-22T00:00:00"/>
        <d v="2024-03-23T00:00:00"/>
        <d v="2024-03-24T00:00:00"/>
        <d v="2024-03-25T00:00:00"/>
        <d v="2024-03-26T00:00:00"/>
        <d v="2024-03-27T00:00:00"/>
        <d v="2024-03-28T00:00:00"/>
        <d v="2024-03-29T00:00:00"/>
        <d v="2024-03-30T00:00:00"/>
        <d v="2024-03-31T00:00:00"/>
        <d v="2024-04-01T00:00:00"/>
        <d v="2024-04-02T00:00:00"/>
        <d v="2024-04-03T00:00:00"/>
        <d v="2024-04-04T00:00:00"/>
        <d v="2024-04-05T00:00:00"/>
        <d v="2024-04-06T00:00:00"/>
        <d v="2024-04-07T00:00:00"/>
        <d v="2024-04-08T00:00:00"/>
        <d v="2024-04-09T00:00:00"/>
        <d v="2024-04-10T00:00:00"/>
        <d v="2024-04-11T00:00:00"/>
        <d v="2024-04-12T00:00:00"/>
        <d v="2024-04-13T00:00:00"/>
        <d v="2024-04-14T00:00:00"/>
        <d v="2024-04-15T00:00:00"/>
        <d v="2024-04-16T00:00:00"/>
        <d v="2024-04-17T00:00:00"/>
        <d v="2024-04-18T00:00:00"/>
        <d v="2024-04-19T00:00:00"/>
        <d v="2024-04-20T00:00:00"/>
        <d v="2024-04-21T00:00:00"/>
        <d v="2024-04-22T00:00:00"/>
        <d v="2024-04-23T00:00:00"/>
        <d v="2024-04-24T00:00:00"/>
        <d v="2024-04-25T00:00:00"/>
        <d v="2024-04-26T00:00:00"/>
        <d v="2024-04-27T00:00:00"/>
        <d v="2024-04-28T00:00:00"/>
        <d v="2024-04-29T00:00:00"/>
        <d v="2024-04-30T00:00:00"/>
        <d v="2024-05-01T00:00:00"/>
        <d v="2024-05-02T00:00:00"/>
        <d v="2024-05-03T00:00:00"/>
        <d v="2024-05-04T00:00:00"/>
        <d v="2024-05-05T00:00:00"/>
        <d v="2024-05-06T00:00:00"/>
        <d v="2024-05-07T00:00:00"/>
        <d v="2024-05-08T00:00:00"/>
        <d v="2024-05-09T00:00:00"/>
        <d v="2024-05-10T00:00:00"/>
        <d v="2024-05-11T00:00:00"/>
        <d v="2024-05-12T00:00:00"/>
        <d v="2024-05-13T00:00:00"/>
        <d v="2024-05-14T00:00:00"/>
        <d v="2024-05-15T00:00:00"/>
        <d v="2024-05-16T00:00:00"/>
        <d v="2024-05-17T00:00:00"/>
        <d v="2024-05-18T00:00:00"/>
        <d v="2024-05-19T00:00:00"/>
        <d v="2024-05-20T00:00:00"/>
        <d v="2024-05-21T00:00:00"/>
        <d v="2024-05-22T00:00:00"/>
        <d v="2024-05-23T00:00:00"/>
        <d v="2024-05-24T00:00:00"/>
        <d v="2024-05-25T00:00:00"/>
        <d v="2024-05-26T00:00:00"/>
        <d v="2024-05-27T00:00:00"/>
        <d v="2024-05-28T00:00:00"/>
        <d v="2024-05-29T00:00:00"/>
        <d v="2024-05-30T00:00:00"/>
        <d v="2024-05-31T00:00:00"/>
        <d v="2024-06-01T00:00:00"/>
        <d v="2024-06-02T00:00:00"/>
        <d v="2024-06-03T00:00:00"/>
        <d v="2024-06-04T00:00:00"/>
        <d v="2024-06-05T00:00:00"/>
        <d v="2024-06-06T00:00:00"/>
        <d v="2024-06-07T00:00:00"/>
        <d v="2024-06-08T00:00:00"/>
        <d v="2024-06-09T00:00:00"/>
        <d v="2024-06-10T00:00:00"/>
        <d v="2024-06-11T00:00:00"/>
        <d v="2024-06-12T00:00:00"/>
        <d v="2024-06-13T00:00:00"/>
        <d v="2024-06-14T00:00:00"/>
        <d v="2024-06-15T00:00:00"/>
        <d v="2024-06-16T00:00:00"/>
        <d v="2024-06-17T00:00:00"/>
        <d v="2024-06-18T00:00:00"/>
        <d v="2024-06-19T00:00:00"/>
        <d v="2024-06-20T00:00:00"/>
        <d v="2024-06-21T00:00:00"/>
        <d v="2024-06-22T00:00:00"/>
        <d v="2024-06-23T00:00:00"/>
        <d v="2024-06-24T00:00:00"/>
        <d v="2024-06-25T00:00:00"/>
        <d v="2024-06-26T00:00:00"/>
        <d v="2024-06-27T00:00:00"/>
        <d v="2024-06-28T00:00:00"/>
        <d v="2024-06-29T00:00:00"/>
        <d v="2024-06-30T00:00:00"/>
        <d v="2024-07-01T00:00:00"/>
        <d v="2024-07-02T00:00:00"/>
        <d v="2024-07-03T00:00:00"/>
        <d v="2024-07-04T00:00:00"/>
        <d v="2024-07-05T00:00:00"/>
        <d v="2024-07-06T00:00:00"/>
        <d v="2024-07-07T00:00:00"/>
        <d v="2024-07-08T00:00:00"/>
        <d v="2024-07-09T00:00:00"/>
        <d v="2024-07-10T00:00:00"/>
        <d v="2024-07-11T00:00:00"/>
        <d v="2024-07-12T00:00:00"/>
        <d v="2024-07-13T00:00:00"/>
        <d v="2024-07-14T00:00:00"/>
        <d v="2024-07-15T00:00:00"/>
        <d v="2024-07-16T00:00:00"/>
        <d v="2024-07-17T00:00:00"/>
        <d v="2024-07-18T00:00:00"/>
        <d v="2024-07-19T00:00:00"/>
        <d v="2024-07-20T00:00:00"/>
        <d v="2024-07-21T00:00:00"/>
        <d v="2024-07-22T00:00:00"/>
        <d v="2024-07-23T00:00:00"/>
        <d v="2024-07-24T00:00:00"/>
        <d v="2024-07-25T00:00:00"/>
        <d v="2024-07-26T00:00:00"/>
        <d v="2024-07-27T00:00:00"/>
        <d v="2024-07-28T00:00:00"/>
        <d v="2024-07-29T00:00:00"/>
        <d v="2024-07-30T00:00:00"/>
        <d v="2024-07-31T00:00:00"/>
        <d v="2024-08-01T00:00:00"/>
        <d v="2024-08-02T00:00:00"/>
        <d v="2024-08-03T00:00:00"/>
        <d v="2024-08-04T00:00:00"/>
        <d v="2024-08-05T00:00:00"/>
        <d v="2024-08-06T00:00:00"/>
        <d v="2024-08-07T00:00:00"/>
        <d v="2024-08-08T00:00:00"/>
        <d v="2024-08-09T00:00:00"/>
        <d v="2024-08-10T00:00:00"/>
        <d v="2024-08-11T00:00:00"/>
        <d v="2024-08-12T00:00:00"/>
        <d v="2024-08-13T00:00:00"/>
        <d v="2024-08-14T00:00:00"/>
        <d v="2024-08-15T00:00:00"/>
        <d v="2024-08-16T00:00:00"/>
        <d v="2024-08-17T00:00:00"/>
        <d v="2024-08-18T00:00:00"/>
        <d v="2024-08-19T00:00:00"/>
        <d v="2024-08-20T00:00:00"/>
        <d v="2024-08-21T00:00:00"/>
        <d v="2024-08-22T00:00:00"/>
        <d v="2024-08-23T00:00:00"/>
        <d v="2024-08-24T00:00:00"/>
        <d v="2024-08-25T00:00:00"/>
        <d v="2024-08-26T00:00:00"/>
        <d v="2024-08-27T00:00:00"/>
        <d v="2024-08-28T00:00:00"/>
        <d v="2024-08-29T00:00:00"/>
        <d v="2024-08-30T00:00:00"/>
        <d v="2024-08-31T00:00:00"/>
        <d v="2024-09-01T00:00:00"/>
        <d v="2024-09-02T00:00:00"/>
        <d v="2024-09-03T00:00:00"/>
        <d v="2024-09-04T00:00:00"/>
        <d v="2024-09-05T00:00:00"/>
        <d v="2024-09-06T00:00:00"/>
        <d v="2024-09-07T00:00:00"/>
        <d v="2024-09-08T00:00:00"/>
        <d v="2024-09-09T00:00:00"/>
        <d v="2024-09-10T00:00:00"/>
        <d v="2024-09-11T00:00:00"/>
        <d v="2024-09-12T00:00:00"/>
        <d v="2024-09-13T00:00:00"/>
        <d v="2024-09-14T00:00:00"/>
        <d v="2024-09-15T00:00:00"/>
        <d v="2024-09-16T00:00:00"/>
        <d v="2024-09-17T00:00:00"/>
        <d v="2024-09-18T00:00:00"/>
        <d v="2024-09-19T00:00:00"/>
        <d v="2024-09-20T00:00:00"/>
        <d v="2024-09-21T00:00:00"/>
        <d v="2024-09-22T00:00:00"/>
        <d v="2024-09-23T00:00:00"/>
        <d v="2024-09-24T00:00:00"/>
        <d v="2024-09-25T00:00:00"/>
        <d v="2024-09-26T00:00:00"/>
        <d v="2024-09-27T00:00:00"/>
        <d v="2024-09-28T00:00:00"/>
        <d v="2024-09-29T00:00:00"/>
        <d v="2024-09-30T00:00:00"/>
        <d v="2024-10-01T00:00:00"/>
        <d v="2024-10-02T00:00:00"/>
        <d v="2024-10-03T00:00:00"/>
        <d v="2024-10-04T00:00:00"/>
        <d v="2024-10-05T00:00:00"/>
        <d v="2024-10-06T00:00:00"/>
        <d v="2024-10-07T00:00:00"/>
        <d v="2024-10-08T00:00:00"/>
        <d v="2024-10-09T00:00:00"/>
        <d v="2024-10-10T00:00:00"/>
        <d v="2024-10-11T00:00:00"/>
        <d v="2024-10-12T00:00:00"/>
        <d v="2024-10-13T00:00:00"/>
        <d v="2024-10-14T00:00:00"/>
        <d v="2024-10-15T00:00:00"/>
        <d v="2024-10-16T00:00:00"/>
        <d v="2024-10-17T00:00:00"/>
        <d v="2024-10-18T00:00:00"/>
        <d v="2024-10-19T00:00:00"/>
        <d v="2024-10-20T00:00:00"/>
        <d v="2024-10-21T00:00:00"/>
        <d v="2024-10-22T00:00:00"/>
        <d v="2024-10-23T00:00:00"/>
        <d v="2024-10-24T00:00:00"/>
        <d v="2024-10-25T00:00:00"/>
        <d v="2024-10-26T00:00:00"/>
        <d v="2024-10-27T00:00:00"/>
        <d v="2024-10-28T00:00:00"/>
        <d v="2024-10-29T00:00:00"/>
        <d v="2024-10-30T00:00:00"/>
        <d v="2024-10-31T00:00:00"/>
        <d v="2024-11-01T00:00:00"/>
        <d v="2024-11-02T00:00:00"/>
        <d v="2024-11-03T00:00:00"/>
        <d v="2024-11-04T00:00:00"/>
        <d v="2024-11-05T00:00:00"/>
        <d v="2024-11-06T00:00:00"/>
        <d v="2024-11-07T00:00:00"/>
        <d v="2024-11-08T00:00:00"/>
        <d v="2024-11-09T00:00:00"/>
        <d v="2024-11-10T00:00:00"/>
        <d v="2024-11-11T00:00:00"/>
        <d v="2024-11-12T00:00:00"/>
        <d v="2024-11-13T00:00:00"/>
        <d v="2024-11-14T00:00:00"/>
        <d v="2024-11-15T00:00:00"/>
        <d v="2024-11-16T00:00:00"/>
        <d v="2024-11-17T00:00:00"/>
        <d v="2024-11-18T00:00:00"/>
        <d v="2024-11-19T00:00:00"/>
        <d v="2024-11-20T00:00:00"/>
        <d v="2024-11-21T00:00:00"/>
        <d v="2024-11-22T00:00:00"/>
        <d v="2024-11-23T00:00:00"/>
        <d v="2024-11-24T00:00:00"/>
        <d v="2024-11-25T00:00:00"/>
        <d v="2024-11-26T00:00:00"/>
        <d v="2024-11-27T00:00:00"/>
        <d v="2024-11-28T00:00:00"/>
        <d v="2024-11-29T00:00:00"/>
        <d v="2024-11-30T00:00:00"/>
        <d v="2024-12-01T00:00:00"/>
        <d v="2024-12-02T00:00:00"/>
        <d v="2024-12-03T00:00:00"/>
        <d v="2024-12-04T00:00:00"/>
        <d v="2024-12-05T00:00:00"/>
        <d v="2024-12-06T00:00:00"/>
        <d v="2024-12-07T00:00:00"/>
        <d v="2024-12-08T00:00:00"/>
        <d v="2024-12-09T00:00:00"/>
        <d v="2024-12-10T00:00:00"/>
        <d v="2024-12-11T00:00:00"/>
        <d v="2024-12-12T00:00:00"/>
        <d v="2024-12-13T00:00:00"/>
        <d v="2024-12-14T00:00:00"/>
        <d v="2024-12-15T00:00:00"/>
        <d v="2024-12-16T00:00:00"/>
        <d v="2024-12-17T00:00:00"/>
        <d v="2024-12-18T00:00:00"/>
        <d v="2024-12-19T00:00:00"/>
        <d v="2024-12-20T00:00:00"/>
        <d v="2024-12-21T00:00:00"/>
        <d v="2024-12-22T00:00:00"/>
        <d v="2024-12-23T00:00:00"/>
        <d v="2024-12-24T00:00:00"/>
        <d v="2024-12-25T00:00:00"/>
        <d v="2024-12-26T00:00:00"/>
        <d v="2024-12-27T00:00:00"/>
        <d v="2024-12-28T00:00:00"/>
        <d v="2024-12-29T00:00:00"/>
        <d v="2024-12-30T00:00:00"/>
        <d v="2024-12-31T00:00:00"/>
        <d v="2025-01-01T00:00:00"/>
        <d v="2025-01-02T00:00:00"/>
        <d v="2025-01-03T00:00:00"/>
        <d v="2025-01-04T00:00:00"/>
        <d v="2025-01-05T00:00:00"/>
        <d v="2025-01-06T00:00:00"/>
        <d v="2025-01-07T00:00:00"/>
        <d v="2025-01-08T00:00:00"/>
        <d v="2025-01-09T00:00:00"/>
        <d v="2025-01-10T00:00:00"/>
        <d v="2025-01-11T00:00:00"/>
        <d v="2025-01-12T00:00:00"/>
        <d v="2025-01-13T00:00:00"/>
        <d v="2025-01-14T00:00:00"/>
        <d v="2025-01-15T00:00:00"/>
        <d v="2025-01-16T00:00:00"/>
        <d v="2025-01-17T00:00:00"/>
        <d v="2025-01-18T00:00:00"/>
        <d v="2025-01-19T00:00:00"/>
        <d v="2025-01-20T00:00:00"/>
        <d v="2025-01-21T00:00:00"/>
        <d v="2025-01-22T00:00:00"/>
        <d v="2025-01-23T00:00:00"/>
        <d v="2025-01-24T00:00:00"/>
        <d v="2025-01-25T00:00:00"/>
        <d v="2025-01-26T00:00:00"/>
        <d v="2025-01-27T00:00:00"/>
        <d v="2025-01-28T00:00:00"/>
        <d v="2025-01-29T00:00:00"/>
        <d v="2025-01-30T00:00:00"/>
        <d v="2025-01-31T00:00:00"/>
        <d v="2025-02-01T00:00:00"/>
        <d v="2025-02-02T00:00:00"/>
        <d v="2025-02-03T00:00:00"/>
        <d v="2025-02-04T00:00:00"/>
        <d v="2025-02-05T00:00:00"/>
        <d v="2025-02-06T00:00:00"/>
        <d v="2025-02-07T00:00:00"/>
        <d v="2025-02-08T00:00:00"/>
        <d v="2025-02-09T00:00:00"/>
        <d v="2025-02-10T00:00:00"/>
        <d v="2025-02-11T00:00:00"/>
        <d v="2025-02-12T00:00:00"/>
        <d v="2025-02-13T00:00:00"/>
        <d v="2025-02-14T00:00:00"/>
        <d v="2025-02-15T00:00:00"/>
        <d v="2025-02-16T00:00:00"/>
        <d v="2025-02-17T00:00:00"/>
        <d v="2025-02-18T00:00:00"/>
        <d v="2025-02-19T00:00:00"/>
        <d v="2025-02-20T00:00:00"/>
        <d v="2025-02-21T00:00:00"/>
        <d v="2025-02-22T00:00:00"/>
        <d v="2025-02-23T00:00:00"/>
        <d v="2025-02-24T00:00:00"/>
        <d v="2025-02-25T00:00:00"/>
        <d v="2025-02-26T00:00:00"/>
        <d v="2025-02-27T00:00:00"/>
        <d v="2025-02-28T00:00:00"/>
        <d v="2025-03-01T00:00:00"/>
        <d v="2025-03-02T00:00:00"/>
        <d v="2025-03-03T00:00:00"/>
        <d v="2025-03-04T00:00:00"/>
        <d v="2025-03-05T00:00:00"/>
        <d v="2025-03-06T00:00:00"/>
        <d v="2025-03-07T00:00:00"/>
        <d v="2025-03-08T00:00:00"/>
        <d v="2025-03-09T00:00:00"/>
        <d v="2025-03-10T00:00:00"/>
        <d v="2025-03-11T00:00:00"/>
        <d v="2025-03-12T00:00:00"/>
        <d v="2025-03-13T00:00:00"/>
        <d v="2025-03-14T00:00:00"/>
        <d v="2025-03-15T00:00:00"/>
        <d v="2025-03-16T00:00:00"/>
        <d v="2025-03-17T00:00:00"/>
        <d v="2025-03-18T00:00:00"/>
        <d v="2025-03-19T00:00:00"/>
        <d v="2025-03-20T00:00:00"/>
        <d v="2025-03-21T00:00:00"/>
        <d v="2025-03-22T00:00:00"/>
        <d v="2025-03-23T00:00:00"/>
        <d v="2025-03-24T00:00:00"/>
        <d v="2025-03-25T00:00:00"/>
        <d v="2025-03-26T00:00:00"/>
        <d v="2025-03-27T00:00:00"/>
        <d v="2025-03-28T00:00:00"/>
        <d v="2025-03-29T00:00:00"/>
        <d v="2025-03-30T00:00:00"/>
        <d v="2025-03-31T00:00:00"/>
        <d v="2025-04-01T00:00:00"/>
        <d v="2025-04-02T00:00:00"/>
        <d v="2025-04-03T00:00:00"/>
        <d v="2025-04-04T00:00:00"/>
        <d v="2025-04-05T00:00:00"/>
        <d v="2025-04-06T00:00:00"/>
        <d v="2025-04-07T00:00:00"/>
        <d v="2025-04-08T00:00:00"/>
        <d v="2025-04-09T00:00:00"/>
        <d v="2025-04-10T00:00:00"/>
        <d v="2025-04-11T00:00:00"/>
        <d v="2025-04-12T00:00:00"/>
        <d v="2025-04-13T00:00:00"/>
        <d v="2025-04-14T00:00:00"/>
        <d v="2025-04-15T00:00:00"/>
        <d v="2025-04-16T00:00:00"/>
        <d v="2025-04-17T00:00:00"/>
        <d v="2025-04-18T00:00:00"/>
        <d v="2025-04-19T00:00:00"/>
        <d v="2025-04-20T00:00:00"/>
        <d v="2025-04-21T00:00:00"/>
        <d v="2025-04-22T00:00:00"/>
        <d v="2025-04-23T00:00:00"/>
        <d v="2025-04-24T00:00:00"/>
        <d v="2025-04-25T00:00:00"/>
        <d v="2025-04-26T00:00:00"/>
        <d v="2025-04-27T00:00:00"/>
        <d v="2025-04-28T00:00:00"/>
        <d v="2025-04-29T00:00:00"/>
        <d v="2025-04-30T00:00:00"/>
        <d v="2025-05-01T00:00:00"/>
        <d v="2025-05-02T00:00:00"/>
        <d v="2025-05-03T00:00:00"/>
        <d v="2025-05-04T00:00:00"/>
        <d v="2025-05-05T00:00:00"/>
        <d v="2025-05-06T00:00:00"/>
        <d v="2025-05-07T00:00:00"/>
        <d v="2025-05-08T00:00:00"/>
        <d v="2025-05-09T00:00:00"/>
        <d v="2025-05-10T00:00:00"/>
        <d v="2025-05-11T00:00:00"/>
        <d v="2025-05-12T00:00:00"/>
        <d v="2025-05-13T00:00:00"/>
        <d v="2025-05-14T00:00:00"/>
        <d v="2025-05-15T00:00:00"/>
        <d v="2025-05-16T00:00:00"/>
        <d v="2025-05-17T00:00:00"/>
        <d v="2025-05-18T00:00:00"/>
        <d v="2025-05-19T00:00:00"/>
        <d v="2025-05-20T00:00:00"/>
        <d v="2025-05-21T00:00:00"/>
        <d v="2025-05-22T00:00:00"/>
        <d v="2025-05-23T00:00:00"/>
        <d v="2025-05-24T00:00:00"/>
        <d v="2025-05-25T00:00:00"/>
        <d v="2025-05-26T00:00:00"/>
        <d v="2025-05-27T00:00:00"/>
        <d v="2025-05-28T00:00:00"/>
        <d v="2025-05-29T00:00:00"/>
        <d v="2025-05-30T00:00:00"/>
        <d v="2025-05-31T00:00:00"/>
        <d v="2025-06-01T00:00:00"/>
        <d v="2025-06-02T00:00:00"/>
        <d v="2025-06-03T00:00:00"/>
        <d v="2025-06-04T00:00:00"/>
        <d v="2025-06-05T00:00:00"/>
        <d v="2025-06-06T00:00:00"/>
        <d v="2025-06-07T00:00:00"/>
        <d v="2025-06-08T00:00:00"/>
        <d v="2025-06-09T00:00:00"/>
        <d v="2025-06-10T00:00:00"/>
        <d v="2025-06-11T00:00:00"/>
        <d v="2025-06-12T00:00:00"/>
        <d v="2025-06-13T00:00:00"/>
        <d v="2025-06-14T00:00:00"/>
        <d v="2025-06-15T00:00:00"/>
        <d v="2025-06-16T00:00:00"/>
        <d v="2025-06-17T00:00:00"/>
        <d v="2025-06-18T00:00:00"/>
        <d v="2025-06-19T00:00:00"/>
        <d v="2025-06-20T00:00:00"/>
        <d v="2025-06-21T00:00:00"/>
        <d v="2025-06-22T00:00:00"/>
        <d v="2025-06-23T00:00:00"/>
        <d v="2025-06-24T00:00:00"/>
        <d v="2025-06-25T00:00:00"/>
        <d v="2025-06-26T00:00:00"/>
        <d v="2025-06-27T00:00:00"/>
        <d v="2025-06-28T00:00:00"/>
        <d v="2025-06-29T00:00:00"/>
        <d v="2025-06-30T00:00:00"/>
        <d v="2025-07-01T00:00:00"/>
        <d v="2025-07-02T00:00:00"/>
        <d v="2025-07-03T00:00:00"/>
        <d v="2025-07-04T00:00:00"/>
        <d v="2025-07-05T00:00:00"/>
        <d v="2025-07-06T00:00:00"/>
        <d v="2025-07-07T00:00:00"/>
        <d v="2025-07-08T00:00:00"/>
        <d v="2025-07-09T00:00:00"/>
        <d v="2025-07-10T00:00:00"/>
        <d v="2025-07-11T00:00:00"/>
        <d v="2025-07-12T00:00:00"/>
        <d v="2025-07-13T00:00:00"/>
        <d v="2025-07-14T00:00:00"/>
        <d v="2025-07-15T00:00:00"/>
        <d v="2025-07-16T00:00:00"/>
        <d v="2025-07-17T00:00:00"/>
        <d v="2025-07-18T00:00:00"/>
        <d v="2025-07-19T00:00:00"/>
        <d v="2025-07-20T00:00:00"/>
        <d v="2025-07-21T00:00:00"/>
        <d v="2025-07-22T00:00:00"/>
        <d v="2025-07-23T00:00:00"/>
        <d v="2025-07-24T00:00:00"/>
        <d v="2025-07-25T00:00:00"/>
        <d v="2025-07-26T00:00:00"/>
        <d v="2025-07-27T00:00:00"/>
        <d v="2025-07-28T00:00:00"/>
        <d v="2025-07-29T00:00:00"/>
        <d v="2025-07-30T00:00:00"/>
        <d v="2025-07-31T00:00:00"/>
        <d v="2025-08-01T00:00:00"/>
        <d v="2025-08-02T00:00:00"/>
        <d v="2025-08-03T00:00:00"/>
        <d v="2025-08-04T00:00:00"/>
        <d v="2025-08-05T00:00:00"/>
        <d v="2025-08-06T00:00:00"/>
        <d v="2025-08-07T00:00:00"/>
        <d v="2025-08-08T00:00:00"/>
        <d v="2025-08-09T00:00:00"/>
        <d v="2025-08-10T00:00:00"/>
        <d v="2025-08-11T00:00:00"/>
        <d v="2025-08-12T00:00:00"/>
        <d v="2025-08-13T00:00:00"/>
        <d v="2025-08-14T00:00:00"/>
        <d v="2025-08-15T00:00:00"/>
        <d v="2025-08-16T00:00:00"/>
        <d v="2025-08-17T00:00:00"/>
        <d v="2025-08-18T00:00:00"/>
        <d v="2025-08-19T00:00:00"/>
        <d v="2025-08-20T00:00:00"/>
        <d v="2025-08-21T00:00:00"/>
        <d v="2025-08-22T00:00:00"/>
        <d v="2025-08-23T00:00:00"/>
        <d v="2025-08-24T00:00:00"/>
        <d v="2025-08-25T00:00:00"/>
        <d v="2025-08-26T00:00:00"/>
        <d v="2025-08-27T00:00:00"/>
        <d v="2025-08-28T00:00:00"/>
        <d v="2025-08-29T00:00:00"/>
        <d v="2025-08-30T00:00:00"/>
        <d v="2025-08-31T00:00:00"/>
        <d v="2025-09-01T00:00:00"/>
        <d v="2025-09-02T00:00:00"/>
        <d v="2025-09-03T00:00:00"/>
        <d v="2025-09-04T00:00:00"/>
        <d v="2025-09-05T00:00:00"/>
        <d v="2025-09-06T00:00:00"/>
        <d v="2025-09-07T00:00:00"/>
        <d v="2025-09-08T00:00:00"/>
        <d v="2025-09-09T00:00:00"/>
        <d v="2025-09-10T00:00:00"/>
        <d v="2025-09-11T00:00:00"/>
        <d v="2025-09-12T00:00:00"/>
        <d v="2025-09-13T00:00:00"/>
        <d v="2025-09-14T00:00:00"/>
        <d v="2025-09-15T00:00:00"/>
        <d v="2025-09-16T00:00:00"/>
        <d v="2025-09-17T00:00:00"/>
        <d v="2025-09-18T00:00:00"/>
        <d v="2025-09-19T00:00:00"/>
        <d v="2025-09-20T00:00:00"/>
        <d v="2025-09-21T00:00:00"/>
        <d v="2025-09-22T00:00:00"/>
        <d v="2025-09-23T00:00:00"/>
        <d v="2025-09-24T00:00:00"/>
        <d v="2025-09-25T00:00:00"/>
        <d v="2025-09-26T00:00:00"/>
        <d v="2025-09-27T00:00:00"/>
        <d v="2025-09-28T00:00:00"/>
        <d v="2025-09-29T00:00:00"/>
        <d v="2025-09-30T00:00:00"/>
        <d v="2025-10-01T00:00:00"/>
        <d v="2025-10-02T00:00:00"/>
        <d v="2025-10-03T00:00:00"/>
        <d v="2025-10-04T00:00:00"/>
        <d v="2025-10-05T00:00:00"/>
        <d v="2025-10-06T00:00:00"/>
        <d v="2025-10-07T00:00:00"/>
        <d v="2025-10-08T00:00:00"/>
        <d v="2025-10-09T00:00:00"/>
        <d v="2025-10-10T00:00:00"/>
        <d v="2025-10-11T00:00:00"/>
        <d v="2025-10-12T00:00:00"/>
        <d v="2025-10-13T00:00:00"/>
        <d v="2025-10-14T00:00:00"/>
        <d v="2025-10-15T00:00:00"/>
        <d v="2025-10-16T00:00:00"/>
        <d v="2025-10-17T00:00:00"/>
        <d v="2025-10-18T00:00:00"/>
        <d v="2025-10-19T00:00:00"/>
        <d v="2025-10-20T00:00:00"/>
        <d v="2025-10-21T00:00:00"/>
        <d v="2025-10-22T00:00:00"/>
        <d v="2025-10-23T00:00:00"/>
        <d v="2025-10-24T00:00:00"/>
        <d v="2025-10-25T00:00:00"/>
        <d v="2025-10-26T00:00:00"/>
        <d v="2025-10-27T00:00:00"/>
        <d v="2025-10-28T00:00:00"/>
        <d v="2025-10-29T00:00:00"/>
        <d v="2025-10-30T00:00:00"/>
        <d v="2025-10-31T00:00:00"/>
        <d v="2025-11-01T00:00:00"/>
        <d v="2025-11-02T00:00:00"/>
        <d v="2025-11-03T00:00:00"/>
        <d v="2025-11-04T00:00:00"/>
        <d v="2025-11-05T00:00:00"/>
        <d v="2025-11-06T00:00:00"/>
        <d v="2025-11-07T00:00:00"/>
        <d v="2025-11-08T00:00:00"/>
        <d v="2025-11-09T00:00:00"/>
        <d v="2025-11-10T00:00:00"/>
        <d v="2025-11-11T00:00:00"/>
        <d v="2025-11-12T00:00:00"/>
        <d v="2025-11-13T00:00:00"/>
        <d v="2025-11-14T00:00:00"/>
        <d v="2025-11-15T00:00:00"/>
        <d v="2025-11-16T00:00:00"/>
        <d v="2025-11-17T00:00:00"/>
        <d v="2025-11-18T00:00:00"/>
        <d v="2025-11-19T00:00:00"/>
        <d v="2025-11-20T00:00:00"/>
        <d v="2025-11-21T00:00:00"/>
        <d v="2025-11-22T00:00:00"/>
        <d v="2025-11-23T00:00:00"/>
        <d v="2025-11-24T00:00:00"/>
        <d v="2025-11-25T00:00:00"/>
        <d v="2025-11-26T00:00:00"/>
        <d v="2025-11-27T00:00:00"/>
        <d v="2025-11-28T00:00:00"/>
        <d v="2025-11-29T00:00:00"/>
        <d v="2025-11-30T00:00:00"/>
        <d v="2025-12-01T00:00:00"/>
        <d v="2025-12-02T00:00:00"/>
        <d v="2025-12-03T00:00:00"/>
        <d v="2025-12-04T00:00:00"/>
        <d v="2025-12-05T00:00:00"/>
        <d v="2025-12-06T00:00:00"/>
        <d v="2025-12-07T00:00:00"/>
        <d v="2025-12-08T00:00:00"/>
        <d v="2025-12-09T00:00:00"/>
        <d v="2025-12-10T00:00:00"/>
        <d v="2025-12-11T00:00:00"/>
        <d v="2025-12-12T00:00:00"/>
        <d v="2025-12-13T00:00:00"/>
        <d v="2025-12-14T00:00:00"/>
        <d v="2025-12-15T00:00:00"/>
        <d v="2025-12-16T00:00:00"/>
        <d v="2025-12-17T00:00:00"/>
        <d v="2025-12-18T00:00:00"/>
        <d v="2025-12-19T00:00:00"/>
        <d v="2025-12-20T00:00:00"/>
        <d v="2025-12-21T00:00:00"/>
        <d v="2025-12-22T00:00:00"/>
        <d v="2025-12-23T00:00:00"/>
        <d v="2025-12-24T00:00:00"/>
        <d v="2025-12-25T00:00:00"/>
        <d v="2025-12-26T00:00:00"/>
        <d v="2025-12-27T00:00:00"/>
        <d v="2025-12-28T00:00:00"/>
        <d v="2025-12-29T00:00:00"/>
        <d v="2025-12-30T00:00:00"/>
        <d v="2025-12-31T00:00:00"/>
        <d v="2026-01-01T00:00:00"/>
        <d v="2026-01-02T00:00:00"/>
        <d v="2026-01-03T00:00:00"/>
        <d v="2026-01-04T00:00:00"/>
        <d v="2026-01-05T00:00:00"/>
        <d v="2026-01-06T00:00:00"/>
        <d v="2026-01-07T00:00:00"/>
        <d v="2026-01-08T00:00:00"/>
        <d v="2026-01-09T00:00:00"/>
        <d v="2026-01-10T00:00:00"/>
        <d v="2026-01-11T00:00:00"/>
        <d v="2026-01-12T00:00:00"/>
        <d v="2026-01-13T00:00:00"/>
        <d v="2026-01-14T00:00:00"/>
        <d v="2026-01-15T00:00:00"/>
        <d v="2026-01-16T00:00:00"/>
        <d v="2026-01-17T00:00:00"/>
        <d v="2026-01-18T00:00:00"/>
        <d v="2026-01-19T00:00:00"/>
        <d v="2026-01-20T00:00:00"/>
        <d v="2026-01-21T00:00:00"/>
        <d v="2026-01-22T00:00:00"/>
        <d v="2026-01-23T00:00:00"/>
        <d v="2026-01-24T00:00:00"/>
        <d v="2026-01-25T00:00:00"/>
        <d v="2026-01-26T00:00:00"/>
        <d v="2026-01-27T00:00:00"/>
        <d v="2026-01-28T00:00:00"/>
        <d v="2026-01-29T00:00:00"/>
        <d v="2026-01-30T00:00:00"/>
        <d v="2026-01-31T00:00:00"/>
        <d v="2026-02-01T00:00:00"/>
        <d v="2026-02-02T00:00:00"/>
        <d v="2026-02-03T00:00:00"/>
        <d v="2026-02-04T00:00:00"/>
        <d v="2026-02-05T00:00:00"/>
        <d v="2026-02-06T00:00:00"/>
        <d v="2026-02-07T00:00:00"/>
        <d v="2026-02-08T00:00:00"/>
        <d v="2026-02-09T00:00:00"/>
        <d v="2026-02-10T00:00:00"/>
        <d v="2026-02-11T00:00:00"/>
        <d v="2026-02-12T00:00:00"/>
        <d v="2026-02-13T00:00:00"/>
        <d v="2026-02-14T00:00:00"/>
        <d v="2026-02-15T00:00:00"/>
        <d v="2026-02-16T00:00:00"/>
        <d v="2026-02-17T00:00:00"/>
        <d v="2026-02-18T00:00:00"/>
        <d v="2026-02-19T00:00:00"/>
        <d v="2026-02-20T00:00:00"/>
        <d v="2026-02-21T00:00:00"/>
        <d v="2026-02-22T00:00:00"/>
        <d v="2026-02-23T00:00:00"/>
        <d v="2026-02-24T00:00:00"/>
        <d v="2026-02-25T00:00:00"/>
        <d v="2026-02-26T00:00:00"/>
        <d v="2026-02-27T00:00:00"/>
        <d v="2026-02-28T00:00:00"/>
        <d v="2026-03-01T00:00:00"/>
        <d v="2026-03-02T00:00:00"/>
        <d v="2026-03-03T00:00:00"/>
        <d v="2026-03-04T00:00:00"/>
        <d v="2026-03-05T00:00:00"/>
        <d v="2026-03-06T00:00:00"/>
        <d v="2026-03-07T00:00:00"/>
        <d v="2026-03-08T00:00:00"/>
        <d v="2026-03-09T00:00:00"/>
        <d v="2026-03-10T00:00:00"/>
        <d v="2026-03-11T00:00:00"/>
        <d v="2026-03-12T00:00:00"/>
        <d v="2026-03-13T00:00:00"/>
        <d v="2026-03-14T00:00:00"/>
        <d v="2026-03-15T00:00:00"/>
        <d v="2026-03-16T00:00:00"/>
        <d v="2026-03-17T00:00:00"/>
        <d v="2026-03-18T00:00:00"/>
        <d v="2026-03-19T00:00:00"/>
        <d v="2026-03-20T00:00:00"/>
        <d v="2026-03-21T00:00:00"/>
        <d v="2026-03-22T00:00:00"/>
        <d v="2026-03-23T00:00:00"/>
        <d v="2026-03-24T00:00:00"/>
        <d v="2026-03-25T00:00:00"/>
        <d v="2026-03-26T00:00:00"/>
        <d v="2026-03-27T00:00:00"/>
        <d v="2026-03-28T00:00:00"/>
        <d v="2026-03-29T00:00:00"/>
        <d v="2026-03-30T00:00:00"/>
        <d v="2026-03-31T00:00:00"/>
        <d v="2026-04-01T00:00:00"/>
        <d v="2026-04-02T00:00:00"/>
        <d v="2026-04-03T00:00:00"/>
        <d v="2026-04-04T00:00:00"/>
        <d v="2026-04-05T00:00:00"/>
        <d v="2026-04-06T00:00:00"/>
        <d v="2026-04-07T00:00:00"/>
        <d v="2026-04-08T00:00:00"/>
        <d v="2026-04-09T00:00:00"/>
        <d v="2026-04-10T00:00:00"/>
        <d v="2026-04-11T00:00:00"/>
        <d v="2026-04-12T00:00:00"/>
        <d v="2026-04-13T00:00:00"/>
        <d v="2026-04-14T00:00:00"/>
        <d v="2026-04-15T00:00:00"/>
        <d v="2026-04-16T00:00:00"/>
        <d v="2026-04-17T00:00:00"/>
        <d v="2026-04-18T00:00:00"/>
        <d v="2026-04-19T00:00:00"/>
        <d v="2026-04-20T00:00:00"/>
        <d v="2026-04-21T00:00:00"/>
        <d v="2026-04-22T00:00:00"/>
        <d v="2026-04-23T00:00:00"/>
        <d v="2026-04-24T00:00:00"/>
        <d v="2026-04-25T00:00:00"/>
        <d v="2026-04-26T00:00:00"/>
        <d v="2026-04-27T00:00:00"/>
        <d v="2026-04-28T00:00:00"/>
        <d v="2026-04-29T00:00:00"/>
        <d v="2026-04-30T00:00:00"/>
        <d v="2026-05-01T00:00:00"/>
        <d v="2026-05-02T00:00:00"/>
        <d v="2026-05-03T00:00:00"/>
        <d v="2026-05-04T00:00:00"/>
        <d v="2026-05-05T00:00:00"/>
        <d v="2026-05-06T00:00:00"/>
        <d v="2026-05-07T00:00:00"/>
        <d v="2026-05-08T00:00:00"/>
        <d v="2026-05-09T00:00:00"/>
        <d v="2026-05-10T00:00:00"/>
        <d v="2026-05-11T00:00:00"/>
        <d v="2026-05-12T00:00:00"/>
        <d v="2026-05-13T00:00:00"/>
        <d v="2026-05-14T00:00:00"/>
        <d v="2026-05-15T00:00:00"/>
        <d v="2026-05-16T00:00:00"/>
        <d v="2026-05-17T00:00:00"/>
        <d v="2026-05-18T00:00:00"/>
        <d v="2026-05-19T00:00:00"/>
        <d v="2026-05-20T00:00:00"/>
        <d v="2026-05-21T00:00:00"/>
        <d v="2026-05-22T00:00:00"/>
        <d v="2026-05-23T00:00:00"/>
        <d v="2026-05-24T00:00:00"/>
        <d v="2026-05-25T00:00:00"/>
        <d v="2026-05-26T00:00:00"/>
        <d v="2026-05-27T00:00:00"/>
        <d v="2026-05-28T00:00:00"/>
        <d v="2026-05-29T00:00:00"/>
        <d v="2026-05-30T00:00:00"/>
        <d v="2026-05-31T00:00:00"/>
        <d v="2026-06-01T00:00:00"/>
        <d v="2026-06-02T00:00:00"/>
        <d v="2026-06-03T00:00:00"/>
        <d v="2026-06-04T00:00:00"/>
        <d v="2026-06-05T00:00:00"/>
        <d v="2026-06-06T00:00:00"/>
        <d v="2026-06-07T00:00:00"/>
        <d v="2026-06-08T00:00:00"/>
        <d v="2026-06-09T00:00:00"/>
        <d v="2026-06-10T00:00:00"/>
        <d v="2026-06-11T00:00:00"/>
        <d v="2026-06-12T00:00:00"/>
        <d v="2026-06-13T00:00:00"/>
        <d v="2026-06-14T00:00:00"/>
        <d v="2026-06-15T00:00:00"/>
      </sharedItems>
    </cacheField>
    <cacheField name="[Tab_concat].[Dates (mois)].[Dates (mois)]" caption="Dates (mois)" numFmtId="0" hierarchy="21" level="1">
      <sharedItems containsNonDate="0" count="12">
        <s v="janv"/>
        <s v="févr"/>
        <s v="mars"/>
        <s v="avr"/>
        <s v="mai"/>
        <s v="juin"/>
        <s v="juil"/>
        <s v="août"/>
        <s v="sept"/>
        <s v="oct"/>
        <s v="nov"/>
        <s v="déc"/>
      </sharedItems>
    </cacheField>
    <cacheField name="[Tab_concat].[Dates (trimestre)].[Dates (trimestre)]" caption="Dates (trimestre)" numFmtId="0" hierarchy="20" level="1">
      <sharedItems containsNonDate="0" count="4">
        <s v="Trim1"/>
        <s v="Trim2"/>
        <s v="Trim3"/>
        <s v="Trim4"/>
      </sharedItems>
    </cacheField>
    <cacheField name="[Tab_concat].[Dates (année)].[Dates (année)]" caption="Dates (année)" numFmtId="0" hierarchy="19" level="1">
      <sharedItems count="6">
        <s v="2021"/>
        <s v="2022"/>
        <s v="2023"/>
        <s v="2024"/>
        <s v="2025"/>
        <s v="2026"/>
      </sharedItems>
    </cacheField>
    <cacheField name="[Tab_concat].[Combustible].[Combustible]" caption="Combustible" numFmtId="0" hierarchy="10" level="1">
      <sharedItems count="3">
        <s v="Eau (m3)"/>
        <s v="Electricité (kWh)"/>
        <s v="Gaz naturel (kWh)"/>
      </sharedItems>
    </cacheField>
  </cacheFields>
  <cacheHierarchies count="63">
    <cacheHierarchy uniqueName="[Tab_concat].[Compteur]" caption="Compteur" attribute="1" defaultMemberUniqueName="[Tab_concat].[Compteur].[All]" allUniqueName="[Tab_concat].[Compteur].[All]" dimensionUniqueName="[Tab_concat]" displayFolder="" count="2" memberValueDatatype="130" unbalanced="0"/>
    <cacheHierarchy uniqueName="[Tab_concat].[Dates]" caption="Dates" attribute="1" time="1" defaultMemberUniqueName="[Tab_concat].[Dates].[All]" allUniqueName="[Tab_concat].[Dates].[All]" dimensionUniqueName="[Tab_concat]" displayFolder="" count="2" memberValueDatatype="7" unbalanced="0">
      <fieldsUsage count="2">
        <fieldUsage x="-1"/>
        <fieldUsage x="1"/>
      </fieldsUsage>
    </cacheHierarchy>
    <cacheHierarchy uniqueName="[Tab_concat].[Colonne1]" caption="Colonne1" attribute="1" defaultMemberUniqueName="[Tab_concat].[Colonne1].[All]" allUniqueName="[Tab_concat].[Colonne1].[All]" dimensionUniqueName="[Tab_concat]" displayFolder="" count="2" memberValueDatatype="130" unbalanced="0"/>
    <cacheHierarchy uniqueName="[Tab_concat].[Demande_jour]" caption="Demande_jour" attribute="1" defaultMemberUniqueName="[Tab_concat].[Demande_jour].[All]" allUniqueName="[Tab_concat].[Demande_jour].[All]" dimensionUniqueName="[Tab_concat]" displayFolder="" count="2" memberValueDatatype="5" unbalanced="0"/>
    <cacheHierarchy uniqueName="[Tab_concat].[Cout_jour]" caption="Cout_jour" attribute="1" defaultMemberUniqueName="[Tab_concat].[Cout_jour].[All]" allUniqueName="[Tab_concat].[Cout_jour].[All]" dimensionUniqueName="[Tab_concat]" displayFolder="" count="2" memberValueDatatype="5" unbalanced="0"/>
    <cacheHierarchy uniqueName="[Tab_concat].[DJU_chauffagiste]" caption="DJU_chauffagiste" attribute="1" defaultMemberUniqueName="[Tab_concat].[DJU_chauffagiste].[All]" allUniqueName="[Tab_concat].[DJU_chauffagiste].[All]" dimensionUniqueName="[Tab_concat]" displayFolder="" count="2" memberValueDatatype="20" unbalanced="0"/>
    <cacheHierarchy uniqueName="[Tab_concat].[DJU_climaticien]" caption="DJU_climaticien" attribute="1" defaultMemberUniqueName="[Tab_concat].[DJU_climaticien].[All]" allUniqueName="[Tab_concat].[DJU_climaticien].[All]" dimensionUniqueName="[Tab_concat]" displayFolder="" count="2" memberValueDatatype="20" unbalanced="0"/>
    <cacheHierarchy uniqueName="[Tab_concat].[Colonne2]" caption="Colonne2" attribute="1" defaultMemberUniqueName="[Tab_concat].[Colonne2].[All]" allUniqueName="[Tab_concat].[Colonne2].[All]" dimensionUniqueName="[Tab_concat]" displayFolder="" count="2" memberValueDatatype="130" unbalanced="0"/>
    <cacheHierarchy uniqueName="[Tab_concat].[Type]" caption="Type" attribute="1" defaultMemberUniqueName="[Tab_concat].[Type].[All]" allUniqueName="[Tab_concat].[Type].[All]" dimensionUniqueName="[Tab_concat]" displayFolder="" count="2" memberValueDatatype="130" unbalanced="0"/>
    <cacheHierarchy uniqueName="[Tab_concat].[Source]" caption="Source" attribute="1" defaultMemberUniqueName="[Tab_concat].[Source].[All]" allUniqueName="[Tab_concat].[Source].[All]" dimensionUniqueName="[Tab_concat]" displayFolder="" count="2" memberValueDatatype="130" unbalanced="0"/>
    <cacheHierarchy uniqueName="[Tab_concat].[Combustible]" caption="Combustible" attribute="1" defaultMemberUniqueName="[Tab_concat].[Combustible].[All]" allUniqueName="[Tab_concat].[Combustible].[All]" dimensionUniqueName="[Tab_concat]" displayFolder="" count="2" memberValueDatatype="130" unbalanced="0">
      <fieldsUsage count="2">
        <fieldUsage x="-1"/>
        <fieldUsage x="5"/>
      </fieldsUsage>
    </cacheHierarchy>
    <cacheHierarchy uniqueName="[Tab_concat].[Conso_kWh_PCI]" caption="Conso_kWh_PCI" attribute="1" defaultMemberUniqueName="[Tab_concat].[Conso_kWh_PCI].[All]" allUniqueName="[Tab_concat].[Conso_kWh_PCI].[All]" dimensionUniqueName="[Tab_concat]" displayFolder="" count="2" memberValueDatatype="5" unbalanced="0"/>
    <cacheHierarchy uniqueName="[Tab_concat].[Conso_kWh_DEET]" caption="Conso_kWh_DEET" attribute="1" defaultMemberUniqueName="[Tab_concat].[Conso_kWh_DEET].[All]" allUniqueName="[Tab_concat].[Conso_kWh_DEET].[All]" dimensionUniqueName="[Tab_concat]" displayFolder="" count="2" memberValueDatatype="5" unbalanced="0"/>
    <cacheHierarchy uniqueName="[Tab_concat].[Nom]" caption="Nom" attribute="1" defaultMemberUniqueName="[Tab_concat].[Nom].[All]" allUniqueName="[Tab_concat].[Nom].[All]" dimensionUniqueName="[Tab_concat]" displayFolder="" count="2" memberValueDatatype="130" unbalanced="0"/>
    <cacheHierarchy uniqueName="[Tab_concat].[Detail usage]" caption="Detail usage" attribute="1" defaultMemberUniqueName="[Tab_concat].[Detail usage].[All]" allUniqueName="[Tab_concat].[Detail usage].[All]" dimensionUniqueName="[Tab_concat]" displayFolder="" count="2" memberValueDatatype="130" unbalanced="0"/>
    <cacheHierarchy uniqueName="[Tab_concat].[Conso_kWhEP]" caption="Conso_kWhEP" attribute="1" defaultMemberUniqueName="[Tab_concat].[Conso_kWhEP].[All]" allUniqueName="[Tab_concat].[Conso_kWhEP].[All]" dimensionUniqueName="[Tab_concat]" displayFolder="" count="2" memberValueDatatype="5" unbalanced="0"/>
    <cacheHierarchy uniqueName="[Tab_concat].[Annee]" caption="Annee" attribute="1" defaultMemberUniqueName="[Tab_concat].[Annee].[All]" allUniqueName="[Tab_concat].[Annee].[All]" dimensionUniqueName="[Tab_concat]" displayFolder="" count="2" memberValueDatatype="20" unbalanced="0"/>
    <cacheHierarchy uniqueName="[Tab_concat].[Mois]" caption="Mois" attribute="1" defaultMemberUniqueName="[Tab_concat].[Mois].[All]" allUniqueName="[Tab_concat].[Mois].[All]" dimensionUniqueName="[Tab_concat]" displayFolder="" count="2" memberValueDatatype="20" unbalanced="0"/>
    <cacheHierarchy uniqueName="[Tab_concat].[Cout_unitaire]" caption="Cout_unitaire" attribute="1" defaultMemberUniqueName="[Tab_concat].[Cout_unitaire].[All]" allUniqueName="[Tab_concat].[Cout_unitaire].[All]" dimensionUniqueName="[Tab_concat]" displayFolder="" count="2" memberValueDatatype="5" unbalanced="0"/>
    <cacheHierarchy uniqueName="[Tab_concat].[Dates (année)]" caption="Dates (année)" attribute="1" defaultMemberUniqueName="[Tab_concat].[Dates (année)].[All]" allUniqueName="[Tab_concat].[Dates (année)].[All]" dimensionUniqueName="[Tab_concat]" displayFolder="" count="2" memberValueDatatype="130" unbalanced="0">
      <fieldsUsage count="2">
        <fieldUsage x="-1"/>
        <fieldUsage x="4"/>
      </fieldsUsage>
    </cacheHierarchy>
    <cacheHierarchy uniqueName="[Tab_concat].[Dates (trimestre)]" caption="Dates (trimestre)" attribute="1" defaultMemberUniqueName="[Tab_concat].[Dates (trimestre)].[All]" allUniqueName="[Tab_concat].[Dates (trimestre)].[All]" dimensionUniqueName="[Tab_concat]" displayFolder="" count="2" memberValueDatatype="130" unbalanced="0">
      <fieldsUsage count="2">
        <fieldUsage x="-1"/>
        <fieldUsage x="3"/>
      </fieldsUsage>
    </cacheHierarchy>
    <cacheHierarchy uniqueName="[Tab_concat].[Dates (mois)]" caption="Dates (mois)" attribute="1" defaultMemberUniqueName="[Tab_concat].[Dates (mois)].[All]" allUniqueName="[Tab_concat].[Dates (mois)].[All]" dimensionUniqueName="[Tab_concat]" displayFolder="" count="2" memberValueDatatype="130" unbalanced="0">
      <fieldsUsage count="2">
        <fieldUsage x="-1"/>
        <fieldUsage x="2"/>
      </fieldsUsage>
    </cacheHierarchy>
    <cacheHierarchy uniqueName="[Tab_concat].[DJU_quot_chauffagiste]" caption="DJU_quot_chauffagiste" attribute="1" defaultMemberUniqueName="[Tab_concat].[DJU_quot_chauffagiste].[All]" allUniqueName="[Tab_concat].[DJU_quot_chauffagiste].[All]" dimensionUniqueName="[Tab_concat]" displayFolder="" count="2"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2" memberValueDatatype="5" unbalanced="0"/>
    <cacheHierarchy uniqueName="[Tableau_annees].[Annee]" caption="Annee" attribute="1" defaultMemberUniqueName="[Tableau_annees].[Annee].[All]" allUniqueName="[Tableau_annees].[Annee].[All]" dimensionUniqueName="[Tableau_annees]" displayFolder="" count="2"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2" memberValueDatatype="130" unbalanced="0"/>
    <cacheHierarchy uniqueName="[Tableau_mois].[Mois]" caption="Mois" attribute="1" defaultMemberUniqueName="[Tableau_mois].[Mois].[All]" allUniqueName="[Tableau_mois].[Mois].[All]" dimensionUniqueName="[Tableau_mois]" displayFolder="" count="2" memberValueDatatype="20" unbalanced="0"/>
    <cacheHierarchy uniqueName="[Tableau_source].[Source]" caption="Source" attribute="1" defaultMemberUniqueName="[Tableau_source].[Source].[All]" allUniqueName="[Tableau_source].[Source].[All]" dimensionUniqueName="[Tableau_source]" displayFolder="" count="2" memberValueDatatype="130" unbalanced="0"/>
    <cacheHierarchy uniqueName="[Tableau_type].[Type]" caption="Type" attribute="1" defaultMemberUniqueName="[Tableau_type].[Type].[All]" allUniqueName="[Tableau_type].[Type].[All]" dimensionUniqueName="[Tableau_type]" displayFolder="" count="2" memberValueDatatype="130" unbalanced="0"/>
    <cacheHierarchy uniqueName="[Tableau_usage].[Detail usage]" caption="Detail usage" attribute="1" defaultMemberUniqueName="[Tableau_usage].[Detail usage].[All]" allUniqueName="[Tableau_usage].[Detail usage].[All]" dimensionUniqueName="[Tableau_usage]" displayFolder="" count="2" memberValueDatatype="130" unbalanced="0"/>
    <cacheHierarchy uniqueName="[Tableau16].[Compteur/Livraison]" caption="Compteur/Livraison" attribute="1" defaultMemberUniqueName="[Tableau16].[Compteur/Livraison].[All]" allUniqueName="[Tableau16].[Compteur/Livraison].[All]" dimensionUniqueName="[Tableau16]" displayFolder="" count="2" memberValueDatatype="130" unbalanced="0"/>
    <cacheHierarchy uniqueName="[Tableau16].[Type]" caption="Type" attribute="1" defaultMemberUniqueName="[Tableau16].[Type].[All]" allUniqueName="[Tableau16].[Type].[All]" dimensionUniqueName="[Tableau16]" displayFolder="" count="2" memberValueDatatype="130" unbalanced="0"/>
    <cacheHierarchy uniqueName="[Tableau16].[Source]" caption="Source" attribute="1" defaultMemberUniqueName="[Tableau16].[Source].[All]" allUniqueName="[Tableau16].[Source].[All]" dimensionUniqueName="[Tableau16]" displayFolder="" count="2" memberValueDatatype="130" unbalanced="0"/>
    <cacheHierarchy uniqueName="[Tableau16].[Detail usage]" caption="Detail usage" attribute="1" defaultMemberUniqueName="[Tableau16].[Detail usage].[All]" allUniqueName="[Tableau16].[Detail usage].[All]" dimensionUniqueName="[Tableau16]" displayFolder="" count="2" memberValueDatatype="130" unbalanced="0"/>
    <cacheHierarchy uniqueName="[Tableau16].[Combustible]" caption="Combustible" attribute="1" defaultMemberUniqueName="[Tableau16].[Combustible].[All]" allUniqueName="[Tableau16].[Combustible].[All]" dimensionUniqueName="[Tableau16]" displayFolder="" count="2" memberValueDatatype="130" unbalanced="0"/>
    <cacheHierarchy uniqueName="[Tableau16].[PCI]" caption="PCI" attribute="1" defaultMemberUniqueName="[Tableau16].[PCI].[All]" allUniqueName="[Tableau16].[PCI].[All]" dimensionUniqueName="[Tableau16]" displayFolder="" count="2" memberValueDatatype="5" unbalanced="0"/>
    <cacheHierarchy uniqueName="[Tableau16].[PCI_DEET]" caption="PCI_DEET" attribute="1" defaultMemberUniqueName="[Tableau16].[PCI_DEET].[All]" allUniqueName="[Tableau16].[PCI_DEET].[All]" dimensionUniqueName="[Tableau16]" displayFolder="" count="2" memberValueDatatype="5" unbalanced="0"/>
    <cacheHierarchy uniqueName="[Tableau16].[Nom]" caption="Nom" attribute="1" defaultMemberUniqueName="[Tableau16].[Nom].[All]" allUniqueName="[Tableau16].[Nom].[All]" dimensionUniqueName="[Tableau16]" displayFolder="" count="2" memberValueDatatype="130" unbalanced="0"/>
    <cacheHierarchy uniqueName="[Tableau16].[PCI_EP]" caption="PCI_EP" attribute="1" defaultMemberUniqueName="[Tableau16].[PCI_EP].[All]" allUniqueName="[Tableau16].[PCI_EP].[All]" dimensionUniqueName="[Tableau16]" displayFolder="" count="2"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2"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oneField="1">
      <fieldsUsage count="1">
        <fieldUsage x="0"/>
      </fieldsUsage>
    </cacheHierarchy>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pivotCacheId="176121729"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29.xml><?xml version="1.0" encoding="utf-8"?>
<pivotCacheDefinition xmlns="http://schemas.openxmlformats.org/spreadsheetml/2006/main" xmlns:r="http://schemas.openxmlformats.org/officeDocument/2006/relationships" saveData="0" refreshedBy="Fabien ROUAULT" refreshedDate="46203.604055787036" backgroundQuery="1" createdVersion="3" refreshedVersion="7" minRefreshableVersion="3" recordCount="0" supportSubquery="1" supportAdvancedDrill="1">
  <cacheSource type="external" connectionId="11">
    <extLst>
      <ext xmlns:x14="http://schemas.microsoft.com/office/spreadsheetml/2009/9/main" uri="{F057638F-6D5F-4e77-A914-E7F072B9BCA8}">
        <x14:sourceConnection name="ThisWorkbookDataModel"/>
      </ext>
    </extLst>
  </cacheSource>
  <cacheFields count="0"/>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2"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extLst>
    <ext xmlns:x14="http://schemas.microsoft.com/office/spreadsheetml/2009/9/main" uri="{725AE2AE-9491-48be-B2B4-4EB974FC3084}">
      <x14:pivotCacheDefinition pivotCacheId="1941909775"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3.xml><?xml version="1.0" encoding="utf-8"?>
<pivotCacheDefinition xmlns="http://schemas.openxmlformats.org/spreadsheetml/2006/main" xmlns:r="http://schemas.openxmlformats.org/officeDocument/2006/relationships" saveData="0" refreshedBy="Fabien ROUAULT" refreshedDate="46203.604019444443" backgroundQuery="1" createdVersion="7" refreshedVersion="7" minRefreshableVersion="3" recordCount="0" supportSubquery="1" supportAdvancedDrill="1">
  <cacheSource type="external" connectionId="11"/>
  <cacheFields count="6">
    <cacheField name="[Tab_concat].[Mois].[Mois]" caption="Mois" numFmtId="0" hierarchy="17" level="1">
      <sharedItems containsSemiMixedTypes="0" containsNonDate="0" containsString="0"/>
    </cacheField>
    <cacheField name="[Tab_concat].[Annee].[Annee]" caption="Annee" numFmtId="0" hierarchy="16" level="1">
      <sharedItems containsSemiMixedTypes="0" containsString="0" containsNumber="1" containsInteger="1" minValue="2010" maxValue="2025" count="16">
        <n v="2010"/>
        <n v="2011"/>
        <n v="2012"/>
        <n v="2013"/>
        <n v="2014"/>
        <n v="2015"/>
        <n v="2016"/>
        <n v="2017"/>
        <n v="2018"/>
        <n v="2019"/>
        <n v="2020"/>
        <n v="2021"/>
        <n v="2022"/>
        <n v="2023"/>
        <n v="2024"/>
        <n v="2025"/>
      </sharedItems>
      <extLst>
        <ext xmlns:x15="http://schemas.microsoft.com/office/spreadsheetml/2010/11/main" uri="{4F2E5C28-24EA-4eb8-9CBF-B6C8F9C3D259}">
          <x15:cachedUniqueNames>
            <x15:cachedUniqueName index="0" name="[Tab_concat].[Annee].&amp;[2010]"/>
            <x15:cachedUniqueName index="1" name="[Tab_concat].[Annee].&amp;[2011]"/>
            <x15:cachedUniqueName index="2" name="[Tab_concat].[Annee].&amp;[2012]"/>
            <x15:cachedUniqueName index="3" name="[Tab_concat].[Annee].&amp;[2013]"/>
            <x15:cachedUniqueName index="4" name="[Tab_concat].[Annee].&amp;[2014]"/>
            <x15:cachedUniqueName index="5" name="[Tab_concat].[Annee].&amp;[2015]"/>
            <x15:cachedUniqueName index="6" name="[Tab_concat].[Annee].&amp;[2016]"/>
            <x15:cachedUniqueName index="7" name="[Tab_concat].[Annee].&amp;[2017]"/>
            <x15:cachedUniqueName index="8" name="[Tab_concat].[Annee].&amp;[2018]"/>
            <x15:cachedUniqueName index="9" name="[Tab_concat].[Annee].&amp;[2019]"/>
            <x15:cachedUniqueName index="10" name="[Tab_concat].[Annee].&amp;[2020]"/>
            <x15:cachedUniqueName index="11" name="[Tab_concat].[Annee].&amp;[2021]"/>
            <x15:cachedUniqueName index="12" name="[Tab_concat].[Annee].&amp;[2022]"/>
            <x15:cachedUniqueName index="13" name="[Tab_concat].[Annee].&amp;[2023]"/>
            <x15:cachedUniqueName index="14" name="[Tab_concat].[Annee].&amp;[2024]"/>
            <x15:cachedUniqueName index="15" name="[Tab_concat].[Annee].&amp;[2025]"/>
          </x15:cachedUniqueNames>
        </ext>
      </extLst>
    </cacheField>
    <cacheField name="[Tab_concat].[Detail usage].[Detail usage]" caption="Detail usage" numFmtId="0" hierarchy="14" level="1">
      <sharedItems count="3">
        <s v="ECS et Chauffage"/>
        <s v="Elec_Général"/>
        <s v="General EF"/>
      </sharedItems>
    </cacheField>
    <cacheField name="[Measures].[Moyenne de Conso_kWh_PCI]" caption="Moyenne de Conso_kWh_PCI" numFmtId="0" hierarchy="56" level="32767"/>
    <cacheField name="[Measures].[Moyenne de Conso_kWh_DEET]" caption="Moyenne de Conso_kWh_DEET" numFmtId="0" hierarchy="57" level="32767"/>
    <cacheField name="[Tab_concat].[Dates (mois)].[Dates (mois)]" caption="Dates (mois)" numFmtId="0" hierarchy="21" level="1">
      <sharedItems containsSemiMixedTypes="0" containsNonDate="0" containsString="0"/>
    </cacheField>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2" memberValueDatatype="130" unbalanced="0">
      <fieldsUsage count="2">
        <fieldUsage x="-1"/>
        <fieldUsage x="2"/>
      </fieldsUsage>
    </cacheHierarchy>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2" memberValueDatatype="20" unbalanced="0">
      <fieldsUsage count="2">
        <fieldUsage x="-1"/>
        <fieldUsage x="1"/>
      </fieldsUsage>
    </cacheHierarchy>
    <cacheHierarchy uniqueName="[Tab_concat].[Mois]" caption="Mois" attribute="1" defaultMemberUniqueName="[Tab_concat].[Mois].[All]" allUniqueName="[Tab_concat].[Mois].[All]" dimensionUniqueName="[Tab_concat]" displayFolder="" count="2" memberValueDatatype="20" unbalanced="0">
      <fieldsUsage count="2">
        <fieldUsage x="-1"/>
        <fieldUsage x="0"/>
      </fieldsUsage>
    </cacheHierarchy>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2" memberValueDatatype="130" unbalanced="0">
      <fieldsUsage count="2">
        <fieldUsage x="-1"/>
        <fieldUsage x="5"/>
      </fieldsUsage>
    </cacheHierarchy>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oneField="1" hidden="1">
      <fieldsUsage count="1">
        <fieldUsage x="3"/>
      </fieldsUsage>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oneField="1" hidden="1">
      <fieldsUsage count="1">
        <fieldUsage x="4"/>
      </fieldsUsage>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0.xml><?xml version="1.0" encoding="utf-8"?>
<pivotCacheDefinition xmlns="http://schemas.openxmlformats.org/spreadsheetml/2006/main" xmlns:r="http://schemas.openxmlformats.org/officeDocument/2006/relationships" saveData="0" refreshedBy="Fabien ROUAULT" refreshedDate="46203.610059259256" backgroundQuery="1" createdVersion="3" refreshedVersion="7" minRefreshableVersion="3" recordCount="0" supportSubquery="1" supportAdvancedDrill="1">
  <cacheSource type="external" connectionId="11">
    <extLst>
      <ext xmlns:x14="http://schemas.microsoft.com/office/spreadsheetml/2009/9/main" uri="{F057638F-6D5F-4e77-A914-E7F072B9BCA8}">
        <x14:sourceConnection name="ThisWorkbookDataModel"/>
      </ext>
    </extLst>
  </cacheSource>
  <cacheFields count="0"/>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2"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extLst>
    <ext xmlns:x14="http://schemas.microsoft.com/office/spreadsheetml/2009/9/main" uri="{725AE2AE-9491-48be-B2B4-4EB974FC3084}">
      <x14:pivotCacheDefinition pivotCacheId="1983989827"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4.xml><?xml version="1.0" encoding="utf-8"?>
<pivotCacheDefinition xmlns="http://schemas.openxmlformats.org/spreadsheetml/2006/main" xmlns:r="http://schemas.openxmlformats.org/officeDocument/2006/relationships" saveData="0" refreshedBy="Fabien ROUAULT" refreshedDate="46203.604022222222" backgroundQuery="1" createdVersion="7" refreshedVersion="7" minRefreshableVersion="3" recordCount="0" supportSubquery="1" supportAdvancedDrill="1">
  <cacheSource type="external" connectionId="11"/>
  <cacheFields count="7">
    <cacheField name="[Measures].[Somme de Conso_kWh_PCI]" caption="Somme de Conso_kWh_PCI" numFmtId="0" hierarchy="51" level="32767"/>
    <cacheField name="[Measures].[Somme de Conso_kWh_DEET]" caption="Somme de Conso_kWh_DEET" numFmtId="0" hierarchy="52" level="32767"/>
    <cacheField name="[Tab_concat].[Type].[Type]" caption="Type" numFmtId="0" hierarchy="8" level="1">
      <sharedItems count="1">
        <s v="Consommation"/>
      </sharedItems>
    </cacheField>
    <cacheField name="[Tab_concat].[Detail usage].[Detail usage]" caption="Detail usage" numFmtId="0" hierarchy="14" level="1">
      <sharedItems count="3">
        <s v="ECS et Chauffage"/>
        <s v="Elec_Général"/>
        <s v="General EF"/>
      </sharedItems>
    </cacheField>
    <cacheField name="[Tab_concat].[Annee].[Annee]" caption="Annee" numFmtId="0" hierarchy="16" level="1">
      <sharedItems containsSemiMixedTypes="0" containsString="0" containsNumber="1" containsInteger="1" minValue="2010" maxValue="2026" count="17">
        <n v="2010"/>
        <n v="2011"/>
        <n v="2012"/>
        <n v="2013"/>
        <n v="2014"/>
        <n v="2015"/>
        <n v="2016"/>
        <n v="2017"/>
        <n v="2018"/>
        <n v="2019"/>
        <n v="2020"/>
        <n v="2021"/>
        <n v="2022"/>
        <n v="2023"/>
        <n v="2024"/>
        <n v="2025"/>
        <n v="2026"/>
      </sharedItems>
      <extLst>
        <ext xmlns:x15="http://schemas.microsoft.com/office/spreadsheetml/2010/11/main" uri="{4F2E5C28-24EA-4eb8-9CBF-B6C8F9C3D259}">
          <x15:cachedUniqueNames>
            <x15:cachedUniqueName index="0" name="[Tab_concat].[Annee].&amp;[2010]"/>
            <x15:cachedUniqueName index="1" name="[Tab_concat].[Annee].&amp;[2011]"/>
            <x15:cachedUniqueName index="2" name="[Tab_concat].[Annee].&amp;[2012]"/>
            <x15:cachedUniqueName index="3" name="[Tab_concat].[Annee].&amp;[2013]"/>
            <x15:cachedUniqueName index="4" name="[Tab_concat].[Annee].&amp;[2014]"/>
            <x15:cachedUniqueName index="5" name="[Tab_concat].[Annee].&amp;[2015]"/>
            <x15:cachedUniqueName index="6" name="[Tab_concat].[Annee].&amp;[2016]"/>
            <x15:cachedUniqueName index="7" name="[Tab_concat].[Annee].&amp;[2017]"/>
            <x15:cachedUniqueName index="8" name="[Tab_concat].[Annee].&amp;[2018]"/>
            <x15:cachedUniqueName index="9" name="[Tab_concat].[Annee].&amp;[2019]"/>
            <x15:cachedUniqueName index="10" name="[Tab_concat].[Annee].&amp;[2020]"/>
            <x15:cachedUniqueName index="11" name="[Tab_concat].[Annee].&amp;[2021]"/>
            <x15:cachedUniqueName index="12" name="[Tab_concat].[Annee].&amp;[2022]"/>
            <x15:cachedUniqueName index="13" name="[Tab_concat].[Annee].&amp;[2023]"/>
            <x15:cachedUniqueName index="14" name="[Tab_concat].[Annee].&amp;[2024]"/>
            <x15:cachedUniqueName index="15" name="[Tab_concat].[Annee].&amp;[2025]"/>
            <x15:cachedUniqueName index="16" name="[Tab_concat].[Annee].&amp;[2026]"/>
          </x15:cachedUniqueNames>
        </ext>
      </extLst>
    </cacheField>
    <cacheField name="[Measures].[Somme de Conso_kWhEP]" caption="Somme de Conso_kWhEP" numFmtId="0" hierarchy="54" level="32767"/>
    <cacheField name="[Measures].[Somme de Demande_jour]" caption="Somme de Demande_jour" numFmtId="0" hierarchy="55" level="32767"/>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2" memberValueDatatype="130" unbalanced="0">
      <fieldsUsage count="2">
        <fieldUsage x="-1"/>
        <fieldUsage x="2"/>
      </fieldsUsage>
    </cacheHierarchy>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2" memberValueDatatype="130" unbalanced="0">
      <fieldsUsage count="2">
        <fieldUsage x="-1"/>
        <fieldUsage x="3"/>
      </fieldsUsage>
    </cacheHierarchy>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2" memberValueDatatype="20" unbalanced="0">
      <fieldsUsage count="2">
        <fieldUsage x="-1"/>
        <fieldUsage x="4"/>
      </fieldsUsage>
    </cacheHierarchy>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oneField="1" hidden="1">
      <fieldsUsage count="1">
        <fieldUsage x="0"/>
      </fieldsUsage>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oneField="1" hidden="1">
      <fieldsUsage count="1">
        <fieldUsage x="1"/>
      </fieldsUsage>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oneField="1" hidden="1">
      <fieldsUsage count="1">
        <fieldUsage x="5"/>
      </fieldsUsage>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oneField="1" hidden="1">
      <fieldsUsage count="1">
        <fieldUsage x="6"/>
      </fieldsUsage>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saveData="0" refreshedBy="Fabien ROUAULT" refreshedDate="46203.604023726853" backgroundQuery="1" createdVersion="7" refreshedVersion="7" minRefreshableVersion="3" recordCount="0" supportSubquery="1" supportAdvancedDrill="1">
  <cacheSource type="external" connectionId="11"/>
  <cacheFields count="8">
    <cacheField name="[Measures].[Somme de Demande_jour]" caption="Somme de Demande_jour" numFmtId="0" hierarchy="55" level="32767"/>
    <cacheField name="[Tab_concat].[Annee].[Annee]" caption="Annee" numFmtId="0" hierarchy="16" level="1">
      <sharedItems containsSemiMixedTypes="0" containsString="0" containsNumber="1" containsInteger="1" minValue="2018" maxValue="2025" count="8">
        <n v="2018"/>
        <n v="2019"/>
        <n v="2020"/>
        <n v="2021"/>
        <n v="2022"/>
        <n v="2023"/>
        <n v="2024"/>
        <n v="2025"/>
      </sharedItems>
      <extLst>
        <ext xmlns:x15="http://schemas.microsoft.com/office/spreadsheetml/2010/11/main" uri="{4F2E5C28-24EA-4eb8-9CBF-B6C8F9C3D259}">
          <x15:cachedUniqueNames>
            <x15:cachedUniqueName index="0" name="[Tab_concat].[Annee].&amp;[2018]"/>
            <x15:cachedUniqueName index="1" name="[Tab_concat].[Annee].&amp;[2019]"/>
            <x15:cachedUniqueName index="2" name="[Tab_concat].[Annee].&amp;[2020]"/>
            <x15:cachedUniqueName index="3" name="[Tab_concat].[Annee].&amp;[2021]"/>
            <x15:cachedUniqueName index="4" name="[Tab_concat].[Annee].&amp;[2022]"/>
            <x15:cachedUniqueName index="5" name="[Tab_concat].[Annee].&amp;[2023]"/>
            <x15:cachedUniqueName index="6" name="[Tab_concat].[Annee].&amp;[2024]"/>
            <x15:cachedUniqueName index="7" name="[Tab_concat].[Annee].&amp;[2025]"/>
          </x15:cachedUniqueNames>
        </ext>
      </extLst>
    </cacheField>
    <cacheField name="[Tableau_type].[Type].[Type]" caption="Type" numFmtId="0" hierarchy="28" level="1">
      <sharedItems containsSemiMixedTypes="0" containsNonDate="0" containsString="0"/>
    </cacheField>
    <cacheField name="[Tableau_source].[Source].[Source]" caption="Source" numFmtId="0" hierarchy="27" level="1">
      <sharedItems containsSemiMixedTypes="0" containsNonDate="0" containsString="0"/>
    </cacheField>
    <cacheField name="[Tab_concat].[Type].[Type]" caption="Type" numFmtId="0" hierarchy="8" level="1">
      <sharedItems count="1">
        <s v="Consommation"/>
      </sharedItems>
    </cacheField>
    <cacheField name="[Tab_concat].[Source].[Source]" caption="Source" numFmtId="0" hierarchy="9" level="1">
      <sharedItems count="1">
        <s v="Eau"/>
      </sharedItems>
    </cacheField>
    <cacheField name="[Tab_concat].[Combustible].[Combustible]" caption="Combustible" numFmtId="0" hierarchy="10" level="1">
      <sharedItems count="1">
        <s v="Eau (m3)"/>
      </sharedItems>
    </cacheField>
    <cacheField name="[Measures].[Somme de Cout_jour]" caption="Somme de Cout_jour" numFmtId="0" hierarchy="53" level="32767"/>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2" memberValueDatatype="130" unbalanced="0">
      <fieldsUsage count="2">
        <fieldUsage x="-1"/>
        <fieldUsage x="4"/>
      </fieldsUsage>
    </cacheHierarchy>
    <cacheHierarchy uniqueName="[Tab_concat].[Source]" caption="Source" attribute="1" defaultMemberUniqueName="[Tab_concat].[Source].[All]" allUniqueName="[Tab_concat].[Source].[All]" dimensionUniqueName="[Tab_concat]" displayFolder="" count="2" memberValueDatatype="130" unbalanced="0">
      <fieldsUsage count="2">
        <fieldUsage x="-1"/>
        <fieldUsage x="5"/>
      </fieldsUsage>
    </cacheHierarchy>
    <cacheHierarchy uniqueName="[Tab_concat].[Combustible]" caption="Combustible" attribute="1" defaultMemberUniqueName="[Tab_concat].[Combustible].[All]" allUniqueName="[Tab_concat].[Combustible].[All]" dimensionUniqueName="[Tab_concat]" displayFolder="" count="2" memberValueDatatype="130" unbalanced="0">
      <fieldsUsage count="2">
        <fieldUsage x="-1"/>
        <fieldUsage x="6"/>
      </fieldsUsage>
    </cacheHierarchy>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2" memberValueDatatype="20" unbalanced="0">
      <fieldsUsage count="2">
        <fieldUsage x="-1"/>
        <fieldUsage x="1"/>
      </fieldsUsage>
    </cacheHierarchy>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2" memberValueDatatype="130" unbalanced="0">
      <fieldsUsage count="2">
        <fieldUsage x="-1"/>
        <fieldUsage x="3"/>
      </fieldsUsage>
    </cacheHierarchy>
    <cacheHierarchy uniqueName="[Tableau_type].[Type]" caption="Type" attribute="1" defaultMemberUniqueName="[Tableau_type].[Type].[All]" allUniqueName="[Tableau_type].[Type].[All]" dimensionUniqueName="[Tableau_type]" displayFolder="" count="2" memberValueDatatype="130" unbalanced="0">
      <fieldsUsage count="2">
        <fieldUsage x="-1"/>
        <fieldUsage x="2"/>
      </fieldsUsage>
    </cacheHierarchy>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oneField="1" hidden="1">
      <fieldsUsage count="1">
        <fieldUsage x="7"/>
      </fieldsUsage>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oneField="1" hidden="1">
      <fieldsUsage count="1">
        <fieldUsage x="0"/>
      </fieldsUsage>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saveData="0" refreshedBy="Fabien ROUAULT" refreshedDate="46203.604025347224" backgroundQuery="1" createdVersion="7" refreshedVersion="7" minRefreshableVersion="3" recordCount="0" supportSubquery="1" supportAdvancedDrill="1">
  <cacheSource type="external" connectionId="11"/>
  <cacheFields count="6">
    <cacheField name="[Tab_concat].[Annee].[Annee]" caption="Annee" numFmtId="0" hierarchy="16" level="1">
      <sharedItems containsSemiMixedTypes="0" containsString="0" containsNumber="1" containsInteger="1" minValue="2010" maxValue="2026" count="17">
        <n v="2010"/>
        <n v="2011"/>
        <n v="2012"/>
        <n v="2013"/>
        <n v="2014"/>
        <n v="2015"/>
        <n v="2016"/>
        <n v="2017"/>
        <n v="2018"/>
        <n v="2019"/>
        <n v="2020"/>
        <n v="2021"/>
        <n v="2022"/>
        <n v="2023"/>
        <n v="2024"/>
        <n v="2025"/>
        <n v="2026"/>
      </sharedItems>
      <extLst>
        <ext xmlns:x15="http://schemas.microsoft.com/office/spreadsheetml/2010/11/main" uri="{4F2E5C28-24EA-4eb8-9CBF-B6C8F9C3D259}">
          <x15:cachedUniqueNames>
            <x15:cachedUniqueName index="0" name="[Tab_concat].[Annee].&amp;[2010]"/>
            <x15:cachedUniqueName index="1" name="[Tab_concat].[Annee].&amp;[2011]"/>
            <x15:cachedUniqueName index="2" name="[Tab_concat].[Annee].&amp;[2012]"/>
            <x15:cachedUniqueName index="3" name="[Tab_concat].[Annee].&amp;[2013]"/>
            <x15:cachedUniqueName index="4" name="[Tab_concat].[Annee].&amp;[2014]"/>
            <x15:cachedUniqueName index="5" name="[Tab_concat].[Annee].&amp;[2015]"/>
            <x15:cachedUniqueName index="6" name="[Tab_concat].[Annee].&amp;[2016]"/>
            <x15:cachedUniqueName index="7" name="[Tab_concat].[Annee].&amp;[2017]"/>
            <x15:cachedUniqueName index="8" name="[Tab_concat].[Annee].&amp;[2018]"/>
            <x15:cachedUniqueName index="9" name="[Tab_concat].[Annee].&amp;[2019]"/>
            <x15:cachedUniqueName index="10" name="[Tab_concat].[Annee].&amp;[2020]"/>
            <x15:cachedUniqueName index="11" name="[Tab_concat].[Annee].&amp;[2021]"/>
            <x15:cachedUniqueName index="12" name="[Tab_concat].[Annee].&amp;[2022]"/>
            <x15:cachedUniqueName index="13" name="[Tab_concat].[Annee].&amp;[2023]"/>
            <x15:cachedUniqueName index="14" name="[Tab_concat].[Annee].&amp;[2024]"/>
            <x15:cachedUniqueName index="15" name="[Tab_concat].[Annee].&amp;[2025]"/>
            <x15:cachedUniqueName index="16" name="[Tab_concat].[Annee].&amp;[2026]"/>
          </x15:cachedUniqueNames>
        </ext>
      </extLst>
    </cacheField>
    <cacheField name="[Tableau_type].[Type].[Type]" caption="Type" numFmtId="0" hierarchy="28" level="1">
      <sharedItems containsBlank="1" count="3">
        <s v="Consommation"/>
        <m u="1"/>
        <s v="Production" u="1"/>
      </sharedItems>
    </cacheField>
    <cacheField name="[Tableau_source].[Source].[Source]" caption="Source" numFmtId="0" hierarchy="27" level="1">
      <sharedItems containsBlank="1" count="3">
        <s v="Chaleur"/>
        <s v="Electricité"/>
        <m u="1"/>
      </sharedItems>
    </cacheField>
    <cacheField name="[Tab_concat].[Combustible].[Combustible]" caption="Combustible" numFmtId="0" hierarchy="10" level="1">
      <sharedItems count="2">
        <s v="Gaz naturel (kWh)"/>
        <s v="Electricité (kWh)"/>
      </sharedItems>
    </cacheField>
    <cacheField name="[Measures].[Somme de Conso_kWh_PCI]" caption="Somme de Conso_kWh_PCI" numFmtId="0" hierarchy="51" level="32767"/>
    <cacheField name="[Measures].[Somme de Cout_jour]" caption="Somme de Cout_jour" numFmtId="0" hierarchy="53" level="32767"/>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2" memberValueDatatype="130" unbalanced="0">
      <fieldsUsage count="2">
        <fieldUsage x="-1"/>
        <fieldUsage x="3"/>
      </fieldsUsage>
    </cacheHierarchy>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2" memberValueDatatype="20" unbalanced="0">
      <fieldsUsage count="2">
        <fieldUsage x="-1"/>
        <fieldUsage x="0"/>
      </fieldsUsage>
    </cacheHierarchy>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0" memberValueDatatype="130" unbalanced="0"/>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2" memberValueDatatype="130" unbalanced="0">
      <fieldsUsage count="2">
        <fieldUsage x="-1"/>
        <fieldUsage x="2"/>
      </fieldsUsage>
    </cacheHierarchy>
    <cacheHierarchy uniqueName="[Tableau_type].[Type]" caption="Type" attribute="1" defaultMemberUniqueName="[Tableau_type].[Type].[All]" allUniqueName="[Tableau_type].[Type].[All]" dimensionUniqueName="[Tableau_type]" displayFolder="" count="2" memberValueDatatype="130" unbalanced="0">
      <fieldsUsage count="2">
        <fieldUsage x="-1"/>
        <fieldUsage x="1"/>
      </fieldsUsage>
    </cacheHierarchy>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oneField="1" hidden="1">
      <fieldsUsage count="1">
        <fieldUsage x="4"/>
      </fieldsUsage>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oneField="1" hidden="1">
      <fieldsUsage count="1">
        <fieldUsage x="5"/>
      </fieldsUsage>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saveData="0" refreshedBy="Fabien ROUAULT" refreshedDate="46203.604027893518" backgroundQuery="1" createdVersion="7" refreshedVersion="7" minRefreshableVersion="3" recordCount="0" supportSubquery="1" supportAdvancedDrill="1">
  <cacheSource type="external" connectionId="11"/>
  <cacheFields count="5">
    <cacheField name="[Measures].[Somme de Demande_jour]" caption="Somme de Demande_jour" numFmtId="0" hierarchy="55" level="32767"/>
    <cacheField name="[Tab_concat].[Detail usage].[Detail usage]" caption="Detail usage" numFmtId="0" hierarchy="14" level="1">
      <sharedItems count="2">
        <s v="ECS et Chauffage"/>
        <s v="Elec_Général"/>
      </sharedItems>
    </cacheField>
    <cacheField name="[Tab_concat].[Dates (année)].[Dates (année)]" caption="Dates (année)" numFmtId="0" hierarchy="19" level="1">
      <sharedItems containsSemiMixedTypes="0" containsNonDate="0" containsString="0"/>
    </cacheField>
    <cacheField name="[Tableau_type].[Type].[Type]" caption="Type" numFmtId="0" hierarchy="28" level="1">
      <sharedItems count="1">
        <s v="Consommation"/>
      </sharedItems>
    </cacheField>
    <cacheField name="[Tableau_source].[Source].[Source]" caption="Source" numFmtId="0" hierarchy="27" level="1">
      <sharedItems count="2">
        <s v="Chaleur"/>
        <s v="Electricité"/>
      </sharedItems>
    </cacheField>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0" memberValueDatatype="130" unbalanced="0"/>
    <cacheHierarchy uniqueName="[Tab_concat].[Detail usage]" caption="Detail usage" attribute="1" defaultMemberUniqueName="[Tab_concat].[Detail usage].[All]" allUniqueName="[Tab_concat].[Detail usage].[All]" dimensionUniqueName="[Tab_concat]" displayFolder="" count="2" memberValueDatatype="130" unbalanced="0">
      <fieldsUsage count="2">
        <fieldUsage x="-1"/>
        <fieldUsage x="1"/>
      </fieldsUsage>
    </cacheHierarchy>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2" memberValueDatatype="130" unbalanced="0">
      <fieldsUsage count="2">
        <fieldUsage x="-1"/>
        <fieldUsage x="2"/>
      </fieldsUsage>
    </cacheHierarchy>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0" memberValueDatatype="130" unbalanced="0"/>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2" memberValueDatatype="130" unbalanced="0">
      <fieldsUsage count="2">
        <fieldUsage x="-1"/>
        <fieldUsage x="4"/>
      </fieldsUsage>
    </cacheHierarchy>
    <cacheHierarchy uniqueName="[Tableau_type].[Type]" caption="Type" attribute="1" defaultMemberUniqueName="[Tableau_type].[Type].[All]" allUniqueName="[Tableau_type].[Type].[All]" dimensionUniqueName="[Tableau_type]" displayFolder="" count="2" memberValueDatatype="130" unbalanced="0">
      <fieldsUsage count="2">
        <fieldUsage x="-1"/>
        <fieldUsage x="3"/>
      </fieldsUsage>
    </cacheHierarchy>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oneField="1" hidden="1">
      <fieldsUsage count="1">
        <fieldUsage x="0"/>
      </fieldsUsage>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saveData="0" refreshedBy="Fabien ROUAULT" refreshedDate="46203.604032060182" backgroundQuery="1" createdVersion="7" refreshedVersion="7" minRefreshableVersion="3" recordCount="0" supportSubquery="1" supportAdvancedDrill="1">
  <cacheSource type="external" connectionId="11"/>
  <cacheFields count="4">
    <cacheField name="[Measures].[Somme de Conso_kWh_PCI]" caption="Somme de Conso_kWh_PCI" numFmtId="0" hierarchy="51" level="32767"/>
    <cacheField name="[Tab_concat].[Dates (année)].[Dates (année)]" caption="Dates (année)" numFmtId="0" hierarchy="19" level="1">
      <sharedItems count="15">
        <s v="2011"/>
        <s v="2012"/>
        <s v="2013"/>
        <s v="2014"/>
        <s v="2015"/>
        <s v="2016"/>
        <s v="2017"/>
        <s v="2018"/>
        <s v="2019"/>
        <s v="2020"/>
        <s v="2021"/>
        <s v="2022"/>
        <s v="2023"/>
        <s v="2024"/>
        <s v="2025"/>
      </sharedItems>
    </cacheField>
    <cacheField name="[Tab_concat].[Dates (mois)].[Dates (mois)]" caption="Dates (mois)" numFmtId="0" hierarchy="21" level="1">
      <sharedItems count="12">
        <s v="janv"/>
        <s v="févr"/>
        <s v="mars"/>
        <s v="avr"/>
        <s v="mai"/>
        <s v="juin"/>
        <s v="juil"/>
        <s v="août"/>
        <s v="sept"/>
        <s v="oct"/>
        <s v="nov"/>
        <s v="déc"/>
      </sharedItems>
    </cacheField>
    <cacheField name="[Tab_concat].[Nom].[Nom]" caption="Nom" numFmtId="0" hierarchy="13" level="1">
      <sharedItems containsSemiMixedTypes="0" containsNonDate="0" containsString="0"/>
    </cacheField>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2" memberValueDatatype="130" unbalanced="0">
      <fieldsUsage count="2">
        <fieldUsage x="-1"/>
        <fieldUsage x="3"/>
      </fieldsUsage>
    </cacheHierarchy>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2" memberValueDatatype="130" unbalanced="0">
      <fieldsUsage count="2">
        <fieldUsage x="-1"/>
        <fieldUsage x="1"/>
      </fieldsUsage>
    </cacheHierarchy>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2" memberValueDatatype="130" unbalanced="0">
      <fieldsUsage count="2">
        <fieldUsage x="-1"/>
        <fieldUsage x="2"/>
      </fieldsUsage>
    </cacheHierarchy>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oneField="1" hidden="1">
      <fieldsUsage count="1">
        <fieldUsage x="0"/>
      </fieldsUsage>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saveData="0" refreshedBy="Fabien ROUAULT" refreshedDate="46203.604036689816" backgroundQuery="1" createdVersion="7" refreshedVersion="7" minRefreshableVersion="3" recordCount="0" supportSubquery="1" supportAdvancedDrill="1">
  <cacheSource type="external" connectionId="11"/>
  <cacheFields count="4">
    <cacheField name="[Measures].[Somme de Conso_kWh_PCI]" caption="Somme de Conso_kWh_PCI" numFmtId="0" hierarchy="51" level="32767"/>
    <cacheField name="[Tab_concat].[Dates (année)].[Dates (année)]" caption="Dates (année)" numFmtId="0" hierarchy="19" level="1">
      <sharedItems count="17">
        <s v="2010"/>
        <s v="2011"/>
        <s v="2012"/>
        <s v="2013"/>
        <s v="2014"/>
        <s v="2015"/>
        <s v="2016"/>
        <s v="2017"/>
        <s v="2018"/>
        <s v="2019"/>
        <s v="2020"/>
        <s v="2021"/>
        <s v="2022"/>
        <s v="2023"/>
        <s v="2024"/>
        <s v="2025"/>
        <s v="2026"/>
      </sharedItems>
    </cacheField>
    <cacheField name="[Tab_concat].[Dates (mois)].[Dates (mois)]" caption="Dates (mois)" numFmtId="0" hierarchy="21" level="1">
      <sharedItems count="12">
        <s v="janv"/>
        <s v="févr"/>
        <s v="mars"/>
        <s v="avr"/>
        <s v="mai"/>
        <s v="juin"/>
        <s v="juil"/>
        <s v="août"/>
        <s v="sept"/>
        <s v="oct"/>
        <s v="nov"/>
        <s v="déc"/>
      </sharedItems>
    </cacheField>
    <cacheField name="[Tab_concat].[Nom].[Nom]" caption="Nom" numFmtId="0" hierarchy="13" level="1">
      <sharedItems containsSemiMixedTypes="0" containsNonDate="0" containsString="0"/>
    </cacheField>
  </cacheFields>
  <cacheHierarchies count="63">
    <cacheHierarchy uniqueName="[Tab_concat].[Compteur]" caption="Compteur" attribute="1" defaultMemberUniqueName="[Tab_concat].[Compteur].[All]" allUniqueName="[Tab_concat].[Compteur].[All]" dimensionUniqueName="[Tab_concat]" displayFolder="" count="0" memberValueDatatype="130" unbalanced="0"/>
    <cacheHierarchy uniqueName="[Tab_concat].[Dates]" caption="Dates" attribute="1" time="1" defaultMemberUniqueName="[Tab_concat].[Dates].[All]" allUniqueName="[Tab_concat].[Dates].[All]" dimensionUniqueName="[Tab_concat]" displayFolder="" count="0" memberValueDatatype="7" unbalanced="0"/>
    <cacheHierarchy uniqueName="[Tab_concat].[Colonne1]" caption="Colonne1" attribute="1" defaultMemberUniqueName="[Tab_concat].[Colonne1].[All]" allUniqueName="[Tab_concat].[Colonne1].[All]" dimensionUniqueName="[Tab_concat]" displayFolder="" count="0" memberValueDatatype="130" unbalanced="0"/>
    <cacheHierarchy uniqueName="[Tab_concat].[Demande_jour]" caption="Demande_jour" attribute="1" defaultMemberUniqueName="[Tab_concat].[Demande_jour].[All]" allUniqueName="[Tab_concat].[Demande_jour].[All]" dimensionUniqueName="[Tab_concat]" displayFolder="" count="0" memberValueDatatype="5" unbalanced="0"/>
    <cacheHierarchy uniqueName="[Tab_concat].[Cout_jour]" caption="Cout_jour" attribute="1" defaultMemberUniqueName="[Tab_concat].[Cout_jour].[All]" allUniqueName="[Tab_concat].[Cout_jour].[All]" dimensionUniqueName="[Tab_concat]" displayFolder="" count="0" memberValueDatatype="5" unbalanced="0"/>
    <cacheHierarchy uniqueName="[Tab_concat].[DJU_chauffagiste]" caption="DJU_chauffagiste" attribute="1" defaultMemberUniqueName="[Tab_concat].[DJU_chauffagiste].[All]" allUniqueName="[Tab_concat].[DJU_chauffagiste].[All]" dimensionUniqueName="[Tab_concat]" displayFolder="" count="0" memberValueDatatype="20" unbalanced="0"/>
    <cacheHierarchy uniqueName="[Tab_concat].[DJU_climaticien]" caption="DJU_climaticien" attribute="1" defaultMemberUniqueName="[Tab_concat].[DJU_climaticien].[All]" allUniqueName="[Tab_concat].[DJU_climaticien].[All]" dimensionUniqueName="[Tab_concat]" displayFolder="" count="0" memberValueDatatype="20" unbalanced="0"/>
    <cacheHierarchy uniqueName="[Tab_concat].[Colonne2]" caption="Colonne2" attribute="1" defaultMemberUniqueName="[Tab_concat].[Colonne2].[All]" allUniqueName="[Tab_concat].[Colonne2].[All]" dimensionUniqueName="[Tab_concat]" displayFolder="" count="0" memberValueDatatype="130" unbalanced="0"/>
    <cacheHierarchy uniqueName="[Tab_concat].[Type]" caption="Type" attribute="1" defaultMemberUniqueName="[Tab_concat].[Type].[All]" allUniqueName="[Tab_concat].[Type].[All]" dimensionUniqueName="[Tab_concat]" displayFolder="" count="0" memberValueDatatype="130" unbalanced="0"/>
    <cacheHierarchy uniqueName="[Tab_concat].[Source]" caption="Source" attribute="1" defaultMemberUniqueName="[Tab_concat].[Source].[All]" allUniqueName="[Tab_concat].[Source].[All]" dimensionUniqueName="[Tab_concat]" displayFolder="" count="0" memberValueDatatype="130" unbalanced="0"/>
    <cacheHierarchy uniqueName="[Tab_concat].[Combustible]" caption="Combustible" attribute="1" defaultMemberUniqueName="[Tab_concat].[Combustible].[All]" allUniqueName="[Tab_concat].[Combustible].[All]" dimensionUniqueName="[Tab_concat]" displayFolder="" count="0" memberValueDatatype="130" unbalanced="0"/>
    <cacheHierarchy uniqueName="[Tab_concat].[Conso_kWh_PCI]" caption="Conso_kWh_PCI" attribute="1" defaultMemberUniqueName="[Tab_concat].[Conso_kWh_PCI].[All]" allUniqueName="[Tab_concat].[Conso_kWh_PCI].[All]" dimensionUniqueName="[Tab_concat]" displayFolder="" count="0" memberValueDatatype="5" unbalanced="0"/>
    <cacheHierarchy uniqueName="[Tab_concat].[Conso_kWh_DEET]" caption="Conso_kWh_DEET" attribute="1" defaultMemberUniqueName="[Tab_concat].[Conso_kWh_DEET].[All]" allUniqueName="[Tab_concat].[Conso_kWh_DEET].[All]" dimensionUniqueName="[Tab_concat]" displayFolder="" count="0" memberValueDatatype="5" unbalanced="0"/>
    <cacheHierarchy uniqueName="[Tab_concat].[Nom]" caption="Nom" attribute="1" defaultMemberUniqueName="[Tab_concat].[Nom].[All]" allUniqueName="[Tab_concat].[Nom].[All]" dimensionUniqueName="[Tab_concat]" displayFolder="" count="2" memberValueDatatype="130" unbalanced="0">
      <fieldsUsage count="2">
        <fieldUsage x="-1"/>
        <fieldUsage x="3"/>
      </fieldsUsage>
    </cacheHierarchy>
    <cacheHierarchy uniqueName="[Tab_concat].[Detail usage]" caption="Detail usage" attribute="1" defaultMemberUniqueName="[Tab_concat].[Detail usage].[All]" allUniqueName="[Tab_concat].[Detail usage].[All]" dimensionUniqueName="[Tab_concat]" displayFolder="" count="0" memberValueDatatype="130" unbalanced="0"/>
    <cacheHierarchy uniqueName="[Tab_concat].[Conso_kWhEP]" caption="Conso_kWhEP" attribute="1" defaultMemberUniqueName="[Tab_concat].[Conso_kWhEP].[All]" allUniqueName="[Tab_concat].[Conso_kWhEP].[All]" dimensionUniqueName="[Tab_concat]" displayFolder="" count="0" memberValueDatatype="5" unbalanced="0"/>
    <cacheHierarchy uniqueName="[Tab_concat].[Annee]" caption="Annee" attribute="1" defaultMemberUniqueName="[Tab_concat].[Annee].[All]" allUniqueName="[Tab_concat].[Annee].[All]" dimensionUniqueName="[Tab_concat]" displayFolder="" count="0" memberValueDatatype="20" unbalanced="0"/>
    <cacheHierarchy uniqueName="[Tab_concat].[Mois]" caption="Mois" attribute="1" defaultMemberUniqueName="[Tab_concat].[Mois].[All]" allUniqueName="[Tab_concat].[Mois].[All]" dimensionUniqueName="[Tab_concat]" displayFolder="" count="0" memberValueDatatype="20" unbalanced="0"/>
    <cacheHierarchy uniqueName="[Tab_concat].[Cout_unitaire]" caption="Cout_unitaire" attribute="1" defaultMemberUniqueName="[Tab_concat].[Cout_unitaire].[All]" allUniqueName="[Tab_concat].[Cout_unitaire].[All]" dimensionUniqueName="[Tab_concat]" displayFolder="" count="0" memberValueDatatype="5" unbalanced="0"/>
    <cacheHierarchy uniqueName="[Tab_concat].[Dates (année)]" caption="Dates (année)" attribute="1" defaultMemberUniqueName="[Tab_concat].[Dates (année)].[All]" allUniqueName="[Tab_concat].[Dates (année)].[All]" dimensionUniqueName="[Tab_concat]" displayFolder="" count="2" memberValueDatatype="130" unbalanced="0">
      <fieldsUsage count="2">
        <fieldUsage x="-1"/>
        <fieldUsage x="1"/>
      </fieldsUsage>
    </cacheHierarchy>
    <cacheHierarchy uniqueName="[Tab_concat].[Dates (trimestre)]" caption="Dates (trimestre)" attribute="1" defaultMemberUniqueName="[Tab_concat].[Dates (trimestre)].[All]" allUniqueName="[Tab_concat].[Dates (trimestre)].[All]" dimensionUniqueName="[Tab_concat]" displayFolder="" count="0" memberValueDatatype="130" unbalanced="0"/>
    <cacheHierarchy uniqueName="[Tab_concat].[Dates (mois)]" caption="Dates (mois)" attribute="1" defaultMemberUniqueName="[Tab_concat].[Dates (mois)].[All]" allUniqueName="[Tab_concat].[Dates (mois)].[All]" dimensionUniqueName="[Tab_concat]" displayFolder="" count="2" memberValueDatatype="130" unbalanced="0">
      <fieldsUsage count="2">
        <fieldUsage x="-1"/>
        <fieldUsage x="2"/>
      </fieldsUsage>
    </cacheHierarchy>
    <cacheHierarchy uniqueName="[Tab_concat].[DJU_quot_chauffagiste]" caption="DJU_quot_chauffagiste" attribute="1" defaultMemberUniqueName="[Tab_concat].[DJU_quot_chauffagiste].[All]" allUniqueName="[Tab_concat].[DJU_quot_chauffagiste].[All]" dimensionUniqueName="[Tab_concat]" displayFolder="" count="0" memberValueDatatype="5" unbalanced="0"/>
    <cacheHierarchy uniqueName="[Tab_concat].[DJU_quot_climaticien]" caption="DJU_quot_climaticien" attribute="1" defaultMemberUniqueName="[Tab_concat].[DJU_quot_climaticien].[All]" allUniqueName="[Tab_concat].[DJU_quot_climaticien].[All]" dimensionUniqueName="[Tab_concat]" displayFolder="" count="0" memberValueDatatype="5" unbalanced="0"/>
    <cacheHierarchy uniqueName="[Tableau_annees].[Annee]" caption="Annee" attribute="1" defaultMemberUniqueName="[Tableau_annees].[Annee].[All]" allUniqueName="[Tableau_annees].[Annee].[All]" dimensionUniqueName="[Tableau_annees]" displayFolder="" count="0" memberValueDatatype="20" unbalanced="0"/>
    <cacheHierarchy uniqueName="[Tableau_combustible].[Combustible]" caption="Combustible" attribute="1" defaultMemberUniqueName="[Tableau_combustible].[Combustible].[All]" allUniqueName="[Tableau_combustible].[Combustible].[All]" dimensionUniqueName="[Tableau_combustible]" displayFolder="" count="0" memberValueDatatype="130" unbalanced="0"/>
    <cacheHierarchy uniqueName="[Tableau_mois].[Mois]" caption="Mois" attribute="1" defaultMemberUniqueName="[Tableau_mois].[Mois].[All]" allUniqueName="[Tableau_mois].[Mois].[All]" dimensionUniqueName="[Tableau_mois]" displayFolder="" count="0" memberValueDatatype="20" unbalanced="0"/>
    <cacheHierarchy uniqueName="[Tableau_source].[Source]" caption="Source" attribute="1" defaultMemberUniqueName="[Tableau_source].[Source].[All]" allUniqueName="[Tableau_source].[Source].[All]" dimensionUniqueName="[Tableau_source]" displayFolder="" count="0" memberValueDatatype="130" unbalanced="0"/>
    <cacheHierarchy uniqueName="[Tableau_type].[Type]" caption="Type" attribute="1" defaultMemberUniqueName="[Tableau_type].[Type].[All]" allUniqueName="[Tableau_type].[Type].[All]" dimensionUniqueName="[Tableau_type]" displayFolder="" count="0" memberValueDatatype="130" unbalanced="0"/>
    <cacheHierarchy uniqueName="[Tableau_usage].[Detail usage]" caption="Detail usage" attribute="1" defaultMemberUniqueName="[Tableau_usage].[Detail usage].[All]" allUniqueName="[Tableau_usage].[Detail usage].[All]" dimensionUniqueName="[Tableau_usage]" displayFolder="" count="0" memberValueDatatype="130" unbalanced="0"/>
    <cacheHierarchy uniqueName="[Tableau16].[Compteur/Livraison]" caption="Compteur/Livraison" attribute="1" defaultMemberUniqueName="[Tableau16].[Compteur/Livraison].[All]" allUniqueName="[Tableau16].[Compteur/Livraison].[All]" dimensionUniqueName="[Tableau16]" displayFolder="" count="0" memberValueDatatype="130" unbalanced="0"/>
    <cacheHierarchy uniqueName="[Tableau16].[Type]" caption="Type" attribute="1" defaultMemberUniqueName="[Tableau16].[Type].[All]" allUniqueName="[Tableau16].[Type].[All]" dimensionUniqueName="[Tableau16]" displayFolder="" count="0" memberValueDatatype="130" unbalanced="0"/>
    <cacheHierarchy uniqueName="[Tableau16].[Source]" caption="Source" attribute="1" defaultMemberUniqueName="[Tableau16].[Source].[All]" allUniqueName="[Tableau16].[Source].[All]" dimensionUniqueName="[Tableau16]" displayFolder="" count="0" memberValueDatatype="130" unbalanced="0"/>
    <cacheHierarchy uniqueName="[Tableau16].[Detail usage]" caption="Detail usage" attribute="1" defaultMemberUniqueName="[Tableau16].[Detail usage].[All]" allUniqueName="[Tableau16].[Detail usage].[All]" dimensionUniqueName="[Tableau16]" displayFolder="" count="0" memberValueDatatype="130" unbalanced="0"/>
    <cacheHierarchy uniqueName="[Tableau16].[Combustible]" caption="Combustible" attribute="1" defaultMemberUniqueName="[Tableau16].[Combustible].[All]" allUniqueName="[Tableau16].[Combustible].[All]" dimensionUniqueName="[Tableau16]" displayFolder="" count="0" memberValueDatatype="130" unbalanced="0"/>
    <cacheHierarchy uniqueName="[Tableau16].[PCI]" caption="PCI" attribute="1" defaultMemberUniqueName="[Tableau16].[PCI].[All]" allUniqueName="[Tableau16].[PCI].[All]" dimensionUniqueName="[Tableau16]" displayFolder="" count="0" memberValueDatatype="5" unbalanced="0"/>
    <cacheHierarchy uniqueName="[Tableau16].[PCI_DEET]" caption="PCI_DEET" attribute="1" defaultMemberUniqueName="[Tableau16].[PCI_DEET].[All]" allUniqueName="[Tableau16].[PCI_DEET].[All]" dimensionUniqueName="[Tableau16]" displayFolder="" count="0" memberValueDatatype="5" unbalanced="0"/>
    <cacheHierarchy uniqueName="[Tableau16].[Nom]" caption="Nom" attribute="1" defaultMemberUniqueName="[Tableau16].[Nom].[All]" allUniqueName="[Tableau16].[Nom].[All]" dimensionUniqueName="[Tableau16]" displayFolder="" count="0" memberValueDatatype="130" unbalanced="0"/>
    <cacheHierarchy uniqueName="[Tableau16].[PCI_EP]" caption="PCI_EP" attribute="1" defaultMemberUniqueName="[Tableau16].[PCI_EP].[All]" allUniqueName="[Tableau16].[PCI_EP].[All]" dimensionUniqueName="[Tableau16]" displayFolder="" count="0" memberValueDatatype="5" unbalanced="0"/>
    <cacheHierarchy uniqueName="[Tab_concat].[Dates (index des mois)]" caption="Dates (index des mois)" attribute="1" defaultMemberUniqueName="[Tab_concat].[Dates (index des mois)].[All]" allUniqueName="[Tab_concat].[Dates (index des mois)].[All]" dimensionUniqueName="[Tab_concat]" displayFolder="" count="0" memberValueDatatype="20" unbalanced="0" hidden="1"/>
    <cacheHierarchy uniqueName="[Measures].[Conso_DJU]" caption="Conso_DJU" measure="1" displayFolder="" measureGroup="Tab_concat" count="0"/>
    <cacheHierarchy uniqueName="[Measures].[Cout Unitaire Moyen]" caption="Cout Unitaire Moyen" measure="1" displayFolder="" measureGroup="Tab_concat" count="0"/>
    <cacheHierarchy uniqueName="[Measures].[__XL_Count Tab_concat]" caption="__XL_Count Tab_concat" measure="1" displayFolder="" measureGroup="Tab_concat" count="0" hidden="1"/>
    <cacheHierarchy uniqueName="[Measures].[__XL_Count Tableau16]" caption="__XL_Count Tableau16" measure="1" displayFolder="" measureGroup="Tableau16" count="0" hidden="1"/>
    <cacheHierarchy uniqueName="[Measures].[__XL_Count Tableau14]" caption="__XL_Count Tableau14" measure="1" displayFolder="" measureGroup="Tableau_type" count="0" hidden="1"/>
    <cacheHierarchy uniqueName="[Measures].[__XL_Count Tableau_annees]" caption="__XL_Count Tableau_annees" measure="1" displayFolder="" measureGroup="Tableau_annees" count="0" hidden="1"/>
    <cacheHierarchy uniqueName="[Measures].[__XL_Count Tableau_source]" caption="__XL_Count Tableau_source" measure="1" displayFolder="" measureGroup="Tableau_source" count="0" hidden="1"/>
    <cacheHierarchy uniqueName="[Measures].[__XL_Count Tableau_combustible]" caption="__XL_Count Tableau_combustible" measure="1" displayFolder="" measureGroup="Tableau_combustible" count="0" hidden="1"/>
    <cacheHierarchy uniqueName="[Measures].[__XL_Count Tableau_usage]" caption="__XL_Count Tableau_usage" measure="1" displayFolder="" measureGroup="Tableau_usage" count="0" hidden="1"/>
    <cacheHierarchy uniqueName="[Measures].[__XL_Count Tableau_mois]" caption="__XL_Count Tableau_mois" measure="1" displayFolder="" measureGroup="Tableau_mois" count="0" hidden="1"/>
    <cacheHierarchy uniqueName="[Measures].[__Aucune mesure définie]" caption="__Aucune mesure définie" measure="1" displayFolder="" count="0" hidden="1"/>
    <cacheHierarchy uniqueName="[Measures].[Somme de Conso_kWh_PCI]" caption="Somme de Conso_kWh_PCI" measure="1" displayFolder="" measureGroup="Tab_concat" count="0" oneField="1" hidden="1">
      <fieldsUsage count="1">
        <fieldUsage x="0"/>
      </fieldsUsage>
      <extLst>
        <ext xmlns:x15="http://schemas.microsoft.com/office/spreadsheetml/2010/11/main" uri="{B97F6D7D-B522-45F9-BDA1-12C45D357490}">
          <x15:cacheHierarchy aggregatedColumn="11"/>
        </ext>
      </extLst>
    </cacheHierarchy>
    <cacheHierarchy uniqueName="[Measures].[Somme de Conso_kWh_DEET]" caption="Somm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jour]" caption="Somme de Cout_jour" measure="1" displayFolder="" measureGroup="Tab_concat" count="0" hidden="1">
      <extLst>
        <ext xmlns:x15="http://schemas.microsoft.com/office/spreadsheetml/2010/11/main" uri="{B97F6D7D-B522-45F9-BDA1-12C45D357490}">
          <x15:cacheHierarchy aggregatedColumn="4"/>
        </ext>
      </extLst>
    </cacheHierarchy>
    <cacheHierarchy uniqueName="[Measures].[Somme de Conso_kWhEP]" caption="Somme de Conso_kWhEP" measure="1" displayFolder="" measureGroup="Tab_concat" count="0" hidden="1">
      <extLst>
        <ext xmlns:x15="http://schemas.microsoft.com/office/spreadsheetml/2010/11/main" uri="{B97F6D7D-B522-45F9-BDA1-12C45D357490}">
          <x15:cacheHierarchy aggregatedColumn="15"/>
        </ext>
      </extLst>
    </cacheHierarchy>
    <cacheHierarchy uniqueName="[Measures].[Somme de Demande_jour]" caption="Somme de Demande_jour" measure="1" displayFolder="" measureGroup="Tab_concat" count="0" hidden="1">
      <extLst>
        <ext xmlns:x15="http://schemas.microsoft.com/office/spreadsheetml/2010/11/main" uri="{B97F6D7D-B522-45F9-BDA1-12C45D357490}">
          <x15:cacheHierarchy aggregatedColumn="3"/>
        </ext>
      </extLst>
    </cacheHierarchy>
    <cacheHierarchy uniqueName="[Measures].[Moyenne de Conso_kWh_PCI]" caption="Moyenne de Conso_kWh_PCI" measure="1" displayFolder="" measureGroup="Tab_concat" count="0" hidden="1">
      <extLst>
        <ext xmlns:x15="http://schemas.microsoft.com/office/spreadsheetml/2010/11/main" uri="{B97F6D7D-B522-45F9-BDA1-12C45D357490}">
          <x15:cacheHierarchy aggregatedColumn="11"/>
        </ext>
      </extLst>
    </cacheHierarchy>
    <cacheHierarchy uniqueName="[Measures].[Moyenne de Conso_kWh_DEET]" caption="Moyenne de Conso_kWh_DEET" measure="1" displayFolder="" measureGroup="Tab_concat" count="0" hidden="1">
      <extLst>
        <ext xmlns:x15="http://schemas.microsoft.com/office/spreadsheetml/2010/11/main" uri="{B97F6D7D-B522-45F9-BDA1-12C45D357490}">
          <x15:cacheHierarchy aggregatedColumn="12"/>
        </ext>
      </extLst>
    </cacheHierarchy>
    <cacheHierarchy uniqueName="[Measures].[Somme de Cout_unitaire]" caption="Somm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DJU_quot_chauffagiste]" caption="Somme de DJU_quot_chauffagiste" measure="1" displayFolder="" measureGroup="Tab_concat" count="0" hidden="1">
      <extLst>
        <ext xmlns:x15="http://schemas.microsoft.com/office/spreadsheetml/2010/11/main" uri="{B97F6D7D-B522-45F9-BDA1-12C45D357490}">
          <x15:cacheHierarchy aggregatedColumn="22"/>
        </ext>
      </extLst>
    </cacheHierarchy>
    <cacheHierarchy uniqueName="[Measures].[Moyenne de Cout_unitaire]" caption="Moyenne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Total distinct de Cout_unitaire]" caption="Total distinct de Cout_unitaire" measure="1" displayFolder="" measureGroup="Tab_concat" count="0" hidden="1">
      <extLst>
        <ext xmlns:x15="http://schemas.microsoft.com/office/spreadsheetml/2010/11/main" uri="{B97F6D7D-B522-45F9-BDA1-12C45D357490}">
          <x15:cacheHierarchy aggregatedColumn="18"/>
        </ext>
      </extLst>
    </cacheHierarchy>
    <cacheHierarchy uniqueName="[Measures].[Somme de Mois]" caption="Somme de Mois" measure="1" displayFolder="" measureGroup="Tableau_mois" count="0" hidden="1">
      <extLst>
        <ext xmlns:x15="http://schemas.microsoft.com/office/spreadsheetml/2010/11/main" uri="{B97F6D7D-B522-45F9-BDA1-12C45D357490}">
          <x15:cacheHierarchy aggregatedColumn="26"/>
        </ext>
      </extLst>
    </cacheHierarchy>
  </cacheHierarchies>
  <kpis count="0"/>
  <dimensions count="9">
    <dimension measure="1" name="Measures" uniqueName="[Measures]" caption="Measures"/>
    <dimension name="Tab_concat" uniqueName="[Tab_concat]" caption="Tab_concat"/>
    <dimension name="Tableau_annees" uniqueName="[Tableau_annees]" caption="Tableau_annees"/>
    <dimension name="Tableau_combustible" uniqueName="[Tableau_combustible]" caption="Tableau_combustible"/>
    <dimension name="Tableau_mois" uniqueName="[Tableau_mois]" caption="Tableau_mois"/>
    <dimension name="Tableau_source" uniqueName="[Tableau_source]" caption="Tableau_source"/>
    <dimension name="Tableau_type" uniqueName="[Tableau_type]" caption="Tableau_type"/>
    <dimension name="Tableau_usage" uniqueName="[Tableau_usage]" caption="Tableau_usage"/>
    <dimension name="Tableau16" uniqueName="[Tableau16]" caption="Tableau16"/>
  </dimensions>
  <measureGroups count="8">
    <measureGroup name="Tab_concat" caption="Tab_concat"/>
    <measureGroup name="Tableau_annees" caption="Tableau_annees"/>
    <measureGroup name="Tableau_combustible" caption="Tableau_combustible"/>
    <measureGroup name="Tableau_mois" caption="Tableau_mois"/>
    <measureGroup name="Tableau_source" caption="Tableau_source"/>
    <measureGroup name="Tableau_type" caption="Tableau_type"/>
    <measureGroup name="Tableau_usage" caption="Tableau_usage"/>
    <measureGroup name="Tableau16" caption="Tableau16"/>
  </measureGroups>
  <maps count="17">
    <map measureGroup="0" dimension="1"/>
    <map measureGroup="0" dimension="2"/>
    <map measureGroup="0" dimension="3"/>
    <map measureGroup="0" dimension="4"/>
    <map measureGroup="0" dimension="5"/>
    <map measureGroup="0" dimension="6"/>
    <map measureGroup="0" dimension="7"/>
    <map measureGroup="0" dimension="8"/>
    <map measureGroup="1" dimension="2"/>
    <map measureGroup="2" dimension="3"/>
    <map measureGroup="3" dimension="4"/>
    <map measureGroup="4" dimension="5"/>
    <map measureGroup="5" dimension="6"/>
    <map measureGroup="6" dimension="7"/>
    <map measureGroup="7" dimension="5"/>
    <map measureGroup="7" dimension="6"/>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4">
  <r>
    <s v="DINARD"/>
    <x v="0"/>
    <x v="0"/>
    <x v="0"/>
    <n v="361"/>
    <n v="0"/>
  </r>
  <r>
    <s v="DINARD"/>
    <x v="0"/>
    <x v="1"/>
    <x v="1"/>
    <n v="311"/>
    <n v="0"/>
  </r>
  <r>
    <s v="DINARD"/>
    <x v="0"/>
    <x v="2"/>
    <x v="2"/>
    <n v="266"/>
    <n v="0"/>
  </r>
  <r>
    <s v="DINARD"/>
    <x v="0"/>
    <x v="3"/>
    <x v="3"/>
    <n v="250"/>
    <n v="0"/>
  </r>
  <r>
    <s v="DINARD"/>
    <x v="0"/>
    <x v="4"/>
    <x v="4"/>
    <n v="163"/>
    <n v="8"/>
  </r>
  <r>
    <s v="DINARD"/>
    <x v="0"/>
    <x v="5"/>
    <x v="5"/>
    <n v="99"/>
    <n v="26"/>
  </r>
  <r>
    <s v="DINARD"/>
    <x v="0"/>
    <x v="6"/>
    <x v="6"/>
    <n v="51"/>
    <n v="48"/>
  </r>
  <r>
    <s v="DINARD"/>
    <x v="0"/>
    <x v="7"/>
    <x v="7"/>
    <n v="34"/>
    <n v="61"/>
  </r>
  <r>
    <s v="DINARD"/>
    <x v="0"/>
    <x v="8"/>
    <x v="8"/>
    <n v="87"/>
    <n v="6"/>
  </r>
  <r>
    <s v="DINARD"/>
    <x v="0"/>
    <x v="9"/>
    <x v="9"/>
    <n v="94"/>
    <n v="9"/>
  </r>
  <r>
    <s v="DINARD"/>
    <x v="0"/>
    <x v="10"/>
    <x v="10"/>
    <n v="285"/>
    <n v="0"/>
  </r>
  <r>
    <s v="DINARD"/>
    <x v="0"/>
    <x v="11"/>
    <x v="11"/>
    <n v="407"/>
    <n v="0"/>
  </r>
  <r>
    <s v="DINARD"/>
    <x v="1"/>
    <x v="0"/>
    <x v="0"/>
    <n v="320"/>
    <n v="0"/>
  </r>
  <r>
    <s v="DINARD"/>
    <x v="1"/>
    <x v="1"/>
    <x v="1"/>
    <n v="247"/>
    <n v="0"/>
  </r>
  <r>
    <s v="DINARD"/>
    <x v="1"/>
    <x v="2"/>
    <x v="2"/>
    <n v="266"/>
    <n v="0"/>
  </r>
  <r>
    <s v="DINARD"/>
    <x v="1"/>
    <x v="3"/>
    <x v="3"/>
    <n v="218"/>
    <n v="1"/>
  </r>
  <r>
    <s v="DINARD"/>
    <x v="1"/>
    <x v="4"/>
    <x v="4"/>
    <n v="163"/>
    <n v="8"/>
  </r>
  <r>
    <s v="DINARD"/>
    <x v="1"/>
    <x v="5"/>
    <x v="5"/>
    <n v="84"/>
    <n v="20"/>
  </r>
  <r>
    <s v="DINARD"/>
    <x v="1"/>
    <x v="6"/>
    <x v="6"/>
    <n v="60"/>
    <n v="22"/>
  </r>
  <r>
    <s v="DINARD"/>
    <x v="1"/>
    <x v="7"/>
    <x v="7"/>
    <n v="49"/>
    <n v="28"/>
  </r>
  <r>
    <s v="DINARD"/>
    <x v="1"/>
    <x v="8"/>
    <x v="8"/>
    <n v="79"/>
    <n v="19"/>
  </r>
  <r>
    <s v="DINARD"/>
    <x v="1"/>
    <x v="9"/>
    <x v="9"/>
    <n v="158"/>
    <n v="2"/>
  </r>
  <r>
    <s v="DINARD"/>
    <x v="1"/>
    <x v="10"/>
    <x v="10"/>
    <n v="221"/>
    <n v="0"/>
  </r>
  <r>
    <s v="DINARD"/>
    <x v="1"/>
    <x v="11"/>
    <x v="11"/>
    <n v="299"/>
    <n v="0"/>
  </r>
  <r>
    <s v="DINARD"/>
    <x v="2"/>
    <x v="0"/>
    <x v="0"/>
    <n v="397"/>
    <n v="0"/>
  </r>
  <r>
    <s v="DINARD"/>
    <x v="2"/>
    <x v="1"/>
    <x v="1"/>
    <n v="343"/>
    <n v="0"/>
  </r>
  <r>
    <s v="DINARD"/>
    <x v="2"/>
    <x v="2"/>
    <x v="2"/>
    <n v="248"/>
    <n v="1"/>
  </r>
  <r>
    <s v="DINARD"/>
    <x v="2"/>
    <x v="3"/>
    <x v="3"/>
    <n v="212"/>
    <n v="7"/>
  </r>
  <r>
    <s v="DINARD"/>
    <x v="2"/>
    <x v="4"/>
    <x v="4"/>
    <n v="161"/>
    <n v="8"/>
  </r>
  <r>
    <s v="DINARD"/>
    <x v="2"/>
    <x v="5"/>
    <x v="5"/>
    <n v="50"/>
    <n v="47"/>
  </r>
  <r>
    <s v="DINARD"/>
    <x v="2"/>
    <x v="6"/>
    <x v="6"/>
    <n v="38"/>
    <n v="60"/>
  </r>
  <r>
    <s v="DINARD"/>
    <x v="2"/>
    <x v="7"/>
    <x v="7"/>
    <n v="27"/>
    <n v="100"/>
  </r>
  <r>
    <s v="DINARD"/>
    <x v="2"/>
    <x v="8"/>
    <x v="8"/>
    <n v="80"/>
    <n v="37"/>
  </r>
  <r>
    <s v="DINARD"/>
    <x v="2"/>
    <x v="9"/>
    <x v="9"/>
    <n v="205"/>
    <n v="2"/>
  </r>
  <r>
    <s v="DINARD"/>
    <x v="2"/>
    <x v="10"/>
    <x v="10"/>
    <n v="236"/>
    <n v="0"/>
  </r>
  <r>
    <s v="DINARD"/>
    <x v="2"/>
    <x v="11"/>
    <x v="11"/>
    <n v="342"/>
    <n v="0"/>
  </r>
  <r>
    <s v="DINARD"/>
    <x v="3"/>
    <x v="0"/>
    <x v="0"/>
    <n v="322"/>
    <n v="0"/>
  </r>
  <r>
    <s v="DINARD"/>
    <x v="3"/>
    <x v="1"/>
    <x v="1"/>
    <n v="337"/>
    <n v="0"/>
  </r>
  <r>
    <s v="DINARD"/>
    <x v="3"/>
    <x v="2"/>
    <x v="2"/>
    <n v="336"/>
    <n v="0"/>
  </r>
  <r>
    <s v="DINARD"/>
    <x v="3"/>
    <x v="3"/>
    <x v="3"/>
    <n v="241"/>
    <n v="0"/>
  </r>
  <r>
    <s v="DINARD"/>
    <x v="3"/>
    <x v="4"/>
    <x v="4"/>
    <n v="173"/>
    <n v="5"/>
  </r>
  <r>
    <s v="DINARD"/>
    <x v="3"/>
    <x v="5"/>
    <x v="5"/>
    <n v="74"/>
    <n v="24"/>
  </r>
  <r>
    <s v="DINARD"/>
    <x v="3"/>
    <x v="6"/>
    <x v="6"/>
    <n v="61"/>
    <n v="27"/>
  </r>
  <r>
    <s v="DINARD"/>
    <x v="3"/>
    <x v="7"/>
    <x v="7"/>
    <n v="32"/>
    <n v="55"/>
  </r>
  <r>
    <s v="DINARD"/>
    <x v="3"/>
    <x v="8"/>
    <x v="8"/>
    <n v="70"/>
    <n v="33"/>
  </r>
  <r>
    <s v="DINARD"/>
    <x v="3"/>
    <x v="9"/>
    <x v="9"/>
    <n v="157"/>
    <n v="3"/>
  </r>
  <r>
    <s v="DINARD"/>
    <x v="3"/>
    <x v="10"/>
    <x v="10"/>
    <n v="240"/>
    <n v="0"/>
  </r>
  <r>
    <s v="DINARD"/>
    <x v="3"/>
    <x v="11"/>
    <x v="11"/>
    <n v="365"/>
    <n v="0"/>
  </r>
  <r>
    <s v="DINARD"/>
    <x v="4"/>
    <x v="0"/>
    <x v="0"/>
    <n v="316"/>
    <n v="0"/>
  </r>
  <r>
    <s v="DINARD"/>
    <x v="4"/>
    <x v="1"/>
    <x v="1"/>
    <n v="357"/>
    <n v="0"/>
  </r>
  <r>
    <s v="DINARD"/>
    <x v="4"/>
    <x v="2"/>
    <x v="2"/>
    <n v="281"/>
    <n v="3"/>
  </r>
  <r>
    <s v="DINARD"/>
    <x v="4"/>
    <x v="3"/>
    <x v="3"/>
    <n v="226"/>
    <n v="4"/>
  </r>
  <r>
    <s v="DINARD"/>
    <x v="4"/>
    <x v="4"/>
    <x v="4"/>
    <n v="159"/>
    <n v="11"/>
  </r>
  <r>
    <s v="DINARD"/>
    <x v="4"/>
    <x v="5"/>
    <x v="5"/>
    <n v="71"/>
    <n v="48"/>
  </r>
  <r>
    <s v="DINARD"/>
    <x v="4"/>
    <x v="6"/>
    <x v="6"/>
    <n v="37"/>
    <n v="46"/>
  </r>
  <r>
    <s v="DINARD"/>
    <x v="4"/>
    <x v="7"/>
    <x v="7"/>
    <n v="57"/>
    <n v="35"/>
  </r>
  <r>
    <s v="DINARD"/>
    <x v="4"/>
    <x v="8"/>
    <x v="8"/>
    <n v="67"/>
    <n v="37"/>
  </r>
  <r>
    <s v="DINARD"/>
    <x v="4"/>
    <x v="9"/>
    <x v="9"/>
    <n v="89"/>
    <n v="12"/>
  </r>
  <r>
    <s v="DINARD"/>
    <x v="4"/>
    <x v="10"/>
    <x v="10"/>
    <n v="288"/>
    <n v="0"/>
  </r>
  <r>
    <s v="DINARD"/>
    <x v="4"/>
    <x v="11"/>
    <x v="11"/>
    <n v="399"/>
    <n v="0"/>
  </r>
  <r>
    <s v="DINARD"/>
    <x v="5"/>
    <x v="0"/>
    <x v="0"/>
    <n v="417"/>
    <n v="0"/>
  </r>
  <r>
    <s v="DINARD"/>
    <x v="5"/>
    <x v="1"/>
    <x v="1"/>
    <n v="371"/>
    <n v="0"/>
  </r>
  <r>
    <s v="DINARD"/>
    <x v="5"/>
    <x v="2"/>
    <x v="2"/>
    <n v="325"/>
    <n v="0"/>
  </r>
  <r>
    <s v="DINARD"/>
    <x v="5"/>
    <x v="3"/>
    <x v="3"/>
    <n v="239"/>
    <n v="1"/>
  </r>
  <r>
    <s v="DINARD"/>
    <x v="5"/>
    <x v="4"/>
    <x v="4"/>
    <n v="129"/>
    <n v="11"/>
  </r>
  <r>
    <s v="DINARD"/>
    <x v="5"/>
    <x v="5"/>
    <x v="5"/>
    <n v="65"/>
    <n v="36"/>
  </r>
  <r>
    <s v="DINARD"/>
    <x v="5"/>
    <x v="6"/>
    <x v="6"/>
    <n v="20"/>
    <n v="90"/>
  </r>
  <r>
    <s v="DINARD"/>
    <x v="5"/>
    <x v="7"/>
    <x v="7"/>
    <n v="41"/>
    <n v="31"/>
  </r>
  <r>
    <s v="DINARD"/>
    <x v="5"/>
    <x v="8"/>
    <x v="8"/>
    <n v="38"/>
    <n v="49"/>
  </r>
  <r>
    <s v="DINARD"/>
    <x v="5"/>
    <x v="9"/>
    <x v="9"/>
    <n v="82"/>
    <n v="9"/>
  </r>
  <r>
    <s v="DINARD"/>
    <x v="5"/>
    <x v="10"/>
    <x v="10"/>
    <n v="230"/>
    <n v="0"/>
  </r>
  <r>
    <s v="DINARD"/>
    <x v="5"/>
    <x v="11"/>
    <x v="11"/>
    <n v="332"/>
    <n v="0"/>
  </r>
  <r>
    <s v="DINARD"/>
    <x v="6"/>
    <x v="0"/>
    <x v="0"/>
    <n v="294"/>
    <n v="0"/>
  </r>
  <r>
    <s v="DINARD"/>
    <x v="6"/>
    <x v="1"/>
    <x v="1"/>
    <n v="245"/>
    <n v="0"/>
  </r>
  <r>
    <s v="DINARD"/>
    <x v="6"/>
    <x v="2"/>
    <x v="2"/>
    <n v="296"/>
    <n v="0"/>
  </r>
  <r>
    <s v="DINARD"/>
    <x v="6"/>
    <x v="3"/>
    <x v="3"/>
    <n v="175"/>
    <n v="7"/>
  </r>
  <r>
    <s v="DINARD"/>
    <x v="6"/>
    <x v="4"/>
    <x v="4"/>
    <n v="132"/>
    <n v="4"/>
  </r>
  <r>
    <s v="DINARD"/>
    <x v="6"/>
    <x v="5"/>
    <x v="5"/>
    <n v="70"/>
    <n v="19"/>
  </r>
  <r>
    <s v="DINARD"/>
    <x v="6"/>
    <x v="6"/>
    <x v="6"/>
    <n v="53"/>
    <n v="30"/>
  </r>
  <r>
    <s v="DINARD"/>
    <x v="6"/>
    <x v="7"/>
    <x v="7"/>
    <n v="59"/>
    <n v="27"/>
  </r>
  <r>
    <s v="DINARD"/>
    <x v="6"/>
    <x v="8"/>
    <x v="8"/>
    <n v="95"/>
    <n v="12"/>
  </r>
  <r>
    <s v="DINARD"/>
    <x v="6"/>
    <x v="9"/>
    <x v="9"/>
    <n v="183"/>
    <n v="2"/>
  </r>
  <r>
    <s v="DINARD"/>
    <x v="6"/>
    <x v="10"/>
    <x v="10"/>
    <n v="265"/>
    <n v="0"/>
  </r>
  <r>
    <s v="DINARD"/>
    <x v="6"/>
    <x v="11"/>
    <x v="11"/>
    <n v="370"/>
    <n v="0"/>
  </r>
  <r>
    <s v="DINARD"/>
    <x v="7"/>
    <x v="0"/>
    <x v="0"/>
    <n v="310"/>
    <n v="0"/>
  </r>
  <r>
    <s v="DINARD"/>
    <x v="7"/>
    <x v="1"/>
    <x v="1"/>
    <n v="309"/>
    <n v="0"/>
  </r>
  <r>
    <s v="DINARD"/>
    <x v="7"/>
    <x v="2"/>
    <x v="2"/>
    <n v="300"/>
    <n v="0"/>
  </r>
  <r>
    <s v="DINARD"/>
    <x v="7"/>
    <x v="3"/>
    <x v="3"/>
    <n v="249"/>
    <n v="1"/>
  </r>
  <r>
    <s v="DINARD"/>
    <x v="7"/>
    <x v="4"/>
    <x v="4"/>
    <n v="113"/>
    <n v="14"/>
  </r>
  <r>
    <s v="DINARD"/>
    <x v="7"/>
    <x v="5"/>
    <x v="5"/>
    <n v="89"/>
    <n v="15"/>
  </r>
  <r>
    <s v="DINARD"/>
    <x v="7"/>
    <x v="6"/>
    <x v="6"/>
    <n v="49"/>
    <n v="43"/>
  </r>
  <r>
    <s v="DINARD"/>
    <x v="7"/>
    <x v="7"/>
    <x v="7"/>
    <n v="42"/>
    <n v="32"/>
  </r>
  <r>
    <s v="DINARD"/>
    <x v="7"/>
    <x v="8"/>
    <x v="8"/>
    <n v="121"/>
    <n v="5"/>
  </r>
  <r>
    <s v="DINARD"/>
    <x v="7"/>
    <x v="9"/>
    <x v="9"/>
    <n v="192"/>
    <n v="3"/>
  </r>
  <r>
    <s v="DINARD"/>
    <x v="7"/>
    <x v="10"/>
    <x v="10"/>
    <n v="252"/>
    <n v="0"/>
  </r>
  <r>
    <s v="DINARD"/>
    <x v="7"/>
    <x v="11"/>
    <x v="11"/>
    <n v="406"/>
    <n v="0"/>
  </r>
  <r>
    <s v="DINARD"/>
    <x v="8"/>
    <x v="0"/>
    <x v="0"/>
    <n v="428"/>
    <n v="0"/>
  </r>
  <r>
    <s v="DINARD"/>
    <x v="8"/>
    <x v="1"/>
    <x v="1"/>
    <n v="351"/>
    <n v="0"/>
  </r>
  <r>
    <s v="DINARD"/>
    <x v="8"/>
    <x v="2"/>
    <x v="2"/>
    <n v="311"/>
    <n v="0"/>
  </r>
  <r>
    <s v="DINARD"/>
    <x v="8"/>
    <x v="3"/>
    <x v="3"/>
    <n v="224"/>
    <n v="1"/>
  </r>
  <r>
    <s v="DINARD"/>
    <x v="8"/>
    <x v="4"/>
    <x v="4"/>
    <n v="150"/>
    <n v="6"/>
  </r>
  <r>
    <s v="DINARD"/>
    <x v="8"/>
    <x v="5"/>
    <x v="5"/>
    <n v="78"/>
    <n v="24"/>
  </r>
  <r>
    <s v="DINARD"/>
    <x v="8"/>
    <x v="6"/>
    <x v="6"/>
    <n v="48"/>
    <n v="41"/>
  </r>
  <r>
    <s v="DINARD"/>
    <x v="8"/>
    <x v="7"/>
    <x v="7"/>
    <n v="47"/>
    <n v="40"/>
  </r>
  <r>
    <s v="DINARD"/>
    <x v="8"/>
    <x v="8"/>
    <x v="8"/>
    <n v="74"/>
    <n v="16"/>
  </r>
  <r>
    <s v="DINARD"/>
    <x v="8"/>
    <x v="9"/>
    <x v="9"/>
    <n v="144"/>
    <n v="4"/>
  </r>
  <r>
    <s v="DINARD"/>
    <x v="8"/>
    <x v="10"/>
    <x v="10"/>
    <n v="215"/>
    <n v="0"/>
  </r>
  <r>
    <s v="DINARD"/>
    <x v="8"/>
    <x v="11"/>
    <x v="11"/>
    <n v="381"/>
    <n v="0"/>
  </r>
  <r>
    <s v="DINARD"/>
    <x v="9"/>
    <x v="0"/>
    <x v="0"/>
    <n v="444"/>
    <n v="0"/>
  </r>
  <r>
    <s v="DINARD"/>
    <x v="9"/>
    <x v="1"/>
    <x v="1"/>
    <n v="351"/>
    <n v="0"/>
  </r>
  <r>
    <s v="DINARD"/>
    <x v="9"/>
    <x v="2"/>
    <x v="2"/>
    <n v="316"/>
    <n v="0"/>
  </r>
  <r>
    <s v="DINARD"/>
    <x v="9"/>
    <x v="3"/>
    <x v="3"/>
    <n v="241"/>
    <n v="4"/>
  </r>
  <r>
    <s v="DINARD"/>
    <x v="9"/>
    <x v="4"/>
    <x v="4"/>
    <n v="198"/>
    <n v="8"/>
  </r>
  <r>
    <s v="DINARD"/>
    <x v="9"/>
    <x v="5"/>
    <x v="5"/>
    <n v="84"/>
    <n v="18"/>
  </r>
  <r>
    <s v="DINARD"/>
    <x v="9"/>
    <x v="6"/>
    <x v="6"/>
    <n v="38"/>
    <n v="46"/>
  </r>
  <r>
    <s v="DINARD"/>
    <x v="9"/>
    <x v="7"/>
    <x v="7"/>
    <n v="49"/>
    <n v="30"/>
  </r>
  <r>
    <s v="DINARD"/>
    <x v="9"/>
    <x v="8"/>
    <x v="8"/>
    <n v="96"/>
    <n v="20"/>
  </r>
  <r>
    <s v="DINARD"/>
    <x v="9"/>
    <x v="9"/>
    <x v="9"/>
    <n v="166"/>
    <n v="5"/>
  </r>
  <r>
    <s v="DINARD"/>
    <x v="9"/>
    <x v="10"/>
    <x v="10"/>
    <n v="297"/>
    <n v="0"/>
  </r>
  <r>
    <s v="DINARD"/>
    <x v="9"/>
    <x v="11"/>
    <x v="11"/>
    <n v="457"/>
    <n v="0"/>
  </r>
  <r>
    <s v="DINARD"/>
    <x v="10"/>
    <x v="0"/>
    <x v="0"/>
    <n v="371"/>
    <n v="0"/>
  </r>
  <r>
    <s v="DINARD"/>
    <x v="10"/>
    <x v="1"/>
    <x v="1"/>
    <n v="260"/>
    <n v="0"/>
  </r>
  <r>
    <s v="DINARD"/>
    <x v="10"/>
    <x v="2"/>
    <x v="2"/>
    <n v="294"/>
    <n v="1"/>
  </r>
  <r>
    <s v="DINARD"/>
    <x v="10"/>
    <x v="3"/>
    <x v="3"/>
    <n v="165"/>
    <n v="11"/>
  </r>
  <r>
    <s v="DINARD"/>
    <x v="10"/>
    <x v="4"/>
    <x v="4"/>
    <n v="138"/>
    <n v="9"/>
  </r>
  <r>
    <s v="DINARD"/>
    <x v="10"/>
    <x v="5"/>
    <x v="5"/>
    <n v="100"/>
    <n v="22"/>
  </r>
  <r>
    <s v="DINARD"/>
    <x v="10"/>
    <x v="6"/>
    <x v="6"/>
    <n v="75"/>
    <n v="21"/>
  </r>
  <r>
    <s v="DINARD"/>
    <x v="10"/>
    <x v="7"/>
    <x v="7"/>
    <n v="54"/>
    <n v="33"/>
  </r>
  <r>
    <s v="DINARD"/>
    <x v="10"/>
    <x v="8"/>
    <x v="8"/>
    <n v="63"/>
    <n v="38"/>
  </r>
  <r>
    <s v="DINARD"/>
    <x v="10"/>
    <x v="9"/>
    <x v="9"/>
    <n v="127"/>
    <n v="15"/>
  </r>
  <r>
    <s v="DINARD"/>
    <x v="10"/>
    <x v="10"/>
    <x v="10"/>
    <n v="192"/>
    <n v="0"/>
  </r>
  <r>
    <s v="DINARD"/>
    <x v="10"/>
    <x v="11"/>
    <x v="11"/>
    <n v="293"/>
    <n v="0"/>
  </r>
  <r>
    <s v="DINARD"/>
    <x v="11"/>
    <x v="0"/>
    <x v="0"/>
    <n v="324"/>
    <n v="0"/>
  </r>
  <r>
    <s v="DINARD"/>
    <x v="11"/>
    <x v="1"/>
    <x v="1"/>
    <n v="386"/>
    <n v="0"/>
  </r>
  <r>
    <s v="DINARD"/>
    <x v="11"/>
    <x v="2"/>
    <x v="2"/>
    <n v="281"/>
    <n v="2"/>
  </r>
  <r>
    <s v="DINARD"/>
    <x v="11"/>
    <x v="3"/>
    <x v="3"/>
    <n v="273"/>
    <n v="0"/>
  </r>
  <r>
    <s v="DINARD"/>
    <x v="11"/>
    <x v="4"/>
    <x v="4"/>
    <n v="169"/>
    <n v="10"/>
  </r>
  <r>
    <s v="DINARD"/>
    <x v="11"/>
    <x v="5"/>
    <x v="5"/>
    <n v="82"/>
    <n v="18"/>
  </r>
  <r>
    <s v="DINARD"/>
    <x v="11"/>
    <x v="6"/>
    <x v="6"/>
    <n v="71"/>
    <n v="27"/>
  </r>
  <r>
    <s v="DINARD"/>
    <x v="11"/>
    <x v="7"/>
    <x v="7"/>
    <n v="41"/>
    <n v="53"/>
  </r>
  <r>
    <s v="DINARD"/>
    <x v="11"/>
    <x v="8"/>
    <x v="8"/>
    <n v="103"/>
    <n v="12"/>
  </r>
  <r>
    <s v="DINARD"/>
    <x v="11"/>
    <x v="9"/>
    <x v="9"/>
    <n v="154"/>
    <n v="3"/>
  </r>
  <r>
    <s v="DINARD"/>
    <x v="11"/>
    <x v="10"/>
    <x v="10"/>
    <n v="280"/>
    <n v="0"/>
  </r>
  <r>
    <s v="DINARD"/>
    <x v="11"/>
    <x v="11"/>
    <x v="11"/>
    <n v="304"/>
    <n v="0"/>
  </r>
  <r>
    <s v="DINARD"/>
    <x v="12"/>
    <x v="0"/>
    <x v="0"/>
    <n v="372"/>
    <n v="0"/>
  </r>
  <r>
    <s v="DINARD"/>
    <x v="12"/>
    <x v="1"/>
    <x v="1"/>
    <n v="364"/>
    <n v="0"/>
  </r>
  <r>
    <s v="DINARD"/>
    <x v="12"/>
    <x v="2"/>
    <x v="2"/>
    <n v="369"/>
    <n v="0"/>
  </r>
  <r>
    <s v="DINARD"/>
    <x v="12"/>
    <x v="3"/>
    <x v="3"/>
    <n v="267"/>
    <n v="4"/>
  </r>
  <r>
    <s v="DINARD"/>
    <x v="12"/>
    <x v="4"/>
    <x v="4"/>
    <n v="212"/>
    <n v="2"/>
  </r>
  <r>
    <s v="DINARD"/>
    <x v="12"/>
    <x v="5"/>
    <x v="5"/>
    <n v="104"/>
    <n v="6"/>
  </r>
  <r>
    <s v="DINARD"/>
    <x v="12"/>
    <x v="6"/>
    <x v="6"/>
    <n v="39"/>
    <n v="62"/>
  </r>
  <r>
    <s v="DINARD"/>
    <x v="12"/>
    <x v="7"/>
    <x v="7"/>
    <n v="43"/>
    <n v="56"/>
  </r>
  <r>
    <s v="DINARD"/>
    <x v="12"/>
    <x v="8"/>
    <x v="8"/>
    <n v="67"/>
    <n v="28"/>
  </r>
  <r>
    <s v="DINARD"/>
    <x v="12"/>
    <x v="9"/>
    <x v="9"/>
    <n v="108"/>
    <n v="10"/>
  </r>
  <r>
    <s v="DINARD"/>
    <x v="12"/>
    <x v="10"/>
    <x v="10"/>
    <n v="262"/>
    <n v="0"/>
  </r>
  <r>
    <s v="DINARD"/>
    <x v="12"/>
    <x v="11"/>
    <x v="11"/>
    <n v="325"/>
    <n v="0"/>
  </r>
  <r>
    <s v="DINARD"/>
    <x v="13"/>
    <x v="0"/>
    <x v="0"/>
    <n v="316"/>
    <n v="0"/>
  </r>
  <r>
    <s v="DINARD"/>
    <x v="13"/>
    <x v="1"/>
    <x v="1"/>
    <n v="279"/>
    <n v="0"/>
  </r>
  <r>
    <s v="DINARD"/>
    <x v="13"/>
    <x v="2"/>
    <x v="2"/>
    <n v="279"/>
    <n v="0"/>
  </r>
  <r>
    <s v="DINARD"/>
    <x v="13"/>
    <x v="3"/>
    <x v="3"/>
    <n v="200"/>
    <n v="1"/>
  </r>
  <r>
    <s v="DINARD"/>
    <x v="13"/>
    <x v="4"/>
    <x v="4"/>
    <n v="162"/>
    <n v="3"/>
  </r>
  <r>
    <s v="DINARD"/>
    <x v="13"/>
    <x v="5"/>
    <x v="5"/>
    <n v="76"/>
    <n v="25"/>
  </r>
  <r>
    <s v="DINARD"/>
    <x v="13"/>
    <x v="6"/>
    <x v="6"/>
    <n v="31"/>
    <n v="50"/>
  </r>
  <r>
    <s v="DINARD"/>
    <x v="13"/>
    <x v="7"/>
    <x v="7"/>
    <n v="59"/>
    <n v="24"/>
  </r>
  <r>
    <s v="DINARD"/>
    <x v="13"/>
    <x v="8"/>
    <x v="8"/>
    <n v="57"/>
    <n v="40"/>
  </r>
  <r>
    <s v="DINARD"/>
    <x v="13"/>
    <x v="9"/>
    <x v="9"/>
    <n v="104"/>
    <n v="11"/>
  </r>
  <r>
    <s v="DINARD"/>
    <x v="13"/>
    <x v="10"/>
    <x v="10"/>
    <n v="217"/>
    <n v="0"/>
  </r>
  <r>
    <s v="DINARD"/>
    <x v="13"/>
    <x v="11"/>
    <x v="11"/>
    <n v="316"/>
    <n v="0"/>
  </r>
  <r>
    <s v="DINARD"/>
    <x v="14"/>
    <x v="0"/>
    <x v="0"/>
    <n v="345"/>
    <n v="0"/>
  </r>
  <r>
    <s v="DINARD"/>
    <x v="14"/>
    <x v="1"/>
    <x v="1"/>
    <n v="349"/>
    <n v="0"/>
  </r>
  <r>
    <s v="DINARD"/>
    <x v="14"/>
    <x v="2"/>
    <x v="2"/>
    <n v="302"/>
    <n v="0"/>
  </r>
  <r>
    <s v="DINARD"/>
    <x v="14"/>
    <x v="3"/>
    <x v="3"/>
    <n v="195"/>
    <n v="7"/>
  </r>
  <r>
    <s v="DINARD"/>
    <x v="14"/>
    <x v="4"/>
    <x v="4"/>
    <n v="159"/>
    <n v="2"/>
  </r>
  <r>
    <s v="DINARD"/>
    <x v="14"/>
    <x v="5"/>
    <x v="5"/>
    <n v="87"/>
    <n v="27"/>
  </r>
  <r>
    <s v="DINARD"/>
    <x v="14"/>
    <x v="6"/>
    <x v="6"/>
    <n v="47"/>
    <n v="57"/>
  </r>
  <r>
    <s v="DINARD"/>
    <x v="14"/>
    <x v="7"/>
    <x v="7"/>
    <n v="54"/>
    <n v="41"/>
  </r>
  <r>
    <s v="DINARD"/>
    <x v="14"/>
    <x v="8"/>
    <x v="8"/>
    <n v="111"/>
    <n v="7"/>
  </r>
  <r>
    <s v="DINARD"/>
    <x v="14"/>
    <x v="9"/>
    <x v="9"/>
    <n v="168"/>
    <n v="1"/>
  </r>
  <r>
    <s v="DINARD"/>
    <x v="14"/>
    <x v="10"/>
    <x v="10"/>
    <n v="175"/>
    <n v="1"/>
  </r>
  <r>
    <s v="DINARD"/>
    <x v="14"/>
    <x v="11"/>
    <x v="11"/>
    <n v="214"/>
    <n v="0"/>
  </r>
  <r>
    <s v="DINARD"/>
    <x v="15"/>
    <x v="0"/>
    <x v="0"/>
    <n v="332"/>
    <n v="0"/>
  </r>
  <r>
    <s v="DINARD"/>
    <x v="15"/>
    <x v="1"/>
    <x v="1"/>
    <n v="309"/>
    <n v="0"/>
  </r>
  <r>
    <s v="DINARD"/>
    <x v="15"/>
    <x v="2"/>
    <x v="2"/>
    <n v="340"/>
    <n v="0"/>
  </r>
  <r>
    <s v="DINARD"/>
    <x v="15"/>
    <x v="3"/>
    <x v="3"/>
    <n v="266"/>
    <n v="0"/>
  </r>
  <r>
    <s v="DINARD"/>
    <x v="15"/>
    <x v="4"/>
    <x v="4"/>
    <n v="142"/>
    <n v="7"/>
  </r>
  <r>
    <s v="DINARD"/>
    <x v="15"/>
    <x v="5"/>
    <x v="5"/>
    <n v="76"/>
    <n v="14"/>
  </r>
  <r>
    <s v="DINARD"/>
    <x v="15"/>
    <x v="6"/>
    <x v="6"/>
    <n v="53"/>
    <n v="45"/>
  </r>
  <r>
    <s v="DINARD"/>
    <x v="15"/>
    <x v="7"/>
    <x v="7"/>
    <n v="36"/>
    <n v="63"/>
  </r>
  <r>
    <s v="DINARD"/>
    <x v="15"/>
    <x v="8"/>
    <x v="8"/>
    <n v="43"/>
    <n v="48"/>
  </r>
  <r>
    <s v="DINARD"/>
    <x v="15"/>
    <x v="9"/>
    <x v="9"/>
    <n v="201"/>
    <n v="2"/>
  </r>
  <r>
    <s v="DINARD"/>
    <x v="15"/>
    <x v="10"/>
    <x v="10"/>
    <n v="274"/>
    <n v="0"/>
  </r>
  <r>
    <s v="DINARD"/>
    <x v="15"/>
    <x v="11"/>
    <x v="11"/>
    <n v="351"/>
    <n v="0"/>
  </r>
  <r>
    <s v="DINARD"/>
    <x v="16"/>
    <x v="0"/>
    <x v="0"/>
    <n v="415"/>
    <n v="0"/>
  </r>
  <r>
    <s v="DINARD"/>
    <x v="16"/>
    <x v="1"/>
    <x v="1"/>
    <n v="276"/>
    <n v="0"/>
  </r>
  <r>
    <s v="DINARD"/>
    <x v="16"/>
    <x v="2"/>
    <x v="2"/>
    <n v="231"/>
    <n v="2"/>
  </r>
  <r>
    <s v="DINARD"/>
    <x v="16"/>
    <x v="3"/>
    <x v="3"/>
    <n v="242"/>
    <n v="3"/>
  </r>
  <r>
    <s v="DINARD"/>
    <x v="16"/>
    <x v="4"/>
    <x v="4"/>
    <n v="119"/>
    <n v="21"/>
  </r>
  <r>
    <s v="DINARD"/>
    <x v="16"/>
    <x v="5"/>
    <x v="5"/>
    <n v="59"/>
    <n v="47"/>
  </r>
  <r>
    <s v="DINARD"/>
    <x v="16"/>
    <x v="6"/>
    <x v="6"/>
    <n v="35"/>
    <n v="47"/>
  </r>
  <r>
    <s v="DINARD"/>
    <x v="16"/>
    <x v="7"/>
    <x v="7"/>
    <n v="53"/>
    <n v="40"/>
  </r>
  <r>
    <s v="DINARD"/>
    <x v="16"/>
    <x v="8"/>
    <x v="8"/>
    <n v="99"/>
    <n v="6"/>
  </r>
  <r>
    <s v="DINARD"/>
    <x v="16"/>
    <x v="9"/>
    <x v="9"/>
    <n v="127"/>
    <n v="3"/>
  </r>
  <r>
    <s v="DINARD"/>
    <x v="16"/>
    <x v="10"/>
    <x v="10"/>
    <n v="268"/>
    <n v="0"/>
  </r>
  <r>
    <s v="DINARD"/>
    <x v="16"/>
    <x v="11"/>
    <x v="11"/>
    <n v="323"/>
    <n v="0"/>
  </r>
  <r>
    <s v="DINARD"/>
    <x v="17"/>
    <x v="0"/>
    <x v="0"/>
    <n v="300"/>
    <n v="0"/>
  </r>
  <r>
    <s v="DINARD"/>
    <x v="17"/>
    <x v="1"/>
    <x v="1"/>
    <n v="380"/>
    <n v="0"/>
  </r>
  <r>
    <s v="DINARD"/>
    <x v="17"/>
    <x v="2"/>
    <x v="2"/>
    <n v="322"/>
    <n v="0"/>
  </r>
  <r>
    <s v="DINARD"/>
    <x v="17"/>
    <x v="3"/>
    <x v="3"/>
    <n v="190"/>
    <n v="8"/>
  </r>
  <r>
    <s v="DINARD"/>
    <x v="17"/>
    <x v="4"/>
    <x v="4"/>
    <n v="153"/>
    <n v="11"/>
  </r>
  <r>
    <s v="DINARD"/>
    <x v="17"/>
    <x v="5"/>
    <x v="5"/>
    <n v="57"/>
    <n v="31"/>
  </r>
  <r>
    <s v="DINARD"/>
    <x v="17"/>
    <x v="6"/>
    <x v="6"/>
    <n v="27"/>
    <n v="62"/>
  </r>
  <r>
    <s v="DINARD"/>
    <x v="17"/>
    <x v="7"/>
    <x v="7"/>
    <n v="45"/>
    <n v="37"/>
  </r>
  <r>
    <s v="DINARD"/>
    <x v="17"/>
    <x v="8"/>
    <x v="8"/>
    <n v="78"/>
    <n v="30"/>
  </r>
  <r>
    <s v="DINARD"/>
    <x v="17"/>
    <x v="9"/>
    <x v="9"/>
    <n v="160"/>
    <n v="9"/>
  </r>
  <r>
    <s v="DINARD"/>
    <x v="17"/>
    <x v="10"/>
    <x v="10"/>
    <n v="265"/>
    <n v="0"/>
  </r>
  <r>
    <s v="DINARD"/>
    <x v="17"/>
    <x v="11"/>
    <x v="11"/>
    <n v="288"/>
    <n v="0"/>
  </r>
  <r>
    <s v="DINARD"/>
    <x v="18"/>
    <x v="0"/>
    <x v="0"/>
    <n v="358"/>
    <n v="0"/>
  </r>
  <r>
    <s v="DINARD"/>
    <x v="18"/>
    <x v="1"/>
    <x v="1"/>
    <n v="266"/>
    <n v="1"/>
  </r>
  <r>
    <s v="DINARD"/>
    <x v="18"/>
    <x v="2"/>
    <x v="2"/>
    <n v="262"/>
    <n v="0"/>
  </r>
  <r>
    <s v="DINARD"/>
    <x v="18"/>
    <x v="3"/>
    <x v="3"/>
    <n v="227"/>
    <n v="3"/>
  </r>
  <r>
    <s v="DINARD"/>
    <x v="18"/>
    <x v="4"/>
    <x v="4"/>
    <n v="174"/>
    <n v="2"/>
  </r>
  <r>
    <s v="DINARD"/>
    <x v="18"/>
    <x v="5"/>
    <x v="5"/>
    <n v="85"/>
    <n v="39"/>
  </r>
  <r>
    <s v="DINARD"/>
    <x v="18"/>
    <x v="6"/>
    <x v="6"/>
    <n v="37"/>
    <n v="64"/>
  </r>
  <r>
    <s v="DINARD"/>
    <x v="18"/>
    <x v="7"/>
    <x v="7"/>
    <n v="48"/>
    <n v="48"/>
  </r>
  <r>
    <s v="DINARD"/>
    <x v="18"/>
    <x v="8"/>
    <x v="8"/>
    <n v="71"/>
    <n v="20"/>
  </r>
  <r>
    <s v="DINARD"/>
    <x v="18"/>
    <x v="9"/>
    <x v="9"/>
    <n v="145"/>
    <n v="2"/>
  </r>
  <r>
    <s v="DINARD"/>
    <x v="18"/>
    <x v="10"/>
    <x v="10"/>
    <n v="278"/>
    <n v="0"/>
  </r>
  <r>
    <s v="DINARD"/>
    <x v="18"/>
    <x v="11"/>
    <x v="11"/>
    <n v="319"/>
    <n v="0"/>
  </r>
  <r>
    <s v="DINARD"/>
    <x v="19"/>
    <x v="0"/>
    <x v="0"/>
    <n v="319"/>
    <n v="0"/>
  </r>
  <r>
    <s v="DINARD"/>
    <x v="19"/>
    <x v="1"/>
    <x v="1"/>
    <n v="252"/>
    <n v="0"/>
  </r>
  <r>
    <s v="DINARD"/>
    <x v="19"/>
    <x v="2"/>
    <x v="2"/>
    <n v="288"/>
    <n v="0"/>
  </r>
  <r>
    <s v="DINARD"/>
    <x v="19"/>
    <x v="3"/>
    <x v="3"/>
    <n v="167"/>
    <n v="12"/>
  </r>
  <r>
    <s v="DINARD"/>
    <x v="19"/>
    <x v="4"/>
    <x v="4"/>
    <n v="133"/>
    <n v="18"/>
  </r>
  <r>
    <s v="DINARD"/>
    <x v="19"/>
    <x v="5"/>
    <x v="5"/>
    <n v="86"/>
    <n v="25"/>
  </r>
  <r>
    <s v="DINARD"/>
    <x v="19"/>
    <x v="6"/>
    <x v="6"/>
    <n v="54"/>
    <n v="35"/>
  </r>
  <r>
    <s v="DINARD"/>
    <x v="19"/>
    <x v="7"/>
    <x v="7"/>
    <n v="38"/>
    <n v="62"/>
  </r>
  <r>
    <s v="DINARD"/>
    <x v="19"/>
    <x v="8"/>
    <x v="8"/>
    <n v="68"/>
    <n v="29"/>
  </r>
  <r>
    <s v="DINARD"/>
    <x v="19"/>
    <x v="9"/>
    <x v="9"/>
    <n v="169"/>
    <n v="1"/>
  </r>
  <r>
    <s v="DINARD"/>
    <x v="19"/>
    <x v="10"/>
    <x v="10"/>
    <n v="215"/>
    <n v="0"/>
  </r>
  <r>
    <s v="DINARD"/>
    <x v="19"/>
    <x v="11"/>
    <x v="11"/>
    <n v="318"/>
    <n v="0"/>
  </r>
  <r>
    <s v="DINARD"/>
    <x v="20"/>
    <x v="0"/>
    <x v="0"/>
    <n v="377"/>
    <n v="0"/>
  </r>
  <r>
    <s v="DINARD"/>
    <x v="20"/>
    <x v="1"/>
    <x v="1"/>
    <n v="304"/>
    <n v="0"/>
  </r>
  <r>
    <s v="DINARD"/>
    <x v="20"/>
    <x v="2"/>
    <x v="2"/>
    <n v="297"/>
    <n v="3"/>
  </r>
  <r>
    <s v="DINARD"/>
    <x v="20"/>
    <x v="3"/>
    <x v="3"/>
    <n v="278"/>
    <n v="3"/>
  </r>
  <r>
    <s v="DINARD"/>
    <x v="20"/>
    <x v="4"/>
    <x v="4"/>
    <n v="191"/>
    <n v="4"/>
  </r>
  <r>
    <s v="DINARD"/>
    <x v="20"/>
    <x v="5"/>
    <x v="5"/>
    <n v="80"/>
    <n v="17"/>
  </r>
  <r>
    <s v="DINARD"/>
    <x v="20"/>
    <x v="6"/>
    <x v="6"/>
    <n v="42"/>
    <n v="43"/>
  </r>
  <r>
    <s v="DINARD"/>
    <x v="20"/>
    <x v="7"/>
    <x v="7"/>
    <n v="48"/>
    <n v="25"/>
  </r>
  <r>
    <s v="DINARD"/>
    <x v="20"/>
    <x v="8"/>
    <x v="8"/>
    <n v="54"/>
    <n v="35"/>
  </r>
  <r>
    <s v="DINARD"/>
    <x v="20"/>
    <x v="9"/>
    <x v="9"/>
    <n v="142"/>
    <n v="3"/>
  </r>
  <r>
    <s v="DINARD"/>
    <x v="20"/>
    <x v="10"/>
    <x v="10"/>
    <n v="272"/>
    <n v="0"/>
  </r>
  <r>
    <s v="DINARD"/>
    <x v="20"/>
    <x v="11"/>
    <x v="11"/>
    <n v="312"/>
    <n v="0"/>
  </r>
  <r>
    <s v="DINARD"/>
    <x v="21"/>
    <x v="0"/>
    <x v="0"/>
    <n v="354"/>
    <n v="0"/>
  </r>
  <r>
    <s v="DINARD"/>
    <x v="21"/>
    <x v="1"/>
    <x v="1"/>
    <n v="276"/>
    <n v="0"/>
  </r>
  <r>
    <s v="DINARD"/>
    <x v="21"/>
    <x v="2"/>
    <x v="2"/>
    <n v="250"/>
    <n v="1"/>
  </r>
  <r>
    <s v="DINARD"/>
    <x v="21"/>
    <x v="3"/>
    <x v="3"/>
    <n v="217"/>
    <n v="2"/>
  </r>
  <r>
    <s v="DINARD"/>
    <x v="21"/>
    <x v="4"/>
    <x v="4"/>
    <n v="130"/>
    <n v="16"/>
  </r>
  <r>
    <s v="DINARD"/>
    <x v="21"/>
    <x v="5"/>
    <x v="5"/>
    <n v="66"/>
    <n v="36"/>
  </r>
  <r>
    <s v="DINARD"/>
    <x v="21"/>
    <x v="6"/>
    <x v="6"/>
    <n v="37"/>
    <n v="84"/>
  </r>
  <r>
    <s v="DINARD"/>
    <x v="21"/>
    <x v="7"/>
    <x v="7"/>
    <n v="20"/>
    <n v="81"/>
  </r>
  <r>
    <s v="DINARD"/>
    <x v="21"/>
    <x v="8"/>
    <x v="8"/>
    <n v="75"/>
    <n v="34"/>
  </r>
  <r>
    <s v="DINARD"/>
    <x v="21"/>
    <x v="9"/>
    <x v="9"/>
    <n v="82"/>
    <n v="10"/>
  </r>
  <r>
    <s v="DINARD"/>
    <x v="21"/>
    <x v="10"/>
    <x v="10"/>
    <n v="208"/>
    <n v="0"/>
  </r>
  <r>
    <s v="DINARD"/>
    <x v="21"/>
    <x v="11"/>
    <x v="11"/>
    <n v="372"/>
    <n v="0"/>
  </r>
  <r>
    <s v="DINARD"/>
    <x v="22"/>
    <x v="0"/>
    <x v="0"/>
    <n v="329"/>
    <n v="0"/>
  </r>
  <r>
    <s v="DINARD"/>
    <x v="22"/>
    <x v="1"/>
    <x v="1"/>
    <n v="297"/>
    <n v="0"/>
  </r>
  <r>
    <s v="DINARD"/>
    <x v="22"/>
    <x v="2"/>
    <x v="2"/>
    <n v="254"/>
    <n v="0"/>
  </r>
  <r>
    <s v="DINARD"/>
    <x v="22"/>
    <x v="3"/>
    <x v="3"/>
    <n v="221"/>
    <n v="0"/>
  </r>
  <r>
    <s v="DINARD"/>
    <x v="22"/>
    <x v="4"/>
    <x v="4"/>
    <n v="136"/>
    <n v="3"/>
  </r>
  <r>
    <s v="DINARD"/>
    <x v="22"/>
    <x v="5"/>
    <x v="5"/>
    <n v="47"/>
    <n v="45"/>
  </r>
  <r>
    <s v="DINARD"/>
    <x v="22"/>
    <x v="6"/>
    <x v="6"/>
    <n v="42"/>
    <n v="43"/>
  </r>
  <r>
    <s v="DINARD"/>
    <x v="22"/>
    <x v="7"/>
    <x v="7"/>
    <n v="37"/>
    <n v="43"/>
  </r>
  <r>
    <s v="DINARD"/>
    <x v="22"/>
    <x v="8"/>
    <x v="8"/>
    <n v="36"/>
    <n v="70"/>
  </r>
  <r>
    <s v="DINARD"/>
    <x v="22"/>
    <x v="9"/>
    <x v="9"/>
    <n v="117"/>
    <n v="26"/>
  </r>
  <r>
    <s v="DINARD"/>
    <x v="22"/>
    <x v="10"/>
    <x v="10"/>
    <n v="233"/>
    <n v="0"/>
  </r>
  <r>
    <s v="DINARD"/>
    <x v="22"/>
    <x v="11"/>
    <x v="11"/>
    <n v="278"/>
    <n v="0"/>
  </r>
  <r>
    <s v="DINARD"/>
    <x v="23"/>
    <x v="0"/>
    <x v="0"/>
    <n v="367"/>
    <n v="0"/>
  </r>
  <r>
    <s v="DINARD"/>
    <x v="23"/>
    <x v="1"/>
    <x v="1"/>
    <n v="238"/>
    <n v="0"/>
  </r>
  <r>
    <s v="DINARD"/>
    <x v="23"/>
    <x v="2"/>
    <x v="2"/>
    <n v="263"/>
    <n v="0"/>
  </r>
  <r>
    <s v="DINARD"/>
    <x v="23"/>
    <x v="3"/>
    <x v="3"/>
    <n v="210"/>
    <n v="3"/>
  </r>
  <r>
    <s v="DINARD"/>
    <x v="23"/>
    <x v="4"/>
    <x v="4"/>
    <n v="130"/>
    <n v="6"/>
  </r>
  <r>
    <s v="DINARD"/>
    <x v="23"/>
    <x v="5"/>
    <x v="5"/>
    <n v="95"/>
    <n v="13"/>
  </r>
  <r>
    <s v="DINARD"/>
    <x v="23"/>
    <x v="6"/>
    <x v="6"/>
    <n v="47"/>
    <n v="39"/>
  </r>
  <r>
    <s v="DINARD"/>
    <x v="23"/>
    <x v="7"/>
    <x v="7"/>
    <n v="33"/>
    <n v="59"/>
  </r>
  <r>
    <s v="DINARD"/>
    <x v="23"/>
    <x v="8"/>
    <x v="8"/>
    <n v="88"/>
    <n v="12"/>
  </r>
  <r>
    <s v="DINARD"/>
    <x v="23"/>
    <x v="9"/>
    <x v="9"/>
    <n v="136"/>
    <n v="2"/>
  </r>
  <r>
    <s v="DINARD"/>
    <x v="23"/>
    <x v="10"/>
    <x v="10"/>
    <n v="241"/>
    <n v="0"/>
  </r>
  <r>
    <s v="DINARD"/>
    <x v="23"/>
    <x v="11"/>
    <x v="11"/>
    <n v="316"/>
    <n v="0"/>
  </r>
  <r>
    <s v="DINARD"/>
    <x v="24"/>
    <x v="0"/>
    <x v="0"/>
    <n v="392"/>
    <n v="0"/>
  </r>
  <r>
    <s v="DINARD"/>
    <x v="24"/>
    <x v="1"/>
    <x v="1"/>
    <n v="310"/>
    <n v="0"/>
  </r>
  <r>
    <s v="DINARD"/>
    <x v="24"/>
    <x v="2"/>
    <x v="2"/>
    <n v="269"/>
    <n v="0"/>
  </r>
  <r>
    <s v="DINARD"/>
    <x v="24"/>
    <x v="3"/>
    <x v="3"/>
    <n v="173"/>
    <n v="7"/>
  </r>
  <r>
    <s v="DINARD"/>
    <x v="24"/>
    <x v="4"/>
    <x v="4"/>
    <n v="120"/>
    <n v="12"/>
  </r>
  <r>
    <s v="DINARD"/>
    <x v="24"/>
    <x v="5"/>
    <x v="5"/>
    <n v="57"/>
    <n v="65"/>
  </r>
  <r>
    <s v="DINARD"/>
    <x v="24"/>
    <x v="6"/>
    <x v="6"/>
    <n v="33"/>
    <n v="51"/>
  </r>
  <r>
    <s v="DINARD"/>
    <x v="24"/>
    <x v="7"/>
    <x v="7"/>
    <n v="32"/>
    <n v="67"/>
  </r>
  <r>
    <s v="DINARD"/>
    <x v="24"/>
    <x v="8"/>
    <x v="8"/>
    <n v="81"/>
    <n v="22"/>
  </r>
  <r>
    <s v="DINARD"/>
    <x v="24"/>
    <x v="9"/>
    <x v="9"/>
    <n v="148"/>
    <n v="2"/>
  </r>
  <r>
    <s v="DINARD"/>
    <x v="24"/>
    <x v="10"/>
    <x v="10"/>
    <n v="216"/>
    <n v="0"/>
  </r>
  <r>
    <s v="DINARD"/>
    <x v="24"/>
    <x v="11"/>
    <x v="11"/>
    <n v="324"/>
    <n v="0"/>
  </r>
  <r>
    <s v="DINARD"/>
    <x v="25"/>
    <x v="0"/>
    <x v="0"/>
    <n v="340"/>
    <n v="0"/>
  </r>
  <r>
    <s v="DINARD"/>
    <x v="25"/>
    <x v="1"/>
    <x v="1"/>
    <n v="227"/>
    <n v="0"/>
  </r>
  <r>
    <s v="DINARD"/>
    <x v="25"/>
    <x v="2"/>
    <x v="2"/>
    <n v="243"/>
    <n v="0"/>
  </r>
  <r>
    <s v="DINARD"/>
    <x v="25"/>
    <x v="3"/>
    <x v="3"/>
    <n v="163"/>
    <n v="13"/>
  </r>
  <r>
    <s v="DINARD"/>
    <x v="25"/>
    <x v="4"/>
    <x v="4"/>
    <n v="116"/>
    <n v="48"/>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r>
    <m/>
    <x v="26"/>
    <x v="12"/>
    <x v="12"/>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n v="1"/>
    <x v="0"/>
    <x v="0"/>
    <x v="0"/>
  </r>
  <r>
    <n v="2"/>
    <x v="1"/>
    <x v="1"/>
    <x v="1"/>
  </r>
  <r>
    <n v="3"/>
    <x v="2"/>
    <x v="0"/>
    <x v="0"/>
  </r>
  <r>
    <n v="4"/>
    <x v="3"/>
    <x v="2"/>
    <x v="2"/>
  </r>
  <r>
    <n v="5"/>
    <x v="4"/>
    <x v="0"/>
    <x v="2"/>
  </r>
  <r>
    <n v="6"/>
    <x v="5"/>
    <x v="3"/>
    <x v="2"/>
  </r>
  <r>
    <n v="7"/>
    <x v="6"/>
    <x v="2"/>
    <x v="0"/>
  </r>
  <r>
    <n v="8"/>
    <x v="7"/>
    <x v="4"/>
    <x v="3"/>
  </r>
  <r>
    <n v="9"/>
    <x v="8"/>
    <x v="5"/>
    <x v="4"/>
  </r>
  <r>
    <n v="10"/>
    <x v="9"/>
    <x v="4"/>
    <x v="3"/>
  </r>
  <r>
    <n v="11"/>
    <x v="10"/>
    <x v="3"/>
    <x v="4"/>
  </r>
  <r>
    <n v="12"/>
    <x v="11"/>
    <x v="5"/>
    <x v="4"/>
  </r>
  <r>
    <n v="13"/>
    <x v="12"/>
    <x v="3"/>
    <x v="2"/>
  </r>
  <r>
    <n v="14"/>
    <x v="13"/>
    <x v="1"/>
    <x v="5"/>
  </r>
  <r>
    <n v="15"/>
    <x v="14"/>
    <x v="0"/>
    <x v="0"/>
  </r>
  <r>
    <n v="16"/>
    <x v="15"/>
    <x v="6"/>
    <x v="6"/>
  </r>
  <r>
    <n v="17"/>
    <x v="16"/>
    <x v="6"/>
    <x v="6"/>
  </r>
  <r>
    <n v="18"/>
    <x v="17"/>
    <x v="6"/>
    <x v="7"/>
  </r>
  <r>
    <n v="19"/>
    <x v="18"/>
    <x v="0"/>
    <x v="6"/>
  </r>
  <r>
    <n v="20"/>
    <x v="19"/>
    <x v="3"/>
    <x v="8"/>
  </r>
  <r>
    <n v="21"/>
    <x v="20"/>
    <x v="0"/>
    <x v="9"/>
  </r>
  <r>
    <n v="22"/>
    <x v="21"/>
    <x v="7"/>
    <x v="10"/>
  </r>
  <r>
    <n v="23"/>
    <x v="22"/>
    <x v="0"/>
    <x v="6"/>
  </r>
  <r>
    <n v="24"/>
    <x v="23"/>
    <x v="5"/>
    <x v="6"/>
  </r>
  <r>
    <n v="25"/>
    <x v="24"/>
    <x v="0"/>
    <x v="9"/>
  </r>
  <r>
    <n v="26"/>
    <x v="25"/>
    <x v="2"/>
    <x v="0"/>
  </r>
  <r>
    <n v="27"/>
    <x v="26"/>
    <x v="1"/>
    <x v="5"/>
  </r>
  <r>
    <n v="28"/>
    <x v="27"/>
    <x v="1"/>
    <x v="7"/>
  </r>
  <r>
    <n v="29"/>
    <x v="28"/>
    <x v="7"/>
    <x v="10"/>
  </r>
  <r>
    <n v="30"/>
    <x v="29"/>
    <x v="3"/>
    <x v="4"/>
  </r>
  <r>
    <n v="31"/>
    <x v="30"/>
    <x v="5"/>
    <x v="4"/>
  </r>
  <r>
    <n v="32"/>
    <x v="31"/>
    <x v="5"/>
    <x v="4"/>
  </r>
  <r>
    <n v="33"/>
    <x v="32"/>
    <x v="5"/>
    <x v="6"/>
  </r>
  <r>
    <n v="34"/>
    <x v="33"/>
    <x v="3"/>
    <x v="4"/>
  </r>
  <r>
    <n v="35"/>
    <x v="34"/>
    <x v="7"/>
    <x v="10"/>
  </r>
  <r>
    <n v="36"/>
    <x v="35"/>
    <x v="6"/>
    <x v="7"/>
  </r>
  <r>
    <n v="37"/>
    <x v="36"/>
    <x v="6"/>
    <x v="7"/>
  </r>
  <r>
    <n v="38"/>
    <x v="37"/>
    <x v="0"/>
    <x v="0"/>
  </r>
  <r>
    <n v="39"/>
    <x v="38"/>
    <x v="0"/>
    <x v="9"/>
  </r>
  <r>
    <n v="40"/>
    <x v="39"/>
    <x v="5"/>
    <x v="6"/>
  </r>
  <r>
    <n v="41"/>
    <x v="40"/>
    <x v="6"/>
    <x v="7"/>
  </r>
  <r>
    <n v="42"/>
    <x v="41"/>
    <x v="0"/>
    <x v="0"/>
  </r>
  <r>
    <n v="43"/>
    <x v="42"/>
    <x v="0"/>
    <x v="0"/>
  </r>
  <r>
    <n v="44"/>
    <x v="43"/>
    <x v="6"/>
    <x v="11"/>
  </r>
  <r>
    <n v="45"/>
    <x v="44"/>
    <x v="4"/>
    <x v="7"/>
  </r>
  <r>
    <n v="46"/>
    <x v="45"/>
    <x v="5"/>
    <x v="4"/>
  </r>
  <r>
    <n v="47"/>
    <x v="46"/>
    <x v="5"/>
    <x v="6"/>
  </r>
  <r>
    <n v="48"/>
    <x v="47"/>
    <x v="2"/>
    <x v="4"/>
  </r>
  <r>
    <n v="49"/>
    <x v="48"/>
    <x v="6"/>
    <x v="11"/>
  </r>
  <r>
    <n v="50"/>
    <x v="49"/>
    <x v="7"/>
    <x v="5"/>
  </r>
  <r>
    <n v="51"/>
    <x v="50"/>
    <x v="4"/>
    <x v="3"/>
  </r>
  <r>
    <n v="52"/>
    <x v="51"/>
    <x v="4"/>
    <x v="3"/>
  </r>
  <r>
    <n v="53"/>
    <x v="52"/>
    <x v="6"/>
    <x v="11"/>
  </r>
  <r>
    <n v="54"/>
    <x v="53"/>
    <x v="4"/>
    <x v="3"/>
  </r>
  <r>
    <n v="55"/>
    <x v="54"/>
    <x v="4"/>
    <x v="3"/>
  </r>
  <r>
    <n v="56"/>
    <x v="55"/>
    <x v="7"/>
    <x v="10"/>
  </r>
  <r>
    <n v="57"/>
    <x v="56"/>
    <x v="4"/>
    <x v="3"/>
  </r>
  <r>
    <n v="58"/>
    <x v="57"/>
    <x v="4"/>
    <x v="9"/>
  </r>
  <r>
    <n v="59"/>
    <x v="58"/>
    <x v="1"/>
    <x v="1"/>
  </r>
  <r>
    <n v="60"/>
    <x v="59"/>
    <x v="1"/>
    <x v="1"/>
  </r>
  <r>
    <n v="61"/>
    <x v="60"/>
    <x v="1"/>
    <x v="5"/>
  </r>
  <r>
    <n v="62"/>
    <x v="61"/>
    <x v="1"/>
    <x v="1"/>
  </r>
  <r>
    <n v="63"/>
    <x v="62"/>
    <x v="0"/>
    <x v="0"/>
  </r>
  <r>
    <n v="64"/>
    <x v="63"/>
    <x v="5"/>
    <x v="6"/>
  </r>
  <r>
    <n v="65"/>
    <x v="64"/>
    <x v="5"/>
    <x v="4"/>
  </r>
  <r>
    <n v="66"/>
    <x v="65"/>
    <x v="3"/>
    <x v="4"/>
  </r>
  <r>
    <n v="67"/>
    <x v="66"/>
    <x v="4"/>
    <x v="3"/>
  </r>
  <r>
    <n v="68"/>
    <x v="67"/>
    <x v="4"/>
    <x v="3"/>
  </r>
  <r>
    <n v="69"/>
    <x v="68"/>
    <x v="0"/>
    <x v="0"/>
  </r>
  <r>
    <n v="70"/>
    <x v="69"/>
    <x v="4"/>
    <x v="9"/>
  </r>
  <r>
    <n v="71"/>
    <x v="70"/>
    <x v="0"/>
    <x v="9"/>
  </r>
  <r>
    <n v="72"/>
    <x v="71"/>
    <x v="6"/>
    <x v="11"/>
  </r>
  <r>
    <n v="73"/>
    <x v="72"/>
    <x v="0"/>
    <x v="0"/>
  </r>
  <r>
    <n v="74"/>
    <x v="73"/>
    <x v="0"/>
    <x v="0"/>
  </r>
  <r>
    <n v="75"/>
    <x v="74"/>
    <x v="4"/>
    <x v="12"/>
  </r>
  <r>
    <n v="76"/>
    <x v="75"/>
    <x v="1"/>
    <x v="5"/>
  </r>
  <r>
    <n v="77"/>
    <x v="76"/>
    <x v="1"/>
    <x v="12"/>
  </r>
  <r>
    <n v="78"/>
    <x v="77"/>
    <x v="1"/>
    <x v="12"/>
  </r>
  <r>
    <n v="79"/>
    <x v="78"/>
    <x v="6"/>
    <x v="6"/>
  </r>
  <r>
    <n v="80"/>
    <x v="79"/>
    <x v="1"/>
    <x v="1"/>
  </r>
  <r>
    <n v="81"/>
    <x v="80"/>
    <x v="5"/>
    <x v="4"/>
  </r>
  <r>
    <n v="82"/>
    <x v="81"/>
    <x v="5"/>
    <x v="4"/>
  </r>
  <r>
    <n v="83"/>
    <x v="82"/>
    <x v="3"/>
    <x v="2"/>
  </r>
  <r>
    <n v="84"/>
    <x v="83"/>
    <x v="2"/>
    <x v="2"/>
  </r>
  <r>
    <n v="85"/>
    <x v="84"/>
    <x v="6"/>
    <x v="11"/>
  </r>
  <r>
    <n v="86"/>
    <x v="85"/>
    <x v="6"/>
    <x v="6"/>
  </r>
  <r>
    <n v="87"/>
    <x v="86"/>
    <x v="0"/>
    <x v="6"/>
  </r>
  <r>
    <n v="88"/>
    <x v="87"/>
    <x v="4"/>
    <x v="3"/>
  </r>
  <r>
    <n v="89"/>
    <x v="88"/>
    <x v="4"/>
    <x v="9"/>
  </r>
  <r>
    <n v="90"/>
    <x v="89"/>
    <x v="4"/>
    <x v="9"/>
  </r>
  <r>
    <n v="91"/>
    <x v="90"/>
    <x v="1"/>
    <x v="12"/>
  </r>
  <r>
    <n v="92"/>
    <x v="91"/>
    <x v="4"/>
    <x v="12"/>
  </r>
  <r>
    <n v="93"/>
    <x v="92"/>
    <x v="4"/>
    <x v="12"/>
  </r>
  <r>
    <n v="94"/>
    <x v="93"/>
    <x v="4"/>
    <x v="12"/>
  </r>
  <r>
    <n v="95"/>
    <x v="94"/>
    <x v="1"/>
    <x v="12"/>
  </r>
  <r>
    <n v="971"/>
    <x v="95"/>
    <x v="8"/>
    <x v="13"/>
  </r>
  <r>
    <n v="973"/>
    <x v="96"/>
    <x v="9"/>
    <x v="13"/>
  </r>
  <r>
    <n v="974"/>
    <x v="97"/>
    <x v="10"/>
    <x v="13"/>
  </r>
  <r>
    <n v="972"/>
    <x v="98"/>
    <x v="11"/>
    <x v="13"/>
  </r>
  <r>
    <m/>
    <x v="99"/>
    <x v="12"/>
    <x v="1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8.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7.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pivotTable1.xml><?xml version="1.0" encoding="utf-8"?>
<pivotTableDefinition xmlns="http://schemas.openxmlformats.org/spreadsheetml/2006/main" name="PivotChartTable1" cacheId="27" applyNumberFormats="0" applyBorderFormats="0" applyFontFormats="0" applyPatternFormats="0" applyAlignmentFormats="0" applyWidthHeightFormats="1" dataCaption="Valeurs" updatedVersion="7" minRefreshableVersion="5" useAutoFormatting="1" itemPrintTitles="1" createdVersion="7" indent="0" outline="1" outlineData="1" multipleFieldFilters="0" chartFormat="1">
  <location ref="A1:E9" firstHeaderRow="1" firstDataRow="2" firstDataCol="1"/>
  <pivotFields count="6">
    <pivotField dataField="1" subtotalTop="0" showAll="0" defaultSubtotal="0"/>
    <pivotField axis="axisRow" allDrilled="1" subtotalTop="0" showAll="0" dataSourceSort="1" defaultSubtotal="0" defaultAttributeDrillState="1">
      <items count="601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x="5757"/>
        <item x="5758"/>
        <item x="5759"/>
        <item x="5760"/>
        <item x="5761"/>
        <item x="5762"/>
        <item x="5763"/>
        <item x="5764"/>
        <item x="5765"/>
        <item x="5766"/>
        <item x="5767"/>
        <item x="5768"/>
        <item x="5769"/>
        <item x="5770"/>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802"/>
        <item x="5803"/>
        <item x="5804"/>
        <item x="5805"/>
        <item x="5806"/>
        <item x="5807"/>
        <item x="5808"/>
        <item x="5809"/>
        <item x="5810"/>
        <item x="5811"/>
        <item x="5812"/>
        <item x="5813"/>
        <item x="5814"/>
        <item x="5815"/>
        <item x="5816"/>
        <item x="5817"/>
        <item x="5818"/>
        <item x="5819"/>
        <item x="5820"/>
        <item x="5821"/>
        <item x="5822"/>
        <item x="5823"/>
        <item x="5824"/>
        <item x="5825"/>
        <item x="5826"/>
        <item x="5827"/>
        <item x="5828"/>
        <item x="5829"/>
        <item x="5830"/>
        <item x="5831"/>
        <item x="5832"/>
        <item x="5833"/>
        <item x="5834"/>
        <item x="5835"/>
        <item x="5836"/>
        <item x="5837"/>
        <item x="5838"/>
        <item x="5839"/>
        <item x="5840"/>
        <item x="5841"/>
        <item x="5842"/>
        <item x="5843"/>
        <item x="5844"/>
        <item x="5845"/>
        <item x="5846"/>
        <item x="5847"/>
        <item x="5848"/>
        <item x="5849"/>
        <item x="5850"/>
        <item x="5851"/>
        <item x="5852"/>
        <item x="5853"/>
        <item x="5854"/>
        <item x="5855"/>
        <item x="5856"/>
        <item x="5857"/>
        <item x="5858"/>
        <item x="5859"/>
        <item x="5860"/>
        <item x="5861"/>
        <item x="5862"/>
        <item x="5863"/>
        <item x="5864"/>
        <item x="5865"/>
        <item x="5866"/>
        <item x="5867"/>
        <item x="5868"/>
        <item x="5869"/>
        <item x="5870"/>
        <item x="5871"/>
        <item x="5872"/>
        <item x="5873"/>
        <item x="5874"/>
        <item x="5875"/>
        <item x="5876"/>
        <item x="5877"/>
        <item x="5878"/>
        <item x="5879"/>
        <item x="5880"/>
        <item x="5881"/>
        <item x="5882"/>
        <item x="5883"/>
        <item x="5884"/>
        <item x="5885"/>
        <item x="5886"/>
        <item x="5887"/>
        <item x="5888"/>
        <item x="5889"/>
        <item x="5890"/>
        <item x="5891"/>
        <item x="5892"/>
        <item x="5893"/>
        <item x="5894"/>
        <item x="5895"/>
        <item x="5896"/>
        <item x="5897"/>
        <item x="5898"/>
        <item x="5899"/>
        <item x="5900"/>
        <item x="5901"/>
        <item x="5902"/>
        <item x="5903"/>
        <item x="5904"/>
        <item x="5905"/>
        <item x="5906"/>
        <item x="5907"/>
        <item x="5908"/>
        <item x="5909"/>
        <item x="5910"/>
        <item x="5911"/>
        <item x="5912"/>
        <item x="5913"/>
        <item x="5914"/>
        <item x="5915"/>
        <item x="5916"/>
        <item x="5917"/>
        <item x="5918"/>
        <item x="5919"/>
        <item x="5920"/>
        <item x="5921"/>
        <item x="5922"/>
        <item x="5923"/>
        <item x="5924"/>
        <item x="5925"/>
        <item x="5926"/>
        <item x="5927"/>
        <item x="5928"/>
        <item x="5929"/>
        <item x="5930"/>
        <item x="5931"/>
        <item x="5932"/>
        <item x="5933"/>
        <item x="5934"/>
        <item x="5935"/>
        <item x="5936"/>
        <item x="5937"/>
        <item x="5938"/>
        <item x="5939"/>
        <item x="5940"/>
        <item x="5941"/>
        <item x="5942"/>
        <item x="5943"/>
        <item x="5944"/>
        <item x="5945"/>
        <item x="5946"/>
        <item x="5947"/>
        <item x="5948"/>
        <item x="5949"/>
        <item x="5950"/>
        <item x="5951"/>
        <item x="5952"/>
        <item x="5953"/>
        <item x="5954"/>
        <item x="5955"/>
        <item x="5956"/>
        <item x="5957"/>
        <item x="5958"/>
        <item x="5959"/>
        <item x="5960"/>
        <item x="5961"/>
        <item x="5962"/>
        <item x="5963"/>
        <item x="5964"/>
        <item x="5965"/>
        <item x="5966"/>
        <item x="5967"/>
        <item x="5968"/>
        <item x="5969"/>
        <item x="5970"/>
        <item x="5971"/>
        <item x="5972"/>
        <item x="5973"/>
        <item x="5974"/>
        <item x="5975"/>
        <item x="5976"/>
        <item x="5977"/>
        <item x="5978"/>
        <item x="5979"/>
        <item x="5980"/>
        <item x="5981"/>
        <item x="5982"/>
        <item x="5983"/>
        <item x="5984"/>
        <item x="5985"/>
        <item x="5986"/>
        <item x="5987"/>
        <item x="5988"/>
        <item x="5989"/>
        <item x="5990"/>
        <item x="5991"/>
        <item x="5992"/>
        <item x="5993"/>
        <item x="5994"/>
        <item x="5995"/>
        <item x="5996"/>
        <item x="5997"/>
        <item x="5998"/>
        <item x="5999"/>
        <item x="6000"/>
        <item x="6001"/>
        <item x="6002"/>
        <item x="6003"/>
        <item x="6004"/>
        <item x="6005"/>
        <item x="6006"/>
        <item x="6007"/>
        <item x="6008"/>
        <item x="6009"/>
      </items>
    </pivotField>
    <pivotField axis="axisRow" allDrilled="1" subtotalTop="0" showAll="0" dataSourceSort="1" defaultSubtotal="0">
      <items count="12">
        <item x="0" e="0"/>
        <item x="1" e="0"/>
        <item x="2" e="0"/>
        <item x="3" e="0"/>
        <item x="4" e="0"/>
        <item x="5" e="0"/>
        <item x="6" e="0"/>
        <item x="7" e="0"/>
        <item x="8" e="0"/>
        <item x="9" e="0"/>
        <item x="10" e="0"/>
        <item x="11" e="0"/>
      </items>
    </pivotField>
    <pivotField axis="axisRow" allDrilled="1" subtotalTop="0" showAll="0" dataSourceSort="1" defaultSubtotal="0">
      <items count="4">
        <item x="0" e="0"/>
        <item x="1" e="0"/>
        <item x="2" e="0"/>
        <item x="3" e="0"/>
      </items>
    </pivotField>
    <pivotField axis="axisRow" allDrilled="1" subtotalTop="0" showAll="0" dataSourceSort="1" defaultSubtotal="0">
      <items count="6">
        <item x="0" e="0"/>
        <item x="1" e="0"/>
        <item x="2" e="0"/>
        <item x="3" e="0"/>
        <item x="4" e="0"/>
        <item x="5" e="0"/>
      </items>
    </pivotField>
    <pivotField axis="axisCol" allDrilled="1" subtotalTop="0" showAll="0" dataSourceSort="1" defaultSubtotal="0" defaultAttributeDrillState="1">
      <items count="3">
        <item x="0"/>
        <item x="1"/>
        <item x="2"/>
      </items>
    </pivotField>
  </pivotFields>
  <rowFields count="4">
    <field x="4"/>
    <field x="3"/>
    <field x="2"/>
    <field x="1"/>
  </rowFields>
  <rowItems count="7">
    <i>
      <x/>
    </i>
    <i>
      <x v="1"/>
    </i>
    <i>
      <x v="2"/>
    </i>
    <i>
      <x v="3"/>
    </i>
    <i>
      <x v="4"/>
    </i>
    <i>
      <x v="5"/>
    </i>
    <i t="grand">
      <x/>
    </i>
  </rowItems>
  <colFields count="1">
    <field x="5"/>
  </colFields>
  <colItems count="4">
    <i>
      <x/>
    </i>
    <i>
      <x v="1"/>
    </i>
    <i>
      <x v="2"/>
    </i>
    <i t="grand">
      <x/>
    </i>
  </colItems>
  <dataFields count="1">
    <dataField fld="0" subtotal="count" baseField="0" baseItem="0"/>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5" count="1" selected="0">
            <x v="1"/>
          </reference>
        </references>
      </pivotArea>
    </chartFormat>
    <chartFormat chart="0" format="2" series="1">
      <pivotArea type="data" outline="0" fieldPosition="0">
        <references count="2">
          <reference field="4294967294" count="1" selected="0">
            <x v="0"/>
          </reference>
          <reference field="5" count="1" selected="0">
            <x v="2"/>
          </reference>
        </references>
      </pivotArea>
    </chartFormat>
    <chartFormat chart="0" format="3" series="1">
      <pivotArea type="data" outline="0" fieldPosition="0">
        <references count="2">
          <reference field="4294967294" count="1" selected="0">
            <x v="0"/>
          </reference>
          <reference field="5" count="1" selected="0">
            <x v="0"/>
          </reference>
        </references>
      </pivotArea>
    </chartFormat>
  </chartFormat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filters count="1">
    <filter fld="1" type="dateBetween" evalOrder="-1" id="3" name="[Tab_concat].[Dates]">
      <autoFilter ref="A1">
        <filterColumn colId="0">
          <customFilters and="1">
            <customFilter operator="greaterThanOrEqual" val="44197"/>
            <customFilter operator="lessThanOrEqual" val="46387"/>
          </customFilters>
        </filterColumn>
      </autoFilter>
      <extLst>
        <ext xmlns:x15="http://schemas.microsoft.com/office/spreadsheetml/2010/11/main" uri="{0605FD5F-26C8-4aeb-8148-2DB25E43C511}">
          <x15:pivotFilter useWholeDay="1"/>
        </ext>
      </extLst>
    </filter>
  </filters>
  <rowHierarchiesUsage count="4">
    <rowHierarchyUsage hierarchyUsage="19"/>
    <rowHierarchyUsage hierarchyUsage="20"/>
    <rowHierarchyUsage hierarchyUsage="21"/>
    <rowHierarchyUsage hierarchyUsage="1"/>
  </rowHierarchiesUsage>
  <colHierarchiesUsage count="1">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7" columnCount="4" cacheId="176121729">
        <x15:pivotRow count="4">
          <x15:c t="e">
            <x15:v>#NUM!</x15:v>
          </x15:c>
          <x15:c>
            <x15:v>0.18951791260329287</x15:v>
          </x15:c>
          <x15:c>
            <x15:v>7.1208935684902622E-2</x15:v>
          </x15:c>
          <x15:c>
            <x15:v>9.5316715299550742E-2</x15:v>
          </x15:c>
        </x15:pivotRow>
        <x15:pivotRow count="4">
          <x15:c t="e">
            <x15:v>#NUM!</x15:v>
          </x15:c>
          <x15:c>
            <x15:v>0.20248750155834477</x15:v>
          </x15:c>
          <x15:c>
            <x15:v>7.4625693348050012E-2</x15:v>
          </x15:c>
          <x15:c>
            <x15:v>0.11110663676812202</x15:v>
          </x15:c>
        </x15:pivotRow>
        <x15:pivotRow count="4">
          <x15:c t="e">
            <x15:v>#NUM!</x15:v>
          </x15:c>
          <x15:c>
            <x15:v>0.2892439826336895</x15:v>
          </x15:c>
          <x15:c>
            <x15:v>7.3351325602319634E-2</x15:v>
          </x15:c>
          <x15:c>
            <x15:v>0.12077216632208899</x15:v>
          </x15:c>
        </x15:pivotRow>
        <x15:pivotRow count="4">
          <x15:c t="e">
            <x15:v>#NUM!</x15:v>
          </x15:c>
          <x15:c>
            <x15:v>0.2829931922203322</x15:v>
          </x15:c>
          <x15:c>
            <x15:v>0.13324728299393673</x15:v>
          </x15:c>
          <x15:c>
            <x15:v>0.16932485670872258</x15:v>
          </x15:c>
        </x15:pivotRow>
        <x15:pivotRow count="4">
          <x15:c t="e">
            <x15:v>#NUM!</x15:v>
          </x15:c>
          <x15:c>
            <x15:v>0.23904646493447823</x15:v>
          </x15:c>
          <x15:c>
            <x15:v>0.1271801098252823</x15:v>
          </x15:c>
          <x15:c>
            <x15:v>0.15646549510250887</x15:v>
          </x15:c>
        </x15:pivotRow>
        <x15:pivotRow count="4">
          <x15:c t="e">
            <x15:v/>
          </x15:c>
          <x15:c t="e">
            <x15:v/>
          </x15:c>
          <x15:c>
            <x15:v>0.12196454312516311</x15:v>
          </x15:c>
          <x15:c>
            <x15:v>0.12196454312516311</x15:v>
          </x15:c>
        </x15:pivotRow>
        <x15:pivotRow count="4">
          <x15:c t="e">
            <x15:v>#NUM!</x15:v>
          </x15:c>
          <x15:c>
            <x15:v>0.24138376216857108</x15:v>
          </x15:c>
          <x15:c>
            <x15:v>0.10016360168229328</x15:v>
          </x15:c>
          <x15:c>
            <x15:v>0.1312160365816305</x15:v>
          </x15:c>
        </x15:pivotRow>
      </x15:pivotTableData>
    </ext>
    <ext xmlns:x15="http://schemas.microsoft.com/office/spreadsheetml/2010/11/main" uri="{E67621CE-5B39-4880-91FE-76760E9C1902}">
      <x15:pivotTableUISettings>
        <x15:activeTabTopLevelEntity name="[Tab_conca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name="TCD_Conso_annuel_eau" cacheId="10" applyNumberFormats="0" applyBorderFormats="0" applyFontFormats="0" applyPatternFormats="0" applyAlignmentFormats="0" applyWidthHeightFormats="1" dataCaption="Valeurs" tag="d5d9779d-3a9e-4bce-87cf-17f72413a163" updatedVersion="7" minRefreshableVersion="3" useAutoFormatting="1" subtotalHiddenItems="1" itemPrintTitles="1" createdVersion="7" indent="0" outline="1" outlineData="1" multipleFieldFilters="0" chartFormat="4">
  <location ref="C20:D24" firstHeaderRow="1" firstDataRow="1" firstDataCol="1" rowPageCount="3" colPageCount="1"/>
  <pivotFields count="7">
    <pivotField axis="axisRow" allDrilled="1" subtotalTop="0" showAll="0" dataSourceSort="1" defaultSubtotal="0" defaultAttributeDrillState="1">
      <items count="1">
        <item x="0"/>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axis="axisRow" allDrilled="1" subtotalTop="0" showAll="0" dataSourceSort="1" defaultSubtotal="0" defaultAttributeDrillState="1">
      <items count="1">
        <item s="1" x="0"/>
      </items>
    </pivotField>
    <pivotField axis="axisRow" allDrilled="1" subtotalTop="0" showAll="0" dataSourceSort="1" defaultSubtotal="0" defaultAttributeDrillState="1">
      <items count="1">
        <item s="1" x="0"/>
      </items>
    </pivotField>
  </pivotFields>
  <rowFields count="3">
    <field x="6"/>
    <field x="5"/>
    <field x="0"/>
  </rowFields>
  <rowItems count="4">
    <i>
      <x/>
    </i>
    <i r="1">
      <x/>
    </i>
    <i r="2">
      <x/>
    </i>
    <i t="grand">
      <x/>
    </i>
  </rowItems>
  <colItems count="1">
    <i/>
  </colItems>
  <pageFields count="3">
    <pageField fld="1" hier="16" name="[Tab_concat].[Annee].&amp;[2025]" cap="2025"/>
    <pageField fld="2" hier="8" name="[Tab_concat].[Type].[All]" cap="All"/>
    <pageField fld="3" hier="9" name="[Tab_concat].[Source].[All]" cap="All"/>
  </pageFields>
  <dataFields count="1">
    <dataField name="Somme de Demande_jour" fld="4" baseField="0" baseItem="0"/>
  </dataField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ab_concat].[Annee].&amp;[2025]"/>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3">
    <rowHierarchyUsage hierarchyUsage="28"/>
    <rowHierarchyUsage hierarchyUsage="27"/>
    <rowHierarchyUsage hierarchyUsage="1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concat]"/>
        <x15:activeTabTopLevelEntity name="[Tableau_type]"/>
        <x15:activeTabTopLevelEntity name="[Tableau_sourc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name="TCD_ECS_ete" cacheId="2" applyNumberFormats="0" applyBorderFormats="0" applyFontFormats="0" applyPatternFormats="0" applyAlignmentFormats="0" applyWidthHeightFormats="1" dataCaption="Valeurs" tag="da56f310-fe75-4ab4-9f80-4f6113746b52" updatedVersion="7" minRefreshableVersion="3" useAutoFormatting="1" subtotalHiddenItems="1" itemPrintTitles="1" createdVersion="7" indent="0" outline="1" outlineData="1" multipleFieldFilters="0">
  <location ref="B3:AJ9" firstHeaderRow="1" firstDataRow="3" firstDataCol="1" rowPageCount="1" colPageCount="1"/>
  <pivotFields count="6">
    <pivotField axis="axisPage" allDrilled="1" subtotalTop="0" showAll="0" dataSourceSort="1" defaultSubtotal="0" defaultAttributeDrillState="1"/>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 axis="axisRow" allDrilled="1" subtotalTop="0" showAll="0" dataSourceSort="1" defaultSubtotal="0" defaultAttributeDrillState="1">
      <items count="3">
        <item x="0"/>
        <item x="1"/>
        <item x="2"/>
      </items>
    </pivotField>
    <pivotField dataField="1" subtotalTop="0" showAll="0" defaultSubtotal="0"/>
    <pivotField dataField="1" subtotalTop="0" showAll="0" defaultSubtotal="0"/>
    <pivotField allDrilled="1" subtotalTop="0" showAll="0" dataSourceSort="1" defaultSubtotal="0" defaultAttributeDrillState="1"/>
  </pivotFields>
  <rowFields count="1">
    <field x="2"/>
  </rowFields>
  <rowItems count="4">
    <i>
      <x/>
    </i>
    <i>
      <x v="1"/>
    </i>
    <i>
      <x v="2"/>
    </i>
    <i t="grand">
      <x/>
    </i>
  </rowItems>
  <colFields count="2">
    <field x="1"/>
    <field x="-2"/>
  </colFields>
  <colItems count="34">
    <i>
      <x/>
      <x/>
    </i>
    <i r="1" i="1">
      <x v="1"/>
    </i>
    <i>
      <x v="1"/>
      <x/>
    </i>
    <i r="1" i="1">
      <x v="1"/>
    </i>
    <i>
      <x v="2"/>
      <x/>
    </i>
    <i r="1" i="1">
      <x v="1"/>
    </i>
    <i>
      <x v="3"/>
      <x/>
    </i>
    <i r="1" i="1">
      <x v="1"/>
    </i>
    <i>
      <x v="4"/>
      <x/>
    </i>
    <i r="1" i="1">
      <x v="1"/>
    </i>
    <i>
      <x v="5"/>
      <x/>
    </i>
    <i r="1" i="1">
      <x v="1"/>
    </i>
    <i>
      <x v="6"/>
      <x/>
    </i>
    <i r="1" i="1">
      <x v="1"/>
    </i>
    <i>
      <x v="7"/>
      <x/>
    </i>
    <i r="1" i="1">
      <x v="1"/>
    </i>
    <i>
      <x v="8"/>
      <x/>
    </i>
    <i r="1" i="1">
      <x v="1"/>
    </i>
    <i>
      <x v="9"/>
      <x/>
    </i>
    <i r="1" i="1">
      <x v="1"/>
    </i>
    <i>
      <x v="10"/>
      <x/>
    </i>
    <i r="1" i="1">
      <x v="1"/>
    </i>
    <i>
      <x v="11"/>
      <x/>
    </i>
    <i r="1" i="1">
      <x v="1"/>
    </i>
    <i>
      <x v="12"/>
      <x/>
    </i>
    <i r="1" i="1">
      <x v="1"/>
    </i>
    <i>
      <x v="13"/>
      <x/>
    </i>
    <i r="1" i="1">
      <x v="1"/>
    </i>
    <i>
      <x v="14"/>
      <x/>
    </i>
    <i r="1" i="1">
      <x v="1"/>
    </i>
    <i>
      <x v="15"/>
      <x/>
    </i>
    <i r="1" i="1">
      <x v="1"/>
    </i>
    <i t="grand">
      <x/>
    </i>
    <i t="grand" i="1">
      <x/>
    </i>
  </colItems>
  <pageFields count="1">
    <pageField fld="0" hier="17" name="[Tab_concat].[Mois].[All]" cap="All"/>
  </pageFields>
  <dataFields count="2">
    <dataField name="Moyenne de Conso_kWh_PCI" fld="3" subtotal="average" baseField="2" baseItem="1"/>
    <dataField name="Moyenne de Conso_kWh_DEET" fld="4" subtotal="average" baseField="2" baseItem="1"/>
  </dataField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2" level="1">
        <member name="[Tab_concat].[Dates (mois)].&amp;[août]"/>
        <member name="[Tab_concat].[Dates (mois)].&amp;[jui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caption="Moyenne de Conso_kWh_PCI"/>
    <pivotHierarchy dragToData="1" caption="Moyenne de Conso_kWh_DEET"/>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6"/>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conca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name="TCD_OPERAT" cacheId="6" applyNumberFormats="0" applyBorderFormats="0" applyFontFormats="0" applyPatternFormats="0" applyAlignmentFormats="0" applyWidthHeightFormats="1" dataCaption="Valeurs" tag="234166b8-f2f5-4427-bcb1-279e1f3dd475" updatedVersion="7" minRefreshableVersion="3" useAutoFormatting="1" subtotalHiddenItems="1" rowGrandTotals="0" colGrandTotals="0" itemPrintTitles="1" createdVersion="7" indent="0" outline="1" outlineData="1" multipleFieldFilters="0">
  <location ref="B18:C23" firstHeaderRow="1" firstDataRow="1" firstDataCol="1" rowPageCount="1" colPageCount="1"/>
  <pivotFields count="5">
    <pivotField dataField="1" subtotalTop="0" showAll="0" defaultSubtotal="0"/>
    <pivotField axis="axisRow" allDrilled="1" subtotalTop="0" showAll="0" dataSourceSort="1" defaultSubtotal="0" defaultAttributeDrillState="1">
      <items count="2">
        <item x="0"/>
        <item x="1"/>
      </items>
    </pivotField>
    <pivotField axis="axisPage" allDrilled="1" subtotalTop="0" showAll="0" dataSourceSort="1" defaultSubtotal="0" defaultAttributeDrillState="1"/>
    <pivotField axis="axisRow" allDrilled="1" subtotalTop="0" showAll="0" dataSourceSort="1" defaultSubtotal="0" defaultAttributeDrillState="1">
      <items count="1">
        <item s="1" x="0"/>
      </items>
    </pivotField>
    <pivotField axis="axisRow" allDrilled="1" subtotalTop="0" showAll="0" dataSourceSort="1" defaultSubtotal="0" defaultAttributeDrillState="1">
      <items count="2">
        <item s="1" x="0"/>
        <item s="1" x="1"/>
      </items>
    </pivotField>
  </pivotFields>
  <rowFields count="3">
    <field x="3"/>
    <field x="4"/>
    <field x="1"/>
  </rowFields>
  <rowItems count="5">
    <i>
      <x/>
    </i>
    <i r="1">
      <x/>
    </i>
    <i r="2">
      <x/>
    </i>
    <i r="1">
      <x v="1"/>
    </i>
    <i r="2">
      <x v="1"/>
    </i>
  </rowItems>
  <colItems count="1">
    <i/>
  </colItems>
  <pageFields count="1">
    <pageField fld="2" hier="19" name="[Tab_concat].[Dates (année)].&amp;[2025]" cap="2025"/>
  </pageFields>
  <dataFields count="1">
    <dataField name="Conso_brut" fld="0" baseField="0" baseItem="70399552" numFmtId="3"/>
  </dataFields>
  <formats count="11">
    <format dxfId="152">
      <pivotArea grandRow="1" outline="0" collapsedLevelsAreSubtotals="1" fieldPosition="0"/>
    </format>
    <format dxfId="151">
      <pivotArea type="all" dataOnly="0" outline="0" fieldPosition="0"/>
    </format>
    <format dxfId="150">
      <pivotArea outline="0" collapsedLevelsAreSubtotals="1" fieldPosition="0"/>
    </format>
    <format dxfId="149">
      <pivotArea dataOnly="0" labelOnly="1" outline="0" axis="axisValues" fieldPosition="0"/>
    </format>
    <format dxfId="148">
      <pivotArea type="all" dataOnly="0" outline="0" fieldPosition="0"/>
    </format>
    <format dxfId="147">
      <pivotArea outline="0" collapsedLevelsAreSubtotals="1" fieldPosition="0"/>
    </format>
    <format dxfId="146">
      <pivotArea field="3" type="button" dataOnly="0" labelOnly="1" outline="0" axis="axisRow" fieldPosition="0"/>
    </format>
    <format dxfId="145">
      <pivotArea dataOnly="0" labelOnly="1" fieldPosition="0">
        <references count="1">
          <reference field="3" count="0"/>
        </references>
      </pivotArea>
    </format>
    <format dxfId="144">
      <pivotArea dataOnly="0" labelOnly="1" fieldPosition="0">
        <references count="2">
          <reference field="3" count="0" selected="0"/>
          <reference field="4" count="0"/>
        </references>
      </pivotArea>
    </format>
    <format dxfId="143">
      <pivotArea dataOnly="0" labelOnly="1" fieldPosition="0">
        <references count="3">
          <reference field="1" count="1">
            <x v="1"/>
          </reference>
          <reference field="3" count="0" selected="0"/>
          <reference field="4" count="1" selected="0">
            <x v="1"/>
          </reference>
        </references>
      </pivotArea>
    </format>
    <format dxfId="142">
      <pivotArea dataOnly="0" labelOnly="1" outline="0" axis="axisValues" fieldPosition="0"/>
    </format>
  </format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ab_concat].[Dates (année)].&amp;[2025]"/>
      </members>
    </pivotHierarchy>
    <pivotHierarchy dragToData="1"/>
    <pivotHierarchy dragToData="1"/>
    <pivotHierarchy dragToData="1"/>
    <pivotHierarchy dragToData="1"/>
    <pivotHierarchy dragToData="1"/>
    <pivotHierarchy dragToData="1"/>
    <pivotHierarchy dragToData="1"/>
    <pivotHierarchy dragToData="1">
      <members count="3" level="1">
        <member name="[Tableau_source].[Source].&amp;"/>
        <member name=""/>
        <member nam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caption="Conso_brut"/>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3">
    <rowHierarchyUsage hierarchyUsage="28"/>
    <rowHierarchyUsage hierarchyUsage="27"/>
    <rowHierarchyUsage hierarchyUsage="14"/>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concat]"/>
        <x15:activeTabTopLevelEntity name="[Tableau_type]"/>
        <x15:activeTabTopLevelEntity name="[Tableau_sourc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name="TCD_ECS_Mensuel" cacheId="13" applyNumberFormats="0" applyBorderFormats="0" applyFontFormats="0" applyPatternFormats="0" applyAlignmentFormats="0" applyWidthHeightFormats="1" dataCaption="Valeurs" tag="41c45e4b-f4b4-4e46-80f1-fa497f81aa2c" updatedVersion="7" minRefreshableVersion="3" useAutoFormatting="1" subtotalHiddenItems="1" itemPrintTitles="1" createdVersion="7" indent="0" outline="1" outlineData="1" multipleFieldFilters="0">
  <location ref="P66:AH80" firstHeaderRow="1" firstDataRow="2" firstDataCol="1" rowPageCount="1" colPageCount="1"/>
  <pivotFields count="4">
    <pivotField axis="axisCol" allDrilled="1" subtotalTop="0" showAll="0" dataSourceSort="1" defaultSubtotal="0" defaultAttributeDrillState="1">
      <items count="17">
        <item x="0"/>
        <item x="1"/>
        <item x="2"/>
        <item x="3"/>
        <item x="4"/>
        <item x="5"/>
        <item x="6"/>
        <item x="7"/>
        <item x="8"/>
        <item x="9"/>
        <item x="10"/>
        <item x="11"/>
        <item x="12"/>
        <item x="13"/>
        <item x="14"/>
        <item x="15"/>
        <item x="16"/>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Page" allDrilled="1" subtotalTop="0" showAll="0" dataSourceSort="1" defaultSubtotal="0" defaultAttributeDrillState="1"/>
    <pivotField dataField="1" subtotalTop="0" showAll="0" defaultSubtotal="0"/>
  </pivotFields>
  <rowFields count="1">
    <field x="1"/>
  </rowFields>
  <rowItems count="13">
    <i>
      <x/>
    </i>
    <i>
      <x v="1"/>
    </i>
    <i>
      <x v="2"/>
    </i>
    <i>
      <x v="3"/>
    </i>
    <i>
      <x v="4"/>
    </i>
    <i>
      <x v="5"/>
    </i>
    <i>
      <x v="6"/>
    </i>
    <i>
      <x v="7"/>
    </i>
    <i>
      <x v="8"/>
    </i>
    <i>
      <x v="9"/>
    </i>
    <i>
      <x v="10"/>
    </i>
    <i>
      <x v="11"/>
    </i>
    <i t="grand">
      <x/>
    </i>
  </rowItems>
  <colFields count="1">
    <field x="0"/>
  </colFields>
  <colItems count="18">
    <i>
      <x/>
    </i>
    <i>
      <x v="1"/>
    </i>
    <i>
      <x v="2"/>
    </i>
    <i>
      <x v="3"/>
    </i>
    <i>
      <x v="4"/>
    </i>
    <i>
      <x v="5"/>
    </i>
    <i>
      <x v="6"/>
    </i>
    <i>
      <x v="7"/>
    </i>
    <i>
      <x v="8"/>
    </i>
    <i>
      <x v="9"/>
    </i>
    <i>
      <x v="10"/>
    </i>
    <i>
      <x v="11"/>
    </i>
    <i>
      <x v="12"/>
    </i>
    <i>
      <x v="13"/>
    </i>
    <i>
      <x v="14"/>
    </i>
    <i>
      <x v="15"/>
    </i>
    <i>
      <x v="16"/>
    </i>
    <i t="grand">
      <x/>
    </i>
  </colItems>
  <pageFields count="1">
    <pageField fld="2" hier="13" name="[Tab_concat].[Nom].[All]" cap="All"/>
  </pageFields>
  <dataFields count="1">
    <dataField name="Somme de Demande_jour" fld="3" baseField="0" baseItem="0"/>
  </dataField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1"/>
  </rowHierarchiesUsage>
  <colHierarchiesUsage count="1">
    <colHierarchyUsage hierarchyUsage="19"/>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conca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name="TCD_compteur_2" cacheId="8" applyNumberFormats="0" applyBorderFormats="0" applyFontFormats="0" applyPatternFormats="0" applyAlignmentFormats="0" applyWidthHeightFormats="1" dataCaption="Valeurs" tag="991314ce-ac0e-4569-a7f5-f2a0a2990f59" updatedVersion="7" minRefreshableVersion="3" useAutoFormatting="1" subtotalHiddenItems="1" itemPrintTitles="1" createdVersion="7" indent="0" outline="1" outlineData="1" multipleFieldFilters="0">
  <location ref="P29:AH43" firstHeaderRow="1" firstDataRow="2" firstDataCol="1" rowPageCount="1" colPageCount="1"/>
  <pivotFields count="4">
    <pivotField dataField="1" subtotalTop="0" showAll="0" defaultSubtotal="0"/>
    <pivotField axis="axisCol" allDrilled="1" subtotalTop="0" showAll="0" dataSourceSort="1" defaultSubtotal="0" defaultAttributeDrillState="1">
      <items count="17">
        <item x="0"/>
        <item x="1"/>
        <item x="2"/>
        <item x="3"/>
        <item x="4"/>
        <item x="5"/>
        <item x="6"/>
        <item x="7"/>
        <item x="8"/>
        <item x="9"/>
        <item x="10"/>
        <item x="11"/>
        <item x="12"/>
        <item x="13"/>
        <item x="14"/>
        <item x="15"/>
        <item x="16"/>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Page" allDrilled="1" subtotalTop="0" showAll="0" dataSourceSort="1" defaultSubtotal="0" defaultAttributeDrillState="1"/>
  </pivotFields>
  <rowFields count="1">
    <field x="2"/>
  </rowFields>
  <rowItems count="13">
    <i>
      <x/>
    </i>
    <i>
      <x v="1"/>
    </i>
    <i>
      <x v="2"/>
    </i>
    <i>
      <x v="3"/>
    </i>
    <i>
      <x v="4"/>
    </i>
    <i>
      <x v="5"/>
    </i>
    <i>
      <x v="6"/>
    </i>
    <i>
      <x v="7"/>
    </i>
    <i>
      <x v="8"/>
    </i>
    <i>
      <x v="9"/>
    </i>
    <i>
      <x v="10"/>
    </i>
    <i>
      <x v="11"/>
    </i>
    <i t="grand">
      <x/>
    </i>
  </rowItems>
  <colFields count="1">
    <field x="1"/>
  </colFields>
  <colItems count="18">
    <i>
      <x/>
    </i>
    <i>
      <x v="1"/>
    </i>
    <i>
      <x v="2"/>
    </i>
    <i>
      <x v="3"/>
    </i>
    <i>
      <x v="4"/>
    </i>
    <i>
      <x v="5"/>
    </i>
    <i>
      <x v="6"/>
    </i>
    <i>
      <x v="7"/>
    </i>
    <i>
      <x v="8"/>
    </i>
    <i>
      <x v="9"/>
    </i>
    <i>
      <x v="10"/>
    </i>
    <i>
      <x v="11"/>
    </i>
    <i>
      <x v="12"/>
    </i>
    <i>
      <x v="13"/>
    </i>
    <i>
      <x v="14"/>
    </i>
    <i>
      <x v="15"/>
    </i>
    <i>
      <x v="16"/>
    </i>
    <i t="grand">
      <x/>
    </i>
  </colItems>
  <pageFields count="1">
    <pageField fld="3" hier="13" name="[Tab_concat].[Nom].&amp;[Gaz général]" cap="Gaz général"/>
  </pageFields>
  <dataFields count="1">
    <dataField name="Somme de Conso_kWh_PCI" fld="0" baseField="0" baseItem="0"/>
  </dataField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ab_concat].[Nom].&amp;[Gaz génér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1"/>
  </rowHierarchiesUsage>
  <colHierarchiesUsage count="1">
    <colHierarchyUsage hierarchyUsage="19"/>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conca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name="Tableau croisé dynamique13" cacheId="14" applyNumberFormats="0" applyBorderFormats="0" applyFontFormats="0" applyPatternFormats="0" applyAlignmentFormats="0" applyWidthHeightFormats="1" dataCaption="Valeurs" updatedVersion="7" minRefreshableVersion="3" useAutoFormatting="1" itemPrintTitles="1" createdVersion="6" indent="0" outline="1" outlineData="1" multipleFieldFilters="0">
  <location ref="V92:W106" firstHeaderRow="1" firstDataRow="1" firstDataCol="1"/>
  <pivotFields count="6">
    <pivotField showAll="0"/>
    <pivotField showAll="0"/>
    <pivotField showAll="0"/>
    <pivotField axis="axisRow" showAll="0">
      <items count="14">
        <item x="0"/>
        <item x="1"/>
        <item x="2"/>
        <item x="3"/>
        <item x="4"/>
        <item x="5"/>
        <item x="6"/>
        <item x="7"/>
        <item x="8"/>
        <item x="9"/>
        <item x="10"/>
        <item x="11"/>
        <item x="12"/>
        <item t="default"/>
      </items>
    </pivotField>
    <pivotField dataField="1" showAll="0"/>
    <pivotField showAll="0"/>
  </pivotFields>
  <rowFields count="1">
    <field x="3"/>
  </rowFields>
  <rowItems count="14">
    <i>
      <x/>
    </i>
    <i>
      <x v="1"/>
    </i>
    <i>
      <x v="2"/>
    </i>
    <i>
      <x v="3"/>
    </i>
    <i>
      <x v="4"/>
    </i>
    <i>
      <x v="5"/>
    </i>
    <i>
      <x v="6"/>
    </i>
    <i>
      <x v="7"/>
    </i>
    <i>
      <x v="8"/>
    </i>
    <i>
      <x v="9"/>
    </i>
    <i>
      <x v="10"/>
    </i>
    <i>
      <x v="11"/>
    </i>
    <i>
      <x v="12"/>
    </i>
    <i t="grand">
      <x/>
    </i>
  </rowItems>
  <colItems count="1">
    <i/>
  </colItems>
  <dataFields count="1">
    <dataField name="Moyenne de DJU(chauffagiste)" fld="4" subtotal="average" baseField="2" baseItem="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name="TCD_Suivi_compteur_1" cacheId="7" applyNumberFormats="0" applyBorderFormats="0" applyFontFormats="0" applyPatternFormats="0" applyAlignmentFormats="0" applyWidthHeightFormats="1" dataCaption="Valeurs" tag="b2416d50-1d2a-48fd-b8a4-193a257fdd6c" updatedVersion="7" minRefreshableVersion="3" useAutoFormatting="1" subtotalHiddenItems="1" itemPrintTitles="1" createdVersion="7" indent="0" outline="1" outlineData="1" multipleFieldFilters="0">
  <location ref="P3:AF17" firstHeaderRow="1" firstDataRow="2" firstDataCol="1" rowPageCount="1" colPageCount="1"/>
  <pivotFields count="4">
    <pivotField dataField="1" subtotalTop="0" showAll="0" defaultSubtotal="0"/>
    <pivotField axis="axisCol" allDrilled="1" subtotalTop="0" showAll="0" dataSourceSort="1" defaultSubtotal="0" defaultAttributeDrillState="1">
      <items count="15">
        <item x="0"/>
        <item x="1"/>
        <item x="2"/>
        <item x="3"/>
        <item x="4"/>
        <item x="5"/>
        <item x="6"/>
        <item x="7"/>
        <item x="8"/>
        <item x="9"/>
        <item x="10"/>
        <item x="11"/>
        <item x="12"/>
        <item x="13"/>
        <item x="1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Page" allDrilled="1" subtotalTop="0" showAll="0" dataSourceSort="1" defaultSubtotal="0" defaultAttributeDrillState="1"/>
  </pivotFields>
  <rowFields count="1">
    <field x="2"/>
  </rowFields>
  <rowItems count="13">
    <i>
      <x/>
    </i>
    <i>
      <x v="1"/>
    </i>
    <i>
      <x v="2"/>
    </i>
    <i>
      <x v="3"/>
    </i>
    <i>
      <x v="4"/>
    </i>
    <i>
      <x v="5"/>
    </i>
    <i>
      <x v="6"/>
    </i>
    <i>
      <x v="7"/>
    </i>
    <i>
      <x v="8"/>
    </i>
    <i>
      <x v="9"/>
    </i>
    <i>
      <x v="10"/>
    </i>
    <i>
      <x v="11"/>
    </i>
    <i t="grand">
      <x/>
    </i>
  </rowItems>
  <colFields count="1">
    <field x="1"/>
  </colFields>
  <colItems count="16">
    <i>
      <x/>
    </i>
    <i>
      <x v="1"/>
    </i>
    <i>
      <x v="2"/>
    </i>
    <i>
      <x v="3"/>
    </i>
    <i>
      <x v="4"/>
    </i>
    <i>
      <x v="5"/>
    </i>
    <i>
      <x v="6"/>
    </i>
    <i>
      <x v="7"/>
    </i>
    <i>
      <x v="8"/>
    </i>
    <i>
      <x v="9"/>
    </i>
    <i>
      <x v="10"/>
    </i>
    <i>
      <x v="11"/>
    </i>
    <i>
      <x v="12"/>
    </i>
    <i>
      <x v="13"/>
    </i>
    <i>
      <x v="14"/>
    </i>
    <i t="grand">
      <x/>
    </i>
  </colItems>
  <pageFields count="1">
    <pageField fld="3" hier="13" name="[Tab_concat].[Nom].&amp;[Elec général]" cap="Elec général"/>
  </pageFields>
  <dataFields count="1">
    <dataField name="Somme de Conso_kWh_PCI" fld="0" baseField="0" baseItem="0"/>
  </dataField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ab_concat].[Nom].&amp;[Elec génér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1"/>
  </rowHierarchiesUsage>
  <colHierarchiesUsage count="1">
    <colHierarchyUsage hierarchyUsage="19"/>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conca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name="TCD_DJU_Suivi" cacheId="14" applyNumberFormats="0" applyBorderFormats="0" applyFontFormats="0" applyPatternFormats="0" applyAlignmentFormats="0" applyWidthHeightFormats="1" dataCaption="Valeurs" updatedVersion="7" minRefreshableVersion="3" useAutoFormatting="1" itemPrintTitles="1" createdVersion="6" indent="0" outline="1" outlineData="1" multipleFieldFilters="0">
  <location ref="P92:Q426" firstHeaderRow="1" firstDataRow="1" firstDataCol="1"/>
  <pivotFields count="6">
    <pivotField showAll="0"/>
    <pivotField axis="axisRow" showAll="0">
      <items count="28">
        <item x="0"/>
        <item x="1"/>
        <item x="2"/>
        <item x="3"/>
        <item x="4"/>
        <item x="5"/>
        <item x="6"/>
        <item x="7"/>
        <item x="8"/>
        <item x="9"/>
        <item x="10"/>
        <item x="11"/>
        <item x="12"/>
        <item x="13"/>
        <item x="14"/>
        <item x="15"/>
        <item x="16"/>
        <item x="17"/>
        <item x="18"/>
        <item x="19"/>
        <item x="20"/>
        <item x="21"/>
        <item x="22"/>
        <item x="23"/>
        <item x="24"/>
        <item x="26"/>
        <item x="25"/>
        <item t="default"/>
      </items>
    </pivotField>
    <pivotField showAll="0"/>
    <pivotField axis="axisRow" showAll="0">
      <items count="14">
        <item x="0"/>
        <item x="1"/>
        <item x="2"/>
        <item x="3"/>
        <item x="4"/>
        <item x="5"/>
        <item x="6"/>
        <item x="7"/>
        <item x="8"/>
        <item x="9"/>
        <item x="10"/>
        <item x="11"/>
        <item x="12"/>
        <item t="default"/>
      </items>
    </pivotField>
    <pivotField dataField="1" showAll="0"/>
    <pivotField showAll="0"/>
  </pivotFields>
  <rowFields count="2">
    <field x="1"/>
    <field x="3"/>
  </rowFields>
  <rowItems count="334">
    <i>
      <x/>
    </i>
    <i r="1">
      <x/>
    </i>
    <i r="1">
      <x v="1"/>
    </i>
    <i r="1">
      <x v="2"/>
    </i>
    <i r="1">
      <x v="3"/>
    </i>
    <i r="1">
      <x v="4"/>
    </i>
    <i r="1">
      <x v="5"/>
    </i>
    <i r="1">
      <x v="6"/>
    </i>
    <i r="1">
      <x v="7"/>
    </i>
    <i r="1">
      <x v="8"/>
    </i>
    <i r="1">
      <x v="9"/>
    </i>
    <i r="1">
      <x v="10"/>
    </i>
    <i r="1">
      <x v="11"/>
    </i>
    <i>
      <x v="1"/>
    </i>
    <i r="1">
      <x/>
    </i>
    <i r="1">
      <x v="1"/>
    </i>
    <i r="1">
      <x v="2"/>
    </i>
    <i r="1">
      <x v="3"/>
    </i>
    <i r="1">
      <x v="4"/>
    </i>
    <i r="1">
      <x v="5"/>
    </i>
    <i r="1">
      <x v="6"/>
    </i>
    <i r="1">
      <x v="7"/>
    </i>
    <i r="1">
      <x v="8"/>
    </i>
    <i r="1">
      <x v="9"/>
    </i>
    <i r="1">
      <x v="10"/>
    </i>
    <i r="1">
      <x v="11"/>
    </i>
    <i>
      <x v="2"/>
    </i>
    <i r="1">
      <x/>
    </i>
    <i r="1">
      <x v="1"/>
    </i>
    <i r="1">
      <x v="2"/>
    </i>
    <i r="1">
      <x v="3"/>
    </i>
    <i r="1">
      <x v="4"/>
    </i>
    <i r="1">
      <x v="5"/>
    </i>
    <i r="1">
      <x v="6"/>
    </i>
    <i r="1">
      <x v="7"/>
    </i>
    <i r="1">
      <x v="8"/>
    </i>
    <i r="1">
      <x v="9"/>
    </i>
    <i r="1">
      <x v="10"/>
    </i>
    <i r="1">
      <x v="11"/>
    </i>
    <i>
      <x v="3"/>
    </i>
    <i r="1">
      <x/>
    </i>
    <i r="1">
      <x v="1"/>
    </i>
    <i r="1">
      <x v="2"/>
    </i>
    <i r="1">
      <x v="3"/>
    </i>
    <i r="1">
      <x v="4"/>
    </i>
    <i r="1">
      <x v="5"/>
    </i>
    <i r="1">
      <x v="6"/>
    </i>
    <i r="1">
      <x v="7"/>
    </i>
    <i r="1">
      <x v="8"/>
    </i>
    <i r="1">
      <x v="9"/>
    </i>
    <i r="1">
      <x v="10"/>
    </i>
    <i r="1">
      <x v="11"/>
    </i>
    <i>
      <x v="4"/>
    </i>
    <i r="1">
      <x/>
    </i>
    <i r="1">
      <x v="1"/>
    </i>
    <i r="1">
      <x v="2"/>
    </i>
    <i r="1">
      <x v="3"/>
    </i>
    <i r="1">
      <x v="4"/>
    </i>
    <i r="1">
      <x v="5"/>
    </i>
    <i r="1">
      <x v="6"/>
    </i>
    <i r="1">
      <x v="7"/>
    </i>
    <i r="1">
      <x v="8"/>
    </i>
    <i r="1">
      <x v="9"/>
    </i>
    <i r="1">
      <x v="10"/>
    </i>
    <i r="1">
      <x v="11"/>
    </i>
    <i>
      <x v="5"/>
    </i>
    <i r="1">
      <x/>
    </i>
    <i r="1">
      <x v="1"/>
    </i>
    <i r="1">
      <x v="2"/>
    </i>
    <i r="1">
      <x v="3"/>
    </i>
    <i r="1">
      <x v="4"/>
    </i>
    <i r="1">
      <x v="5"/>
    </i>
    <i r="1">
      <x v="6"/>
    </i>
    <i r="1">
      <x v="7"/>
    </i>
    <i r="1">
      <x v="8"/>
    </i>
    <i r="1">
      <x v="9"/>
    </i>
    <i r="1">
      <x v="10"/>
    </i>
    <i r="1">
      <x v="11"/>
    </i>
    <i>
      <x v="6"/>
    </i>
    <i r="1">
      <x/>
    </i>
    <i r="1">
      <x v="1"/>
    </i>
    <i r="1">
      <x v="2"/>
    </i>
    <i r="1">
      <x v="3"/>
    </i>
    <i r="1">
      <x v="4"/>
    </i>
    <i r="1">
      <x v="5"/>
    </i>
    <i r="1">
      <x v="6"/>
    </i>
    <i r="1">
      <x v="7"/>
    </i>
    <i r="1">
      <x v="8"/>
    </i>
    <i r="1">
      <x v="9"/>
    </i>
    <i r="1">
      <x v="10"/>
    </i>
    <i r="1">
      <x v="11"/>
    </i>
    <i>
      <x v="7"/>
    </i>
    <i r="1">
      <x/>
    </i>
    <i r="1">
      <x v="1"/>
    </i>
    <i r="1">
      <x v="2"/>
    </i>
    <i r="1">
      <x v="3"/>
    </i>
    <i r="1">
      <x v="4"/>
    </i>
    <i r="1">
      <x v="5"/>
    </i>
    <i r="1">
      <x v="6"/>
    </i>
    <i r="1">
      <x v="7"/>
    </i>
    <i r="1">
      <x v="8"/>
    </i>
    <i r="1">
      <x v="9"/>
    </i>
    <i r="1">
      <x v="10"/>
    </i>
    <i r="1">
      <x v="11"/>
    </i>
    <i>
      <x v="8"/>
    </i>
    <i r="1">
      <x/>
    </i>
    <i r="1">
      <x v="1"/>
    </i>
    <i r="1">
      <x v="2"/>
    </i>
    <i r="1">
      <x v="3"/>
    </i>
    <i r="1">
      <x v="4"/>
    </i>
    <i r="1">
      <x v="5"/>
    </i>
    <i r="1">
      <x v="6"/>
    </i>
    <i r="1">
      <x v="7"/>
    </i>
    <i r="1">
      <x v="8"/>
    </i>
    <i r="1">
      <x v="9"/>
    </i>
    <i r="1">
      <x v="10"/>
    </i>
    <i r="1">
      <x v="11"/>
    </i>
    <i>
      <x v="9"/>
    </i>
    <i r="1">
      <x/>
    </i>
    <i r="1">
      <x v="1"/>
    </i>
    <i r="1">
      <x v="2"/>
    </i>
    <i r="1">
      <x v="3"/>
    </i>
    <i r="1">
      <x v="4"/>
    </i>
    <i r="1">
      <x v="5"/>
    </i>
    <i r="1">
      <x v="6"/>
    </i>
    <i r="1">
      <x v="7"/>
    </i>
    <i r="1">
      <x v="8"/>
    </i>
    <i r="1">
      <x v="9"/>
    </i>
    <i r="1">
      <x v="10"/>
    </i>
    <i r="1">
      <x v="11"/>
    </i>
    <i>
      <x v="10"/>
    </i>
    <i r="1">
      <x/>
    </i>
    <i r="1">
      <x v="1"/>
    </i>
    <i r="1">
      <x v="2"/>
    </i>
    <i r="1">
      <x v="3"/>
    </i>
    <i r="1">
      <x v="4"/>
    </i>
    <i r="1">
      <x v="5"/>
    </i>
    <i r="1">
      <x v="6"/>
    </i>
    <i r="1">
      <x v="7"/>
    </i>
    <i r="1">
      <x v="8"/>
    </i>
    <i r="1">
      <x v="9"/>
    </i>
    <i r="1">
      <x v="10"/>
    </i>
    <i r="1">
      <x v="11"/>
    </i>
    <i>
      <x v="11"/>
    </i>
    <i r="1">
      <x/>
    </i>
    <i r="1">
      <x v="1"/>
    </i>
    <i r="1">
      <x v="2"/>
    </i>
    <i r="1">
      <x v="3"/>
    </i>
    <i r="1">
      <x v="4"/>
    </i>
    <i r="1">
      <x v="5"/>
    </i>
    <i r="1">
      <x v="6"/>
    </i>
    <i r="1">
      <x v="7"/>
    </i>
    <i r="1">
      <x v="8"/>
    </i>
    <i r="1">
      <x v="9"/>
    </i>
    <i r="1">
      <x v="10"/>
    </i>
    <i r="1">
      <x v="11"/>
    </i>
    <i>
      <x v="12"/>
    </i>
    <i r="1">
      <x/>
    </i>
    <i r="1">
      <x v="1"/>
    </i>
    <i r="1">
      <x v="2"/>
    </i>
    <i r="1">
      <x v="3"/>
    </i>
    <i r="1">
      <x v="4"/>
    </i>
    <i r="1">
      <x v="5"/>
    </i>
    <i r="1">
      <x v="6"/>
    </i>
    <i r="1">
      <x v="7"/>
    </i>
    <i r="1">
      <x v="8"/>
    </i>
    <i r="1">
      <x v="9"/>
    </i>
    <i r="1">
      <x v="10"/>
    </i>
    <i r="1">
      <x v="11"/>
    </i>
    <i>
      <x v="13"/>
    </i>
    <i r="1">
      <x/>
    </i>
    <i r="1">
      <x v="1"/>
    </i>
    <i r="1">
      <x v="2"/>
    </i>
    <i r="1">
      <x v="3"/>
    </i>
    <i r="1">
      <x v="4"/>
    </i>
    <i r="1">
      <x v="5"/>
    </i>
    <i r="1">
      <x v="6"/>
    </i>
    <i r="1">
      <x v="7"/>
    </i>
    <i r="1">
      <x v="8"/>
    </i>
    <i r="1">
      <x v="9"/>
    </i>
    <i r="1">
      <x v="10"/>
    </i>
    <i r="1">
      <x v="11"/>
    </i>
    <i>
      <x v="14"/>
    </i>
    <i r="1">
      <x/>
    </i>
    <i r="1">
      <x v="1"/>
    </i>
    <i r="1">
      <x v="2"/>
    </i>
    <i r="1">
      <x v="3"/>
    </i>
    <i r="1">
      <x v="4"/>
    </i>
    <i r="1">
      <x v="5"/>
    </i>
    <i r="1">
      <x v="6"/>
    </i>
    <i r="1">
      <x v="7"/>
    </i>
    <i r="1">
      <x v="8"/>
    </i>
    <i r="1">
      <x v="9"/>
    </i>
    <i r="1">
      <x v="10"/>
    </i>
    <i r="1">
      <x v="11"/>
    </i>
    <i>
      <x v="15"/>
    </i>
    <i r="1">
      <x/>
    </i>
    <i r="1">
      <x v="1"/>
    </i>
    <i r="1">
      <x v="2"/>
    </i>
    <i r="1">
      <x v="3"/>
    </i>
    <i r="1">
      <x v="4"/>
    </i>
    <i r="1">
      <x v="5"/>
    </i>
    <i r="1">
      <x v="6"/>
    </i>
    <i r="1">
      <x v="7"/>
    </i>
    <i r="1">
      <x v="8"/>
    </i>
    <i r="1">
      <x v="9"/>
    </i>
    <i r="1">
      <x v="10"/>
    </i>
    <i r="1">
      <x v="11"/>
    </i>
    <i>
      <x v="16"/>
    </i>
    <i r="1">
      <x/>
    </i>
    <i r="1">
      <x v="1"/>
    </i>
    <i r="1">
      <x v="2"/>
    </i>
    <i r="1">
      <x v="3"/>
    </i>
    <i r="1">
      <x v="4"/>
    </i>
    <i r="1">
      <x v="5"/>
    </i>
    <i r="1">
      <x v="6"/>
    </i>
    <i r="1">
      <x v="7"/>
    </i>
    <i r="1">
      <x v="8"/>
    </i>
    <i r="1">
      <x v="9"/>
    </i>
    <i r="1">
      <x v="10"/>
    </i>
    <i r="1">
      <x v="11"/>
    </i>
    <i>
      <x v="17"/>
    </i>
    <i r="1">
      <x/>
    </i>
    <i r="1">
      <x v="1"/>
    </i>
    <i r="1">
      <x v="2"/>
    </i>
    <i r="1">
      <x v="3"/>
    </i>
    <i r="1">
      <x v="4"/>
    </i>
    <i r="1">
      <x v="5"/>
    </i>
    <i r="1">
      <x v="6"/>
    </i>
    <i r="1">
      <x v="7"/>
    </i>
    <i r="1">
      <x v="8"/>
    </i>
    <i r="1">
      <x v="9"/>
    </i>
    <i r="1">
      <x v="10"/>
    </i>
    <i r="1">
      <x v="11"/>
    </i>
    <i>
      <x v="18"/>
    </i>
    <i r="1">
      <x/>
    </i>
    <i r="1">
      <x v="1"/>
    </i>
    <i r="1">
      <x v="2"/>
    </i>
    <i r="1">
      <x v="3"/>
    </i>
    <i r="1">
      <x v="4"/>
    </i>
    <i r="1">
      <x v="5"/>
    </i>
    <i r="1">
      <x v="6"/>
    </i>
    <i r="1">
      <x v="7"/>
    </i>
    <i r="1">
      <x v="8"/>
    </i>
    <i r="1">
      <x v="9"/>
    </i>
    <i r="1">
      <x v="10"/>
    </i>
    <i r="1">
      <x v="11"/>
    </i>
    <i>
      <x v="19"/>
    </i>
    <i r="1">
      <x/>
    </i>
    <i r="1">
      <x v="1"/>
    </i>
    <i r="1">
      <x v="2"/>
    </i>
    <i r="1">
      <x v="3"/>
    </i>
    <i r="1">
      <x v="4"/>
    </i>
    <i r="1">
      <x v="5"/>
    </i>
    <i r="1">
      <x v="6"/>
    </i>
    <i r="1">
      <x v="7"/>
    </i>
    <i r="1">
      <x v="8"/>
    </i>
    <i r="1">
      <x v="9"/>
    </i>
    <i r="1">
      <x v="10"/>
    </i>
    <i r="1">
      <x v="11"/>
    </i>
    <i>
      <x v="20"/>
    </i>
    <i r="1">
      <x/>
    </i>
    <i r="1">
      <x v="1"/>
    </i>
    <i r="1">
      <x v="2"/>
    </i>
    <i r="1">
      <x v="3"/>
    </i>
    <i r="1">
      <x v="4"/>
    </i>
    <i r="1">
      <x v="5"/>
    </i>
    <i r="1">
      <x v="6"/>
    </i>
    <i r="1">
      <x v="7"/>
    </i>
    <i r="1">
      <x v="8"/>
    </i>
    <i r="1">
      <x v="9"/>
    </i>
    <i r="1">
      <x v="10"/>
    </i>
    <i r="1">
      <x v="11"/>
    </i>
    <i>
      <x v="21"/>
    </i>
    <i r="1">
      <x/>
    </i>
    <i r="1">
      <x v="1"/>
    </i>
    <i r="1">
      <x v="2"/>
    </i>
    <i r="1">
      <x v="3"/>
    </i>
    <i r="1">
      <x v="4"/>
    </i>
    <i r="1">
      <x v="5"/>
    </i>
    <i r="1">
      <x v="6"/>
    </i>
    <i r="1">
      <x v="7"/>
    </i>
    <i r="1">
      <x v="8"/>
    </i>
    <i r="1">
      <x v="9"/>
    </i>
    <i r="1">
      <x v="10"/>
    </i>
    <i r="1">
      <x v="11"/>
    </i>
    <i>
      <x v="22"/>
    </i>
    <i r="1">
      <x/>
    </i>
    <i r="1">
      <x v="1"/>
    </i>
    <i r="1">
      <x v="2"/>
    </i>
    <i r="1">
      <x v="3"/>
    </i>
    <i r="1">
      <x v="4"/>
    </i>
    <i r="1">
      <x v="5"/>
    </i>
    <i r="1">
      <x v="6"/>
    </i>
    <i r="1">
      <x v="7"/>
    </i>
    <i r="1">
      <x v="8"/>
    </i>
    <i r="1">
      <x v="9"/>
    </i>
    <i r="1">
      <x v="10"/>
    </i>
    <i r="1">
      <x v="11"/>
    </i>
    <i>
      <x v="23"/>
    </i>
    <i r="1">
      <x/>
    </i>
    <i r="1">
      <x v="1"/>
    </i>
    <i r="1">
      <x v="2"/>
    </i>
    <i r="1">
      <x v="3"/>
    </i>
    <i r="1">
      <x v="4"/>
    </i>
    <i r="1">
      <x v="5"/>
    </i>
    <i r="1">
      <x v="6"/>
    </i>
    <i r="1">
      <x v="7"/>
    </i>
    <i r="1">
      <x v="8"/>
    </i>
    <i r="1">
      <x v="9"/>
    </i>
    <i r="1">
      <x v="10"/>
    </i>
    <i r="1">
      <x v="11"/>
    </i>
    <i>
      <x v="24"/>
    </i>
    <i r="1">
      <x/>
    </i>
    <i r="1">
      <x v="1"/>
    </i>
    <i r="1">
      <x v="2"/>
    </i>
    <i r="1">
      <x v="3"/>
    </i>
    <i r="1">
      <x v="4"/>
    </i>
    <i r="1">
      <x v="5"/>
    </i>
    <i r="1">
      <x v="6"/>
    </i>
    <i r="1">
      <x v="7"/>
    </i>
    <i r="1">
      <x v="8"/>
    </i>
    <i r="1">
      <x v="9"/>
    </i>
    <i r="1">
      <x v="10"/>
    </i>
    <i r="1">
      <x v="11"/>
    </i>
    <i>
      <x v="25"/>
    </i>
    <i r="1">
      <x v="12"/>
    </i>
    <i>
      <x v="26"/>
    </i>
    <i r="1">
      <x/>
    </i>
    <i r="1">
      <x v="1"/>
    </i>
    <i r="1">
      <x v="2"/>
    </i>
    <i r="1">
      <x v="3"/>
    </i>
    <i r="1">
      <x v="4"/>
    </i>
    <i t="grand">
      <x/>
    </i>
  </rowItems>
  <colItems count="1">
    <i/>
  </colItems>
  <dataFields count="1">
    <dataField name="Somme de DJU(chauffagiste)"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name="Tableau croisé dynamique1" cacheId="0" applyNumberFormats="0" applyBorderFormats="0" applyFontFormats="0" applyPatternFormats="0" applyAlignmentFormats="0" applyWidthHeightFormats="1" dataCaption="Valeurs" tag="46be08fb-beb1-4999-9bd3-e7d161c8ff23" updatedVersion="7" minRefreshableVersion="5" useAutoFormatting="1" subtotalHiddenItems="1" itemPrintTitles="1" createdVersion="7" indent="0" outline="1" outlineData="1" multipleFieldFilters="0" chartFormat="1">
  <location ref="M5:N7" firstHeaderRow="1" firstDataRow="1" firstDataCol="1" rowPageCount="1" colPageCount="1"/>
  <pivotFields count="6">
    <pivotField axis="axisPage" allDrilled="1" subtotalTop="0" showAll="0" dataSourceSort="1" defaultSubtotal="0" defaultAttributeDrillState="1"/>
    <pivotField axis="axisRow" allDrilled="1" subtotalTop="0" showAll="0" dataSourceSort="1" defaultSubtotal="0" defaultAttributeDrillState="1">
      <items count="451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s>
    </pivotField>
    <pivotField axis="axisRow" allDrilled="1" subtotalTop="0" showAll="0" dataSourceSort="1" defaultSubtotal="0">
      <items count="12">
        <item x="0" e="0"/>
        <item x="1" e="0"/>
        <item x="2" e="0"/>
        <item x="3" e="0"/>
        <item x="4" e="0"/>
        <item x="5" e="0"/>
        <item x="6" e="0"/>
        <item x="7" e="0"/>
        <item x="8" e="0"/>
        <item x="9" e="0"/>
        <item x="10" e="0"/>
        <item x="11" e="0"/>
      </items>
    </pivotField>
    <pivotField axis="axisRow" allDrilled="1" subtotalTop="0" showAll="0" dataSourceSort="1" defaultSubtotal="0">
      <items count="4">
        <item x="0" e="0"/>
        <item x="1" e="0"/>
        <item x="2" e="0"/>
        <item x="3" e="0"/>
      </items>
    </pivotField>
    <pivotField axis="axisRow" allDrilled="1" subtotalTop="0" showAll="0" dataSourceSort="1" defaultSubtotal="0">
      <items count="1">
        <item x="0" e="0"/>
      </items>
    </pivotField>
    <pivotField dataField="1" subtotalTop="0" showAll="0" defaultSubtotal="0"/>
  </pivotFields>
  <rowFields count="4">
    <field x="4"/>
    <field x="3"/>
    <field x="2"/>
    <field x="1"/>
  </rowFields>
  <rowItems count="2">
    <i>
      <x/>
    </i>
    <i t="grand">
      <x/>
    </i>
  </rowItems>
  <colItems count="1">
    <i/>
  </colItems>
  <pageFields count="1">
    <pageField fld="0" hier="12" name="[Tab_concat].[Nom].[All]" cap="All"/>
  </pageFields>
  <dataFields count="1">
    <dataField fld="5" subtotal="count" baseField="0" baseItem="0"/>
  </dataFields>
  <pivotHierarchies count="6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filters count="1">
    <filter fld="1" type="dateBetween" evalOrder="-1" id="247" name="[Tab_concat].[Dates]">
      <autoFilter ref="A1">
        <filterColumn colId="0">
          <customFilters and="1">
            <customFilter operator="greaterThanOrEqual" val="45658"/>
            <customFilter operator="lessThanOrEqual" val="46387"/>
          </customFilters>
        </filterColumn>
      </autoFilter>
      <extLst>
        <ext xmlns:x15="http://schemas.microsoft.com/office/spreadsheetml/2010/11/main" uri="{0605FD5F-26C8-4aeb-8148-2DB25E43C511}">
          <x15:pivotFilter useWholeDay="1"/>
        </ext>
      </extLst>
    </filter>
  </filters>
  <rowHierarchiesUsage count="4">
    <rowHierarchyUsage hierarchyUsage="18"/>
    <rowHierarchyUsage hierarchyUsage="19"/>
    <rowHierarchyUsage hierarchyUsage="20"/>
    <rowHierarchyUsage hierarchyUsage="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conca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name="Tableau croisé dynamique2" cacheId="17" applyNumberFormats="0" applyBorderFormats="0" applyFontFormats="0" applyPatternFormats="0" applyAlignmentFormats="0" applyWidthHeightFormats="1" dataCaption="Valeurs" tag="19377c04-1a02-4e07-ad00-4d3fd6966c83" updatedVersion="7" minRefreshableVersion="5" useAutoFormatting="1" subtotalHiddenItems="1" itemPrintTitles="1" createdVersion="7" indent="0" outline="1" outlineData="1" multipleFieldFilters="0" chartFormat="6">
  <location ref="E3:F27" firstHeaderRow="1" firstDataRow="1" firstDataCol="1" rowPageCount="1" colPageCount="1"/>
  <pivotFields count="6">
    <pivotField axis="axisPage" allDrilled="1" subtotalTop="0" showAll="0" dataSourceSort="1" defaultSubtotal="0" defaultAttributeDrillState="1"/>
    <pivotField axis="axisRow" allDrilled="1" subtotalTop="0" showAll="0" dataSourceSort="1" defaultSubtotal="0" defaultAttributeDrillState="1">
      <items count="58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x="5757"/>
        <item x="5758"/>
        <item x="5759"/>
        <item x="5760"/>
        <item x="5761"/>
        <item x="5762"/>
        <item x="5763"/>
        <item x="5764"/>
        <item x="5765"/>
        <item x="5766"/>
        <item x="5767"/>
        <item x="5768"/>
        <item x="5769"/>
        <item x="5770"/>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802"/>
        <item x="5803"/>
        <item x="5804"/>
        <item x="5805"/>
        <item x="5806"/>
        <item x="5807"/>
        <item x="5808"/>
        <item x="5809"/>
        <item x="5810"/>
        <item x="5811"/>
        <item x="5812"/>
        <item x="5813"/>
        <item x="5814"/>
        <item x="5815"/>
        <item x="5816"/>
        <item x="5817"/>
        <item x="5818"/>
        <item x="5819"/>
        <item x="5820"/>
        <item x="5821"/>
        <item x="5822"/>
        <item x="5823"/>
        <item x="5824"/>
        <item x="5825"/>
        <item x="5826"/>
        <item x="5827"/>
        <item x="5828"/>
        <item x="5829"/>
        <item x="5830"/>
        <item x="5831"/>
        <item x="5832"/>
        <item x="5833"/>
        <item x="5834"/>
        <item x="5835"/>
        <item x="5836"/>
        <item x="5837"/>
        <item x="5838"/>
        <item x="5839"/>
        <item x="5840"/>
        <item x="5841"/>
        <item x="5842"/>
        <item x="5843"/>
      </items>
    </pivotField>
    <pivotField axis="axisRow" allDrilled="1" subtotalTop="0" showAll="0" dataSourceSort="1" defaultSubtotal="0">
      <items count="12">
        <item x="0" e="0"/>
        <item x="1" e="0"/>
        <item x="2" e="0"/>
        <item x="3" e="0"/>
        <item x="4" e="0"/>
        <item x="5" e="0"/>
        <item x="6" e="0"/>
        <item x="7" e="0"/>
        <item x="8" e="0"/>
        <item x="9" e="0"/>
        <item x="10" e="0"/>
        <item x="11" e="0"/>
      </items>
    </pivotField>
    <pivotField axis="axisRow" allDrilled="1" subtotalTop="0" showAll="0" dataSourceSort="1" defaultSubtotal="0">
      <items count="4">
        <item x="0" e="0"/>
        <item x="1" e="0"/>
        <item x="2" e="0"/>
        <item x="3" e="0"/>
      </items>
    </pivotField>
    <pivotField axis="axisRow" allDrilled="1" subtotalTop="0" showAll="0" dataSourceSort="1" defaultSubtotal="0" defaultAttributeDrillState="1">
      <items count="5">
        <item x="0"/>
        <item x="1"/>
        <item x="2"/>
        <item x="3"/>
        <item x="4"/>
      </items>
    </pivotField>
    <pivotField dataField="1" subtotalTop="0" showAll="0" defaultSubtotal="0"/>
  </pivotFields>
  <rowFields count="4">
    <field x="4"/>
    <field x="3"/>
    <field x="2"/>
    <field x="1"/>
  </rowFields>
  <rowItems count="24">
    <i>
      <x/>
    </i>
    <i r="1">
      <x/>
    </i>
    <i r="1">
      <x v="1"/>
    </i>
    <i r="1">
      <x v="2"/>
    </i>
    <i r="1">
      <x v="3"/>
    </i>
    <i>
      <x v="1"/>
    </i>
    <i r="1">
      <x/>
    </i>
    <i r="1">
      <x v="1"/>
    </i>
    <i r="1">
      <x v="2"/>
    </i>
    <i r="1">
      <x v="3"/>
    </i>
    <i>
      <x v="2"/>
    </i>
    <i r="1">
      <x/>
    </i>
    <i r="1">
      <x v="1"/>
    </i>
    <i r="1">
      <x v="2"/>
    </i>
    <i r="1">
      <x v="3"/>
    </i>
    <i>
      <x v="3"/>
    </i>
    <i r="1">
      <x/>
    </i>
    <i r="1">
      <x v="1"/>
    </i>
    <i r="1">
      <x v="2"/>
    </i>
    <i r="1">
      <x v="3"/>
    </i>
    <i>
      <x v="4"/>
    </i>
    <i r="1">
      <x/>
    </i>
    <i r="1">
      <x v="1"/>
    </i>
    <i t="grand">
      <x/>
    </i>
  </rowItems>
  <colItems count="1">
    <i/>
  </colItems>
  <pageFields count="1">
    <pageField fld="0" hier="37" name="[Tableau16].[Nom].&amp;[Gaz général]" cap="Gaz général"/>
  </pageFields>
  <dataFields count="1">
    <dataField fld="5" subtotal="count" baseField="0" baseItem="0"/>
  </dataFields>
  <chartFormats count="1">
    <chartFormat chart="5" format="2" series="1">
      <pivotArea type="data" outline="0" fieldPosition="0">
        <references count="1">
          <reference field="4294967294" count="1" selected="0">
            <x v="0"/>
          </reference>
        </references>
      </pivotArea>
    </chartFormat>
  </chartFormat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ableau16].[Nom].&amp;[Gaz général]"/>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filters count="1">
    <filter fld="1" type="dateBetween" evalOrder="-1" id="118" name="[Tab_concat].[Dates]">
      <autoFilter ref="A1">
        <filterColumn colId="0">
          <customFilters and="1">
            <customFilter operator="greaterThanOrEqual" val="44562"/>
            <customFilter operator="lessThanOrEqual" val="46387"/>
          </customFilters>
        </filterColumn>
      </autoFilter>
      <extLst>
        <ext xmlns:x15="http://schemas.microsoft.com/office/spreadsheetml/2010/11/main" uri="{0605FD5F-26C8-4aeb-8148-2DB25E43C511}">
          <x15:pivotFilter useWholeDay="1"/>
        </ext>
      </extLst>
    </filter>
  </filters>
  <rowHierarchiesUsage count="4">
    <rowHierarchyUsage hierarchyUsage="19"/>
    <rowHierarchyUsage hierarchyUsage="20"/>
    <rowHierarchyUsage hierarchyUsage="21"/>
    <rowHierarchyUsage hierarchyUsage="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eau16]"/>
        <x15:activeTabTopLevelEntity name="[Tab_conca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name="PivotChartTable2" cacheId="26" applyNumberFormats="0" applyBorderFormats="0" applyFontFormats="0" applyPatternFormats="0" applyAlignmentFormats="0" applyWidthHeightFormats="1" dataCaption="Valeurs" updatedVersion="7" minRefreshableVersion="5" useAutoFormatting="1" itemPrintTitles="1" createdVersion="7" indent="0" outline="1" outlineData="1" multipleFieldFilters="0" chartFormat="1">
  <location ref="A1:E9" firstHeaderRow="1" firstDataRow="2" firstDataCol="1"/>
  <pivotFields count="4">
    <pivotField dataField="1" subtotalTop="0" showAll="0" defaultSubtotal="0"/>
    <pivotField axis="axisRow" allDrilled="1" subtotalTop="0" showAll="0" dataSourceSort="1" defaultSubtotal="0" defaultAttributeDrillState="1">
      <items count="6">
        <item x="0"/>
        <item x="1"/>
        <item x="2"/>
        <item x="3"/>
        <item x="4"/>
        <item x="5"/>
      </items>
    </pivotField>
    <pivotField axis="axisCol" allDrilled="1" subtotalTop="0" showAll="0" dataSourceSort="1" defaultSubtotal="0" defaultAttributeDrillState="1">
      <items count="3">
        <item x="0"/>
        <item x="1"/>
        <item x="2"/>
      </items>
    </pivotField>
    <pivotField allDrilled="1" subtotalTop="0" showAll="0" dataSourceSort="1" defaultSubtotal="0" defaultAttributeDrillState="1"/>
  </pivotFields>
  <rowFields count="1">
    <field x="1"/>
  </rowFields>
  <rowItems count="7">
    <i>
      <x/>
    </i>
    <i>
      <x v="1"/>
    </i>
    <i>
      <x v="2"/>
    </i>
    <i>
      <x v="3"/>
    </i>
    <i>
      <x v="4"/>
    </i>
    <i>
      <x v="5"/>
    </i>
    <i t="grand">
      <x/>
    </i>
  </rowItems>
  <colFields count="1">
    <field x="2"/>
  </colFields>
  <colItems count="4">
    <i>
      <x/>
    </i>
    <i>
      <x v="1"/>
    </i>
    <i>
      <x v="2"/>
    </i>
    <i t="grand">
      <x/>
    </i>
  </colItems>
  <dataFields count="1">
    <dataField name="Somme de Cout_jour" fld="0" baseField="0" baseItem="0"/>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2" count="1" selected="0">
            <x v="1"/>
          </reference>
        </references>
      </pivotArea>
    </chartFormat>
    <chartFormat chart="0" format="2" series="1">
      <pivotArea type="data" outline="0" fieldPosition="0">
        <references count="2">
          <reference field="4294967294" count="1" selected="0">
            <x v="0"/>
          </reference>
          <reference field="2" count="1" selected="0">
            <x v="2"/>
          </reference>
        </references>
      </pivotArea>
    </chartFormat>
    <chartFormat chart="0" format="4" series="1">
      <pivotArea type="data" outline="0" fieldPosition="0">
        <references count="2">
          <reference field="4294967294" count="1" selected="0">
            <x v="0"/>
          </reference>
          <reference field="2" count="1" selected="0">
            <x v="0"/>
          </reference>
        </references>
      </pivotArea>
    </chartFormat>
  </chartFormat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filters count="1">
    <filter fld="3" type="dateBetween" evalOrder="-1" id="2" name="[Tab_concat].[Dates]">
      <autoFilter ref="A1">
        <filterColumn colId="0">
          <customFilters and="1">
            <customFilter operator="greaterThanOrEqual" val="44197"/>
            <customFilter operator="lessThanOrEqual" val="46387"/>
          </customFilters>
        </filterColumn>
      </autoFilter>
      <extLst>
        <ext xmlns:x15="http://schemas.microsoft.com/office/spreadsheetml/2010/11/main" uri="{0605FD5F-26C8-4aeb-8148-2DB25E43C511}">
          <x15:pivotFilter useWholeDay="1"/>
        </ext>
      </extLst>
    </filter>
  </filters>
  <rowHierarchiesUsage count="1">
    <rowHierarchyUsage hierarchyUsage="16"/>
  </rowHierarchiesUsage>
  <colHierarchiesUsage count="1">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7" columnCount="4" cacheId="49519183">
        <x15:pivotRow count="4">
          <x15:c>
            <x15:v>193.05415492957744</x15:v>
          </x15:c>
          <x15:c>
            <x15:v>2211.9139310559053</x15:v>
          </x15:c>
          <x15:c>
            <x15:v>3817.7570967741949</x15:v>
          </x15:c>
          <x15:c>
            <x15:v>6222.7251827596674</x15:v>
          </x15:c>
        </x15:pivotRow>
        <x15:pivotRow count="4">
          <x15:c>
            <x15:v>270.03167361502346</x15:v>
          </x15:c>
          <x15:c>
            <x15:v>2677.2701500397666</x15:v>
          </x15:c>
          <x15:c>
            <x15:v>3023.9410967741978</x15:v>
          </x15:c>
          <x15:c>
            <x15:v>5971.2429204290029</x15:v>
          </x15:c>
        </x15:pivotRow>
        <x15:pivotRow count="4">
          <x15:c>
            <x15:v>447.81254000000001</x15:v>
          </x15:c>
          <x15:c>
            <x15:v>3633.3149617254526</x15:v>
          </x15:c>
          <x15:c>
            <x15:v>3966.1260000000066</x15:v>
          </x15:c>
          <x15:c>
            <x15:v>8047.2535017254468</x15:v>
          </x15:c>
        </x15:pivotRow>
        <x15:pivotRow count="4">
          <x15:c>
            <x15:v>541.26708037225046</x15:v>
          </x15:c>
          <x15:c>
            <x15:v>3745.2847012162929</x15:v>
          </x15:c>
          <x15:c>
            <x15:v>7555.1829032258001</x15:v>
          </x15:c>
          <x15:c>
            <x15:v>11841.734684814342</x15:v>
          </x15:c>
        </x15:pivotRow>
        <x15:pivotRow count="4">
          <x15:c>
            <x15:v>474.84408629441623</x15:v>
          </x15:c>
          <x15:c>
            <x15:v>3298.4885245901596</x15:v>
          </x15:c>
          <x15:c>
            <x15:v>7010.7287096774162</x15:v>
          </x15:c>
          <x15:c>
            <x15:v>10784.061320561996</x15:v>
          </x15:c>
        </x15:pivotRow>
        <x15:pivotRow count="4">
          <x15:c t="e">
            <x15:v/>
          </x15:c>
          <x15:c t="e">
            <x15:v/>
          </x15:c>
          <x15:c>
            <x15:v>3758.4183870967763</x15:v>
          </x15:c>
          <x15:c>
            <x15:v>3758.4183870967763</x15:v>
          </x15:c>
        </x15:pivotRow>
        <x15:pivotRow count="4">
          <x15:c>
            <x15:v>1927.0095352112676</x15:v>
          </x15:c>
          <x15:c>
            <x15:v>15566.272268627577</x15:v>
          </x15:c>
          <x15:c>
            <x15:v>29132.154193548249</x15:v>
          </x15:c>
          <x15:c>
            <x15:v>46625.435997387205</x15:v>
          </x15:c>
        </x15:pivotRow>
      </x15:pivotTableData>
    </ext>
    <ext xmlns:x15="http://schemas.microsoft.com/office/spreadsheetml/2010/11/main" uri="{E67621CE-5B39-4880-91FE-76760E9C1902}">
      <x15:pivotTableUISettings>
        <x15:activeTabTopLevelEntity name="[Tab_conca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0.xml><?xml version="1.0" encoding="utf-8"?>
<pivotTableDefinition xmlns="http://schemas.openxmlformats.org/spreadsheetml/2006/main" name="Tableau croisé dynamique1" cacheId="16" applyNumberFormats="0" applyBorderFormats="0" applyFontFormats="0" applyPatternFormats="0" applyAlignmentFormats="0" applyWidthHeightFormats="1" dataCaption="Valeurs" tag="de748f23-c49a-424d-a0d2-5fb7592cf1f5" updatedVersion="7" minRefreshableVersion="5" useAutoFormatting="1" subtotalHiddenItems="1" itemPrintTitles="1" createdVersion="7" indent="0" outline="1" outlineData="1" multipleFieldFilters="0" chartFormat="3">
  <location ref="A3:B27" firstHeaderRow="1" firstDataRow="1" firstDataCol="1" rowPageCount="1" colPageCount="1"/>
  <pivotFields count="6">
    <pivotField axis="axisPage" allDrilled="1" subtotalTop="0" showAll="0" dataSourceSort="1" defaultSubtotal="0" defaultAttributeDrillState="1"/>
    <pivotField axis="axisRow" allDrilled="1" subtotalTop="0" showAll="0" dataSourceSort="1" defaultSubtotal="0" defaultAttributeDrillState="1">
      <items count="109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s>
    </pivotField>
    <pivotField axis="axisRow" allDrilled="1" subtotalTop="0" showAll="0" dataSourceSort="1" defaultSubtotal="0">
      <items count="12">
        <item x="0" e="0"/>
        <item x="1" e="0"/>
        <item x="2" e="0"/>
        <item x="3" e="0"/>
        <item x="4" e="0"/>
        <item x="5" e="0"/>
        <item x="6" e="0"/>
        <item x="7" e="0"/>
        <item x="8" e="0"/>
        <item x="9" e="0"/>
        <item x="10" e="0"/>
        <item x="11" e="0"/>
      </items>
    </pivotField>
    <pivotField axis="axisRow" allDrilled="1" subtotalTop="0" showAll="0" dataSourceSort="1" defaultSubtotal="0">
      <items count="4">
        <item x="0" e="0"/>
        <item x="1" e="0"/>
        <item x="2" e="0"/>
        <item x="3" e="0"/>
      </items>
    </pivotField>
    <pivotField axis="axisRow" allDrilled="1" subtotalTop="0" showAll="0" dataSourceSort="1" defaultSubtotal="0" defaultAttributeDrillState="1">
      <items count="5">
        <item x="0"/>
        <item x="1"/>
        <item x="2"/>
        <item x="3"/>
        <item x="4"/>
      </items>
    </pivotField>
    <pivotField dataField="1" subtotalTop="0" showAll="0" defaultSubtotal="0"/>
  </pivotFields>
  <rowFields count="4">
    <field x="4"/>
    <field x="3"/>
    <field x="2"/>
    <field x="1"/>
  </rowFields>
  <rowItems count="24">
    <i>
      <x/>
    </i>
    <i r="1">
      <x/>
    </i>
    <i r="1">
      <x v="1"/>
    </i>
    <i r="1">
      <x v="2"/>
    </i>
    <i r="1">
      <x v="3"/>
    </i>
    <i>
      <x v="1"/>
    </i>
    <i r="1">
      <x/>
    </i>
    <i r="1">
      <x v="1"/>
    </i>
    <i r="1">
      <x v="2"/>
    </i>
    <i r="1">
      <x v="3"/>
    </i>
    <i>
      <x v="2"/>
    </i>
    <i r="1">
      <x/>
    </i>
    <i r="1">
      <x v="1"/>
    </i>
    <i r="1">
      <x v="2"/>
    </i>
    <i r="1">
      <x v="3"/>
    </i>
    <i>
      <x v="3"/>
    </i>
    <i r="1">
      <x/>
    </i>
    <i r="1">
      <x v="1"/>
    </i>
    <i r="1">
      <x v="2"/>
    </i>
    <i r="1">
      <x v="3"/>
    </i>
    <i>
      <x v="4"/>
    </i>
    <i r="1">
      <x/>
    </i>
    <i r="1">
      <x v="1"/>
    </i>
    <i t="grand">
      <x/>
    </i>
  </rowItems>
  <colItems count="1">
    <i/>
  </colItems>
  <pageFields count="1">
    <pageField fld="0" hier="37" name="[Tableau16].[Nom].&amp;[Gaz général]" cap="Gaz général"/>
  </pageFields>
  <dataFields count="1">
    <dataField name="Somme de Demande_jour" fld="5" baseField="0" baseItem="0"/>
  </dataFields>
  <chartFormats count="1">
    <chartFormat chart="2" format="2" series="1">
      <pivotArea type="data" outline="0" fieldPosition="0">
        <references count="1">
          <reference field="4294967294" count="1" selected="0">
            <x v="0"/>
          </reference>
        </references>
      </pivotArea>
    </chartFormat>
  </chartFormat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ableau16].[Nom].&amp;[Gaz général]"/>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filters count="1">
    <filter fld="1" type="dateBetween" evalOrder="-1" id="119" name="[Tab_concat].[Dates]">
      <autoFilter ref="A1">
        <filterColumn colId="0">
          <customFilters and="1">
            <customFilter operator="greaterThanOrEqual" val="44562"/>
            <customFilter operator="lessThanOrEqual" val="46387"/>
          </customFilters>
        </filterColumn>
      </autoFilter>
      <extLst>
        <ext xmlns:x15="http://schemas.microsoft.com/office/spreadsheetml/2010/11/main" uri="{0605FD5F-26C8-4aeb-8148-2DB25E43C511}">
          <x15:pivotFilter useWholeDay="1"/>
        </ext>
      </extLst>
    </filter>
  </filters>
  <rowHierarchiesUsage count="4">
    <rowHierarchyUsage hierarchyUsage="19"/>
    <rowHierarchyUsage hierarchyUsage="20"/>
    <rowHierarchyUsage hierarchyUsage="21"/>
    <rowHierarchyUsage hierarchyUsage="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eau16]"/>
        <x15:activeTabTopLevelEntity name="[Tab_conca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1.xml><?xml version="1.0" encoding="utf-8"?>
<pivotTableDefinition xmlns="http://schemas.openxmlformats.org/spreadsheetml/2006/main" name="Tableau croisé dynamique1" cacheId="5"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location ref="B27:AL35" firstHeaderRow="1" firstDataRow="3" firstDataCol="1"/>
  <pivotFields count="6">
    <pivotField axis="axisCol" allDrilled="1" subtotalTop="0" showAll="0" dataSourceSort="1" defaultSubtotal="0" defaultAttributeDrillState="1">
      <items count="17">
        <item x="0"/>
        <item x="1"/>
        <item x="2"/>
        <item x="3"/>
        <item x="4"/>
        <item x="5"/>
        <item x="6"/>
        <item x="7"/>
        <item x="8"/>
        <item x="9"/>
        <item x="10"/>
        <item x="11"/>
        <item x="12"/>
        <item x="13"/>
        <item x="14"/>
        <item x="15"/>
        <item x="16"/>
      </items>
    </pivotField>
    <pivotField axis="axisRow" allDrilled="1" subtotalTop="0" showAll="0" dataSourceSort="1" defaultSubtotal="0" defaultAttributeDrillState="1">
      <items count="3">
        <item s="1" x="0"/>
        <item s="1" x="1"/>
        <item s="1" x="2"/>
      </items>
    </pivotField>
    <pivotField axis="axisRow" allDrilled="1" subtotalTop="0" showAll="0" dataSourceSort="1" defaultSubtotal="0" defaultAttributeDrillState="1">
      <items count="3">
        <item s="1" x="0"/>
        <item s="1" x="1"/>
        <item s="1" x="2"/>
      </items>
    </pivotField>
    <pivotField axis="axisRow" allDrilled="1" subtotalTop="0" showAll="0" dataSourceSort="1" defaultSubtotal="0" defaultAttributeDrillState="1">
      <items count="2">
        <item x="0"/>
        <item x="1"/>
      </items>
    </pivotField>
    <pivotField dataField="1" subtotalTop="0" showAll="0" defaultSubtotal="0"/>
    <pivotField dataField="1" subtotalTop="0" showAll="0" defaultSubtotal="0"/>
  </pivotFields>
  <rowFields count="3">
    <field x="1"/>
    <field x="2"/>
    <field x="3"/>
  </rowFields>
  <rowItems count="6">
    <i>
      <x/>
    </i>
    <i r="1">
      <x/>
    </i>
    <i r="2">
      <x/>
    </i>
    <i r="1">
      <x v="1"/>
    </i>
    <i r="2">
      <x v="1"/>
    </i>
    <i t="grand">
      <x/>
    </i>
  </rowItems>
  <colFields count="2">
    <field x="0"/>
    <field x="-2"/>
  </colFields>
  <colItems count="36">
    <i>
      <x/>
      <x/>
    </i>
    <i r="1" i="1">
      <x v="1"/>
    </i>
    <i>
      <x v="1"/>
      <x/>
    </i>
    <i r="1" i="1">
      <x v="1"/>
    </i>
    <i>
      <x v="2"/>
      <x/>
    </i>
    <i r="1" i="1">
      <x v="1"/>
    </i>
    <i>
      <x v="3"/>
      <x/>
    </i>
    <i r="1" i="1">
      <x v="1"/>
    </i>
    <i>
      <x v="4"/>
      <x/>
    </i>
    <i r="1" i="1">
      <x v="1"/>
    </i>
    <i>
      <x v="5"/>
      <x/>
    </i>
    <i r="1" i="1">
      <x v="1"/>
    </i>
    <i>
      <x v="6"/>
      <x/>
    </i>
    <i r="1" i="1">
      <x v="1"/>
    </i>
    <i>
      <x v="7"/>
      <x/>
    </i>
    <i r="1" i="1">
      <x v="1"/>
    </i>
    <i>
      <x v="8"/>
      <x/>
    </i>
    <i r="1" i="1">
      <x v="1"/>
    </i>
    <i>
      <x v="9"/>
      <x/>
    </i>
    <i r="1" i="1">
      <x v="1"/>
    </i>
    <i>
      <x v="10"/>
      <x/>
    </i>
    <i r="1" i="1">
      <x v="1"/>
    </i>
    <i>
      <x v="11"/>
      <x/>
    </i>
    <i r="1" i="1">
      <x v="1"/>
    </i>
    <i>
      <x v="12"/>
      <x/>
    </i>
    <i r="1" i="1">
      <x v="1"/>
    </i>
    <i>
      <x v="13"/>
      <x/>
    </i>
    <i r="1" i="1">
      <x v="1"/>
    </i>
    <i>
      <x v="14"/>
      <x/>
    </i>
    <i r="1" i="1">
      <x v="1"/>
    </i>
    <i>
      <x v="15"/>
      <x/>
    </i>
    <i r="1" i="1">
      <x v="1"/>
    </i>
    <i>
      <x v="16"/>
      <x/>
    </i>
    <i r="1" i="1">
      <x v="1"/>
    </i>
    <i t="grand">
      <x/>
    </i>
    <i t="grand" i="1">
      <x/>
    </i>
  </colItems>
  <dataFields count="2">
    <dataField name="Somme de Conso_kWh_PCI" fld="4" baseField="0" baseItem="0"/>
    <dataField name="Somme de Cout_jour" fld="5" baseField="0" baseItem="0"/>
  </dataField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3">
    <rowHierarchyUsage hierarchyUsage="28"/>
    <rowHierarchyUsage hierarchyUsage="27"/>
    <rowHierarchyUsage hierarchyUsage="10"/>
  </rowHierarchiesUsage>
  <colHierarchiesUsage count="2">
    <colHierarchyUsage hierarchyUsage="16"/>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concat]"/>
        <x15:activeTabTopLevelEntity name="[Tableau_type]"/>
        <x15:activeTabTopLevelEntity name="[Tableau_sourc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2.xml><?xml version="1.0" encoding="utf-8"?>
<pivotTableDefinition xmlns="http://schemas.openxmlformats.org/spreadsheetml/2006/main" name="Tableau croisé dynamique2" cacheId="4"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location ref="CI17:DA23" firstHeaderRow="1" firstDataRow="3" firstDataCol="1" rowPageCount="2" colPageCount="1"/>
  <pivotFields count="8">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dataSourceSort="1" defaultSubtotal="0" defaultAttributeDrillState="1">
      <items count="1">
        <item x="0"/>
      </items>
    </pivotField>
    <pivotField axis="axisRow" allDrilled="1" subtotalTop="0" showAll="0" dataSourceSort="1" defaultSubtotal="0" defaultAttributeDrillState="1">
      <items count="1">
        <item x="0"/>
      </items>
    </pivotField>
    <pivotField axis="axisRow" allDrilled="1" subtotalTop="0" showAll="0" dataSourceSort="1" defaultSubtotal="0" defaultAttributeDrillState="1">
      <items count="1">
        <item x="0"/>
      </items>
    </pivotField>
    <pivotField dataField="1" subtotalTop="0" showAll="0" defaultSubtotal="0"/>
  </pivotFields>
  <rowFields count="3">
    <field x="4"/>
    <field x="5"/>
    <field x="6"/>
  </rowFields>
  <rowItems count="4">
    <i>
      <x/>
    </i>
    <i r="1">
      <x/>
    </i>
    <i r="2">
      <x/>
    </i>
    <i t="grand">
      <x/>
    </i>
  </rowItems>
  <colFields count="2">
    <field x="1"/>
    <field x="-2"/>
  </colFields>
  <colItems count="18">
    <i>
      <x/>
      <x/>
    </i>
    <i r="1" i="1">
      <x v="1"/>
    </i>
    <i>
      <x v="1"/>
      <x/>
    </i>
    <i r="1" i="1">
      <x v="1"/>
    </i>
    <i>
      <x v="2"/>
      <x/>
    </i>
    <i r="1" i="1">
      <x v="1"/>
    </i>
    <i>
      <x v="3"/>
      <x/>
    </i>
    <i r="1" i="1">
      <x v="1"/>
    </i>
    <i>
      <x v="4"/>
      <x/>
    </i>
    <i r="1" i="1">
      <x v="1"/>
    </i>
    <i>
      <x v="5"/>
      <x/>
    </i>
    <i r="1" i="1">
      <x v="1"/>
    </i>
    <i>
      <x v="6"/>
      <x/>
    </i>
    <i r="1" i="1">
      <x v="1"/>
    </i>
    <i>
      <x v="7"/>
      <x/>
    </i>
    <i r="1" i="1">
      <x v="1"/>
    </i>
    <i t="grand">
      <x/>
    </i>
    <i t="grand" i="1">
      <x/>
    </i>
  </colItems>
  <pageFields count="2">
    <pageField fld="2" hier="28" name="[Tableau_type].[Type].&amp;[Consommation]" cap="Consommation"/>
    <pageField fld="3" hier="27" name="[Tableau_source].[Source].&amp;[Eau]" cap="Eau"/>
  </pageFields>
  <dataFields count="2">
    <dataField name="Somme de Demande_jour" fld="0" baseField="0" baseItem="0"/>
    <dataField name="Somme de Cout_jour" fld="7" baseField="0" baseItem="0"/>
  </dataField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3">
    <rowHierarchyUsage hierarchyUsage="8"/>
    <rowHierarchyUsage hierarchyUsage="9"/>
    <rowHierarchyUsage hierarchyUsage="10"/>
  </rowHierarchiesUsage>
  <colHierarchiesUsage count="2">
    <colHierarchyUsage hierarchyUsage="16"/>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concat]"/>
        <x15:activeTabTopLevelEntity name="[Tableau_type]"/>
        <x15:activeTabTopLevelEntity name="[Tableau_sourc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3.xml><?xml version="1.0" encoding="utf-8"?>
<pivotTableDefinition xmlns="http://schemas.openxmlformats.org/spreadsheetml/2006/main" name="Tableau croisé dynamique1" cacheId="1"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location ref="B4:C5" firstHeaderRow="1" firstDataRow="2" firstDataCol="1"/>
  <pivotFields count="4">
    <pivotField axis="axisRow" allDrilled="1" subtotalTop="0" showAll="0" dataSourceSort="1" defaultSubtotal="0" defaultAttributeDrillState="1">
      <items count="1">
        <item s="1" x="0"/>
      </items>
    </pivotField>
    <pivotField axis="axisRow" allDrilled="1" subtotalTop="0" showAll="0" dataSourceSort="1" defaultSubtotal="0" defaultAttributeDrillState="1">
      <items count="8">
        <item s="1" x="0"/>
        <item s="1" x="1"/>
        <item s="1" x="2"/>
        <item s="1" x="3"/>
        <item s="1" x="4"/>
        <item s="1" x="5"/>
        <item s="1" x="6"/>
        <item s="1" x="7"/>
      </items>
    </pivotField>
    <pivotField axis="axisCol" allDrilled="1" subtotalTop="0" showAll="0" dataSourceSort="1" defaultSubtotal="0" defaultAttributeDrillState="1">
      <items count="17">
        <item x="0"/>
        <item x="1"/>
        <item x="2"/>
        <item x="3"/>
        <item x="4"/>
        <item x="5"/>
        <item x="6"/>
        <item x="7"/>
        <item x="8"/>
        <item x="9"/>
        <item x="10"/>
        <item x="11"/>
        <item x="12"/>
        <item x="13"/>
        <item x="14"/>
        <item x="15"/>
        <item x="16"/>
      </items>
    </pivotField>
    <pivotField dataField="1" subtotalTop="0" showAll="0" defaultSubtotal="0"/>
  </pivotFields>
  <rowFields count="2">
    <field x="0"/>
    <field x="1"/>
  </rowFields>
  <colFields count="1">
    <field x="2"/>
  </colFields>
  <dataFields count="1">
    <dataField name="Somme de Demande_jour" fld="3" baseField="0" baseItem="0"/>
  </dataField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2">
    <rowHierarchyUsage hierarchyUsage="28"/>
    <rowHierarchyUsage hierarchyUsage="29"/>
  </rowHierarchiesUsage>
  <colHierarchiesUsage count="1">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eau_source]"/>
        <x15:activeTabTopLevelEntity name="[Tableau_type]"/>
        <x15:activeTabTopLevelEntity name="[Tableau_usage]"/>
        <x15:activeTabTopLevelEntity name="[Tab_conca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4.xml><?xml version="1.0" encoding="utf-8"?>
<pivotTableDefinition xmlns="http://schemas.openxmlformats.org/spreadsheetml/2006/main" name="TCD_Conso_X_annee" cacheId="3" applyNumberFormats="0" applyBorderFormats="0" applyFontFormats="0" applyPatternFormats="0" applyAlignmentFormats="0" applyWidthHeightFormats="1" dataCaption="Valeurs" tag="af569d39-1fc3-4bde-bf71-ca18fd54dd0c" updatedVersion="7" minRefreshableVersion="3" useAutoFormatting="1" subtotalHiddenItems="1" itemPrintTitles="1" createdVersion="7" indent="0" outline="1" outlineData="1" multipleFieldFilters="0">
  <location ref="B3:R24" firstHeaderRow="1" firstDataRow="4" firstDataCol="1"/>
  <pivotFields count="7">
    <pivotField dataField="1" subtotalTop="0" showAll="0" defaultSubtotal="0"/>
    <pivotField dataField="1" subtotalTop="0" showAll="0" defaultSubtotal="0"/>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3">
        <item x="0"/>
        <item x="1"/>
        <item x="2"/>
      </items>
    </pivotField>
    <pivotField axis="axisRow" allDrilled="1" subtotalTop="0" showAll="0" dataSourceSort="1" defaultSubtotal="0" defaultAttributeDrillState="1">
      <items count="17">
        <item x="0"/>
        <item x="1"/>
        <item x="2"/>
        <item x="3"/>
        <item x="4"/>
        <item x="5"/>
        <item x="6"/>
        <item x="7"/>
        <item x="8"/>
        <item x="9"/>
        <item x="10"/>
        <item x="11"/>
        <item x="12"/>
        <item x="13"/>
        <item x="14"/>
        <item x="15"/>
        <item x="16"/>
      </items>
    </pivotField>
    <pivotField dataField="1" subtotalTop="0" showAll="0" defaultSubtotal="0"/>
    <pivotField dataField="1" subtotalTop="0" showAll="0" defaultSubtotal="0"/>
  </pivotFields>
  <rowFields count="1">
    <field x="4"/>
  </rowFields>
  <rowItems count="18">
    <i>
      <x/>
    </i>
    <i>
      <x v="1"/>
    </i>
    <i>
      <x v="2"/>
    </i>
    <i>
      <x v="3"/>
    </i>
    <i>
      <x v="4"/>
    </i>
    <i>
      <x v="5"/>
    </i>
    <i>
      <x v="6"/>
    </i>
    <i>
      <x v="7"/>
    </i>
    <i>
      <x v="8"/>
    </i>
    <i>
      <x v="9"/>
    </i>
    <i>
      <x v="10"/>
    </i>
    <i>
      <x v="11"/>
    </i>
    <i>
      <x v="12"/>
    </i>
    <i>
      <x v="13"/>
    </i>
    <i>
      <x v="14"/>
    </i>
    <i>
      <x v="15"/>
    </i>
    <i>
      <x v="16"/>
    </i>
    <i t="grand">
      <x/>
    </i>
  </rowItems>
  <colFields count="3">
    <field x="2"/>
    <field x="3"/>
    <field x="-2"/>
  </colFields>
  <colItems count="16">
    <i>
      <x/>
      <x/>
      <x/>
    </i>
    <i r="2" i="1">
      <x v="1"/>
    </i>
    <i r="2" i="2">
      <x v="2"/>
    </i>
    <i r="2" i="3">
      <x v="3"/>
    </i>
    <i r="1">
      <x v="1"/>
      <x/>
    </i>
    <i r="2" i="1">
      <x v="1"/>
    </i>
    <i r="2" i="2">
      <x v="2"/>
    </i>
    <i r="2" i="3">
      <x v="3"/>
    </i>
    <i r="1">
      <x v="2"/>
      <x/>
    </i>
    <i r="2" i="1">
      <x v="1"/>
    </i>
    <i r="2" i="2">
      <x v="2"/>
    </i>
    <i r="2" i="3">
      <x v="3"/>
    </i>
    <i t="grand">
      <x/>
    </i>
    <i t="grand" i="1">
      <x/>
    </i>
    <i t="grand" i="2">
      <x/>
    </i>
    <i t="grand" i="3">
      <x/>
    </i>
  </colItems>
  <dataFields count="4">
    <dataField name="Somme de Demande_jour" fld="6" baseField="0" baseItem="0"/>
    <dataField name="Somme de Conso_kWh_PCI" fld="0" baseField="0" baseItem="0"/>
    <dataField name="Somme de Conso_kWh_DEET" fld="1" baseField="0" baseItem="0"/>
    <dataField name="Somme de Conso_kWhEP" fld="5" baseField="0" baseItem="0"/>
  </dataField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6"/>
  </rowHierarchiesUsage>
  <colHierarchiesUsage count="3">
    <colHierarchyUsage hierarchyUsage="8"/>
    <colHierarchyUsage hierarchyUsage="14"/>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conca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name="Tableau croisé dynamique4" cacheId="15" applyNumberFormats="0" applyBorderFormats="0" applyFontFormats="0" applyPatternFormats="0" applyAlignmentFormats="0" applyWidthHeightFormats="1" dataCaption="Valeurs" updatedVersion="7" minRefreshableVersion="3" useAutoFormatting="1" rowGrandTotals="0" itemPrintTitles="1" createdVersion="7" indent="0" outline="1" outlineData="1" multipleFieldFilters="0">
  <location ref="F27:F30" firstHeaderRow="1" firstDataRow="1" firstDataCol="1"/>
  <pivotFields count="4">
    <pivotField showAll="0"/>
    <pivotField axis="axisRow" showAll="0">
      <items count="101">
        <item h="1" x="0"/>
        <item h="1" x="1"/>
        <item h="1" x="2"/>
        <item h="1" x="3"/>
        <item h="1" x="5"/>
        <item h="1" x="6"/>
        <item h="1" x="7"/>
        <item h="1" x="8"/>
        <item h="1" x="9"/>
        <item h="1" x="10"/>
        <item h="1" x="11"/>
        <item h="1" x="66"/>
        <item h="1" x="12"/>
        <item h="1" x="13"/>
        <item h="1" x="14"/>
        <item h="1" x="15"/>
        <item h="1" x="16"/>
        <item h="1" x="17"/>
        <item h="1" x="18"/>
        <item h="1" x="19"/>
        <item h="1" x="20"/>
        <item x="21"/>
        <item h="1" x="22"/>
        <item h="1" x="78"/>
        <item h="1" x="23"/>
        <item h="1" x="24"/>
        <item h="1" x="25"/>
        <item h="1" x="90"/>
        <item h="1" x="26"/>
        <item h="1" x="27"/>
        <item h="1" x="28"/>
        <item h="1" x="29"/>
        <item h="1" x="31"/>
        <item h="1" x="32"/>
        <item h="1" x="95"/>
        <item h="1" x="96"/>
        <item h="1" x="30"/>
        <item h="1" x="42"/>
        <item h="1" x="51"/>
        <item h="1" x="4"/>
        <item h="1" x="69"/>
        <item h="1" x="73"/>
        <item h="1" x="64"/>
        <item h="1" x="86"/>
        <item h="1" x="67"/>
        <item h="1" x="91"/>
        <item h="1" x="33"/>
        <item h="1" x="34"/>
        <item h="1" x="35"/>
        <item h="1" x="36"/>
        <item h="1" x="37"/>
        <item h="1" x="38"/>
        <item h="1" x="97"/>
        <item h="1" x="39"/>
        <item h="1" x="41"/>
        <item h="1" x="43"/>
        <item h="1" x="44"/>
        <item h="1" x="40"/>
        <item h="1" x="45"/>
        <item h="1" x="46"/>
        <item h="1" x="47"/>
        <item h="1" x="48"/>
        <item h="1" x="49"/>
        <item h="1" x="50"/>
        <item h="1" x="98"/>
        <item h="1" x="52"/>
        <item h="1" x="99"/>
        <item h="1" x="53"/>
        <item h="1" x="54"/>
        <item h="1" x="55"/>
        <item h="1" x="56"/>
        <item h="1" x="57"/>
        <item h="1" x="58"/>
        <item h="1" x="59"/>
        <item h="1" x="60"/>
        <item h="1" x="74"/>
        <item h="1" x="61"/>
        <item h="1" x="62"/>
        <item h="1" x="63"/>
        <item h="1" x="65"/>
        <item h="1" x="68"/>
        <item h="1" x="70"/>
        <item h="1" x="71"/>
        <item h="1" x="72"/>
        <item h="1" x="76"/>
        <item h="1" x="75"/>
        <item h="1" x="92"/>
        <item h="1" x="79"/>
        <item h="1" x="80"/>
        <item h="1" x="81"/>
        <item h="1" x="89"/>
        <item h="1" x="94"/>
        <item h="1" x="93"/>
        <item h="1" x="82"/>
        <item h="1" x="83"/>
        <item h="1" x="84"/>
        <item h="1" x="85"/>
        <item h="1" x="87"/>
        <item h="1" x="88"/>
        <item h="1" x="77"/>
        <item t="default"/>
      </items>
    </pivotField>
    <pivotField axis="axisRow" showAll="0">
      <items count="14">
        <item x="8"/>
        <item x="9"/>
        <item x="1"/>
        <item x="4"/>
        <item x="0"/>
        <item x="7"/>
        <item x="6"/>
        <item x="5"/>
        <item x="2"/>
        <item x="3"/>
        <item x="11"/>
        <item x="12"/>
        <item x="10"/>
        <item t="default"/>
      </items>
    </pivotField>
    <pivotField axis="axisRow" showAll="0">
      <items count="15">
        <item h="1" x="0"/>
        <item h="1" x="9"/>
        <item x="10"/>
        <item h="1" x="7"/>
        <item h="1" x="8"/>
        <item h="1" x="3"/>
        <item h="1" x="1"/>
        <item h="1" x="12"/>
        <item h="1" x="5"/>
        <item h="1" x="6"/>
        <item h="1" x="4"/>
        <item h="1" x="13"/>
        <item h="1" x="11"/>
        <item h="1" x="2"/>
        <item t="default"/>
      </items>
    </pivotField>
  </pivotFields>
  <rowFields count="3">
    <field x="3"/>
    <field x="1"/>
    <field x="2"/>
  </rowFields>
  <rowItems count="3">
    <i>
      <x v="2"/>
    </i>
    <i r="1">
      <x v="21"/>
    </i>
    <i r="2">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eau croisé dynamique1" cacheId="14" applyNumberFormats="0" applyBorderFormats="0" applyFontFormats="0" applyPatternFormats="0" applyAlignmentFormats="0" applyWidthHeightFormats="1" dataCaption="Valeurs" updatedVersion="7" minRefreshableVersion="3" useAutoFormatting="1" rowGrandTotals="0" itemPrintTitles="1" createdVersion="6" indent="0" outline="1" outlineData="1" multipleFieldFilters="0">
  <location ref="O13:Q40" firstHeaderRow="0" firstDataRow="1" firstDataCol="1"/>
  <pivotFields count="6">
    <pivotField showAll="0"/>
    <pivotField axis="axisRow" showAll="0">
      <items count="28">
        <item x="0"/>
        <item x="1"/>
        <item x="2"/>
        <item x="3"/>
        <item x="4"/>
        <item x="5"/>
        <item x="6"/>
        <item x="7"/>
        <item x="8"/>
        <item x="9"/>
        <item x="10"/>
        <item x="11"/>
        <item x="12"/>
        <item x="13"/>
        <item x="14"/>
        <item x="15"/>
        <item x="16"/>
        <item x="17"/>
        <item x="18"/>
        <item x="19"/>
        <item x="20"/>
        <item x="21"/>
        <item x="22"/>
        <item x="23"/>
        <item x="24"/>
        <item x="26"/>
        <item x="25"/>
        <item t="default"/>
      </items>
    </pivotField>
    <pivotField showAll="0"/>
    <pivotField showAll="0"/>
    <pivotField dataField="1" showAll="0"/>
    <pivotField dataField="1" showAll="0"/>
  </pivotFields>
  <rowFields count="1">
    <field x="1"/>
  </rowFields>
  <rowItems count="27">
    <i>
      <x/>
    </i>
    <i>
      <x v="1"/>
    </i>
    <i>
      <x v="2"/>
    </i>
    <i>
      <x v="3"/>
    </i>
    <i>
      <x v="4"/>
    </i>
    <i>
      <x v="5"/>
    </i>
    <i>
      <x v="6"/>
    </i>
    <i>
      <x v="7"/>
    </i>
    <i>
      <x v="8"/>
    </i>
    <i>
      <x v="9"/>
    </i>
    <i>
      <x v="10"/>
    </i>
    <i>
      <x v="11"/>
    </i>
    <i>
      <x v="12"/>
    </i>
    <i>
      <x v="13"/>
    </i>
    <i>
      <x v="14"/>
    </i>
    <i>
      <x v="15"/>
    </i>
    <i>
      <x v="16"/>
    </i>
    <i>
      <x v="17"/>
    </i>
    <i>
      <x v="18"/>
    </i>
    <i>
      <x v="19"/>
    </i>
    <i>
      <x v="20"/>
    </i>
    <i>
      <x v="21"/>
    </i>
    <i>
      <x v="22"/>
    </i>
    <i>
      <x v="23"/>
    </i>
    <i>
      <x v="24"/>
    </i>
    <i>
      <x v="25"/>
    </i>
    <i>
      <x v="26"/>
    </i>
  </rowItems>
  <colFields count="1">
    <field x="-2"/>
  </colFields>
  <colItems count="2">
    <i>
      <x/>
    </i>
    <i i="1">
      <x v="1"/>
    </i>
  </colItems>
  <dataFields count="2">
    <dataField name="Nombre de DJU(chauffagiste)" fld="4" subtotal="count" baseField="1" baseItem="4"/>
    <dataField name="Nombre de DJU(climaticien)" fld="5" subtotal="count" baseField="1" baseItem="0"/>
  </dataFields>
  <formats count="5">
    <format dxfId="208">
      <pivotArea type="all" dataOnly="0" outline="0" fieldPosition="0"/>
    </format>
    <format dxfId="207">
      <pivotArea outline="0" collapsedLevelsAreSubtotals="1" fieldPosition="0"/>
    </format>
    <format dxfId="206">
      <pivotArea field="1" type="button" dataOnly="0" labelOnly="1" outline="0" axis="axisRow" fieldPosition="0"/>
    </format>
    <format dxfId="205">
      <pivotArea dataOnly="0" labelOnly="1" fieldPosition="0">
        <references count="1">
          <reference field="1" count="0"/>
        </references>
      </pivotArea>
    </format>
    <format dxfId="204">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eau croisé dynamique3" cacheId="14" applyNumberFormats="0" applyBorderFormats="0" applyFontFormats="0" applyPatternFormats="0" applyAlignmentFormats="0" applyWidthHeightFormats="1" dataCaption="Valeurs" updatedVersion="7" minRefreshableVersion="3" useAutoFormatting="1" itemPrintTitles="1" createdVersion="6" indent="0" outline="1" outlineData="1" multipleFieldFilters="0">
  <location ref="L13:M53" firstHeaderRow="1" firstDataRow="1" firstDataCol="1"/>
  <pivotFields count="6">
    <pivotField showAll="0"/>
    <pivotField axis="axisRow" showAll="0">
      <items count="28">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x="24"/>
        <item sd="0" x="26"/>
        <item sd="0" x="25"/>
        <item t="default" sd="0"/>
      </items>
    </pivotField>
    <pivotField axis="axisRow" showAll="0">
      <items count="18">
        <item x="0"/>
        <item x="2"/>
        <item x="3"/>
        <item x="4"/>
        <item x="5"/>
        <item x="6"/>
        <item x="7"/>
        <item x="8"/>
        <item x="9"/>
        <item x="10"/>
        <item x="11"/>
        <item x="1"/>
        <item x="12"/>
        <item m="1" x="16"/>
        <item m="1" x="13"/>
        <item m="1" x="15"/>
        <item m="1" x="14"/>
        <item t="default"/>
      </items>
    </pivotField>
    <pivotField axis="axisRow" showAll="0">
      <items count="14">
        <item sd="0" x="0"/>
        <item sd="0" x="1"/>
        <item sd="0" x="2"/>
        <item sd="0" x="3"/>
        <item sd="0" x="4"/>
        <item sd="0" x="5"/>
        <item sd="0" x="6"/>
        <item sd="0" x="7"/>
        <item sd="0" x="8"/>
        <item sd="0" x="9"/>
        <item sd="0" x="10"/>
        <item sd="0" x="11"/>
        <item x="12"/>
        <item t="default"/>
      </items>
    </pivotField>
    <pivotField showAll="0"/>
    <pivotField dataField="1" showAll="0"/>
  </pivotFields>
  <rowFields count="3">
    <field x="1"/>
    <field x="3"/>
    <field x="2"/>
  </rowFields>
  <rowItems count="40">
    <i>
      <x/>
    </i>
    <i>
      <x v="1"/>
    </i>
    <i>
      <x v="2"/>
    </i>
    <i>
      <x v="3"/>
    </i>
    <i>
      <x v="4"/>
    </i>
    <i>
      <x v="5"/>
    </i>
    <i>
      <x v="6"/>
    </i>
    <i>
      <x v="7"/>
    </i>
    <i>
      <x v="8"/>
    </i>
    <i>
      <x v="9"/>
    </i>
    <i>
      <x v="10"/>
    </i>
    <i>
      <x v="11"/>
    </i>
    <i>
      <x v="12"/>
    </i>
    <i>
      <x v="13"/>
    </i>
    <i>
      <x v="14"/>
    </i>
    <i>
      <x v="15"/>
    </i>
    <i>
      <x v="16"/>
    </i>
    <i>
      <x v="17"/>
    </i>
    <i>
      <x v="18"/>
    </i>
    <i>
      <x v="19"/>
    </i>
    <i>
      <x v="20"/>
    </i>
    <i>
      <x v="21"/>
    </i>
    <i>
      <x v="22"/>
    </i>
    <i>
      <x v="23"/>
    </i>
    <i>
      <x v="24"/>
    </i>
    <i r="1">
      <x/>
    </i>
    <i r="1">
      <x v="1"/>
    </i>
    <i r="1">
      <x v="2"/>
    </i>
    <i r="1">
      <x v="3"/>
    </i>
    <i r="1">
      <x v="4"/>
    </i>
    <i r="1">
      <x v="5"/>
    </i>
    <i r="1">
      <x v="6"/>
    </i>
    <i r="1">
      <x v="7"/>
    </i>
    <i r="1">
      <x v="8"/>
    </i>
    <i r="1">
      <x v="9"/>
    </i>
    <i r="1">
      <x v="10"/>
    </i>
    <i r="1">
      <x v="11"/>
    </i>
    <i>
      <x v="25"/>
    </i>
    <i>
      <x v="26"/>
    </i>
    <i t="grand">
      <x/>
    </i>
  </rowItems>
  <colItems count="1">
    <i/>
  </colItems>
  <dataFields count="1">
    <dataField name="Somme de DJU(climaticien)" fld="5" baseField="0" baseItem="0"/>
  </dataFields>
  <formats count="7">
    <format dxfId="215">
      <pivotArea type="all" dataOnly="0" outline="0" fieldPosition="0"/>
    </format>
    <format dxfId="214">
      <pivotArea outline="0" collapsedLevelsAreSubtotals="1" fieldPosition="0"/>
    </format>
    <format dxfId="213">
      <pivotArea field="1" type="button" dataOnly="0" labelOnly="1" outline="0" axis="axisRow" fieldPosition="0"/>
    </format>
    <format dxfId="212">
      <pivotArea dataOnly="0" labelOnly="1" fieldPosition="0">
        <references count="1">
          <reference field="1" count="0"/>
        </references>
      </pivotArea>
    </format>
    <format dxfId="211">
      <pivotArea dataOnly="0" labelOnly="1" grandRow="1" outline="0" fieldPosition="0"/>
    </format>
    <format dxfId="210">
      <pivotArea dataOnly="0" labelOnly="1" fieldPosition="0">
        <references count="2">
          <reference field="1" count="1" selected="0">
            <x v="24"/>
          </reference>
          <reference field="3" count="12">
            <x v="0"/>
            <x v="1"/>
            <x v="2"/>
            <x v="3"/>
            <x v="4"/>
            <x v="5"/>
            <x v="6"/>
            <x v="7"/>
            <x v="8"/>
            <x v="9"/>
            <x v="10"/>
            <x v="11"/>
          </reference>
        </references>
      </pivotArea>
    </format>
    <format dxfId="20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eau croisé dynamique2" cacheId="14" applyNumberFormats="0" applyBorderFormats="0" applyFontFormats="0" applyPatternFormats="0" applyAlignmentFormats="0" applyWidthHeightFormats="1" dataCaption="Valeurs" updatedVersion="7" minRefreshableVersion="3" useAutoFormatting="1" itemPrintTitles="1" createdVersion="6" indent="0" outline="1" outlineData="1" multipleFieldFilters="0">
  <location ref="H13:I60" firstHeaderRow="1" firstDataRow="1" firstDataCol="1"/>
  <pivotFields count="6">
    <pivotField showAll="0"/>
    <pivotField axis="axisRow" showAll="0">
      <items count="28">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x="24"/>
        <item x="26"/>
        <item x="25"/>
        <item t="default" sd="0"/>
      </items>
    </pivotField>
    <pivotField axis="axisRow" showAll="0">
      <items count="18">
        <item x="0"/>
        <item x="2"/>
        <item x="3"/>
        <item x="4"/>
        <item x="5"/>
        <item m="1" x="16"/>
        <item m="1" x="13"/>
        <item m="1" x="15"/>
        <item m="1" x="14"/>
        <item x="6"/>
        <item x="7"/>
        <item x="8"/>
        <item x="9"/>
        <item x="10"/>
        <item x="11"/>
        <item x="1"/>
        <item x="12"/>
        <item t="default"/>
      </items>
    </pivotField>
    <pivotField axis="axisRow" showAll="0">
      <items count="14">
        <item sd="0" x="0"/>
        <item sd="0" x="1"/>
        <item sd="0" x="2"/>
        <item sd="0" x="3"/>
        <item sd="0" x="4"/>
        <item sd="0" x="5"/>
        <item sd="0" x="6"/>
        <item sd="0" x="7"/>
        <item sd="0" x="8"/>
        <item sd="0" x="9"/>
        <item sd="0" x="10"/>
        <item sd="0" x="11"/>
        <item x="12"/>
        <item t="default"/>
      </items>
    </pivotField>
    <pivotField dataField="1" showAll="0"/>
    <pivotField showAll="0"/>
  </pivotFields>
  <rowFields count="3">
    <field x="1"/>
    <field x="3"/>
    <field x="2"/>
  </rowFields>
  <rowItems count="47">
    <i>
      <x/>
    </i>
    <i>
      <x v="1"/>
    </i>
    <i>
      <x v="2"/>
    </i>
    <i>
      <x v="3"/>
    </i>
    <i>
      <x v="4"/>
    </i>
    <i>
      <x v="5"/>
    </i>
    <i>
      <x v="6"/>
    </i>
    <i>
      <x v="7"/>
    </i>
    <i>
      <x v="8"/>
    </i>
    <i>
      <x v="9"/>
    </i>
    <i>
      <x v="10"/>
    </i>
    <i>
      <x v="11"/>
    </i>
    <i>
      <x v="12"/>
    </i>
    <i>
      <x v="13"/>
    </i>
    <i>
      <x v="14"/>
    </i>
    <i>
      <x v="15"/>
    </i>
    <i>
      <x v="16"/>
    </i>
    <i>
      <x v="17"/>
    </i>
    <i>
      <x v="18"/>
    </i>
    <i>
      <x v="19"/>
    </i>
    <i>
      <x v="20"/>
    </i>
    <i>
      <x v="21"/>
    </i>
    <i>
      <x v="22"/>
    </i>
    <i>
      <x v="23"/>
    </i>
    <i>
      <x v="24"/>
    </i>
    <i r="1">
      <x/>
    </i>
    <i r="1">
      <x v="1"/>
    </i>
    <i r="1">
      <x v="2"/>
    </i>
    <i r="1">
      <x v="3"/>
    </i>
    <i r="1">
      <x v="4"/>
    </i>
    <i r="1">
      <x v="5"/>
    </i>
    <i r="1">
      <x v="6"/>
    </i>
    <i r="1">
      <x v="7"/>
    </i>
    <i r="1">
      <x v="8"/>
    </i>
    <i r="1">
      <x v="9"/>
    </i>
    <i r="1">
      <x v="10"/>
    </i>
    <i r="1">
      <x v="11"/>
    </i>
    <i>
      <x v="25"/>
    </i>
    <i r="1">
      <x v="12"/>
    </i>
    <i r="2">
      <x v="16"/>
    </i>
    <i>
      <x v="26"/>
    </i>
    <i r="1">
      <x/>
    </i>
    <i r="1">
      <x v="1"/>
    </i>
    <i r="1">
      <x v="2"/>
    </i>
    <i r="1">
      <x v="3"/>
    </i>
    <i r="1">
      <x v="4"/>
    </i>
    <i t="grand">
      <x/>
    </i>
  </rowItems>
  <colItems count="1">
    <i/>
  </colItems>
  <dataFields count="1">
    <dataField name="Somme de DJU(chauffagiste)" fld="4" baseField="0" baseItem="0"/>
  </dataFields>
  <formats count="10">
    <format dxfId="225">
      <pivotArea type="all" dataOnly="0" outline="0" fieldPosition="0"/>
    </format>
    <format dxfId="224">
      <pivotArea outline="0" collapsedLevelsAreSubtotals="1" fieldPosition="0"/>
    </format>
    <format dxfId="223">
      <pivotArea field="1" type="button" dataOnly="0" labelOnly="1" outline="0" axis="axisRow" fieldPosition="0"/>
    </format>
    <format dxfId="222">
      <pivotArea dataOnly="0" labelOnly="1" fieldPosition="0">
        <references count="1">
          <reference field="1" count="0"/>
        </references>
      </pivotArea>
    </format>
    <format dxfId="221">
      <pivotArea dataOnly="0" labelOnly="1" grandRow="1" outline="0" fieldPosition="0"/>
    </format>
    <format dxfId="220">
      <pivotArea dataOnly="0" labelOnly="1" fieldPosition="0">
        <references count="2">
          <reference field="1" count="1" selected="0">
            <x v="24"/>
          </reference>
          <reference field="3" count="12">
            <x v="0"/>
            <x v="1"/>
            <x v="2"/>
            <x v="3"/>
            <x v="4"/>
            <x v="5"/>
            <x v="6"/>
            <x v="7"/>
            <x v="8"/>
            <x v="9"/>
            <x v="10"/>
            <x v="11"/>
          </reference>
        </references>
      </pivotArea>
    </format>
    <format dxfId="219">
      <pivotArea dataOnly="0" labelOnly="1" fieldPosition="0">
        <references count="2">
          <reference field="1" count="1" selected="0">
            <x v="25"/>
          </reference>
          <reference field="3" count="1">
            <x v="12"/>
          </reference>
        </references>
      </pivotArea>
    </format>
    <format dxfId="218">
      <pivotArea dataOnly="0" labelOnly="1" fieldPosition="0">
        <references count="2">
          <reference field="1" count="1" selected="0">
            <x v="26"/>
          </reference>
          <reference field="3" count="2">
            <x v="0"/>
            <x v="1"/>
          </reference>
        </references>
      </pivotArea>
    </format>
    <format dxfId="217">
      <pivotArea dataOnly="0" labelOnly="1" fieldPosition="0">
        <references count="3">
          <reference field="1" count="1" selected="0">
            <x v="25"/>
          </reference>
          <reference field="2" count="1">
            <x v="16"/>
          </reference>
          <reference field="3" count="1" selected="0">
            <x v="12"/>
          </reference>
        </references>
      </pivotArea>
    </format>
    <format dxfId="21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eau croisé dynamique1" cacheId="11" applyNumberFormats="0" applyBorderFormats="0" applyFontFormats="0" applyPatternFormats="0" applyAlignmentFormats="0" applyWidthHeightFormats="1" dataCaption="Valeurs" tag="14900a23-513b-4c7c-8d5c-83267f78b9b7" updatedVersion="7" minRefreshableVersion="3" useAutoFormatting="1" subtotalHiddenItems="1" itemPrintTitles="1" createdVersion="7" indent="0" outline="1" outlineData="1" multipleFieldFilters="0" chartFormat="4">
  <location ref="C46:D52" firstHeaderRow="1" firstDataRow="1" firstDataCol="1" rowPageCount="4" colPageCount="1"/>
  <pivotFields count="10">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dataSourceSort="1" defaultSubtotal="0" defaultAttributeDrillState="1">
      <items count="1">
        <item x="0"/>
      </items>
    </pivotField>
    <pivotField dataField="1" subtotalTop="0" showAll="0" defaultSubtotal="0"/>
    <pivotField allDrilled="1" subtotalTop="0" showAll="0" dataSourceSort="1" defaultSubtotal="0" defaultAttributeDrillState="1"/>
    <pivotField axis="axisRow" allDrilled="1" subtotalTop="0" showAll="0" dataSourceSort="1" defaultSubtotal="0" defaultAttributeDrillState="1">
      <items count="1">
        <item s="1" x="0"/>
      </items>
    </pivotField>
    <pivotField axis="axisRow" allDrilled="1" subtotalTop="0" showAll="0" dataSourceSort="1" defaultSubtotal="0" defaultAttributeDrillState="1">
      <items count="1">
        <item s="1" x="0"/>
      </items>
    </pivotField>
    <pivotField axis="axisRow" allDrilled="1" subtotalTop="0" showAll="0" dataSourceSort="1" defaultSubtotal="0" defaultAttributeDrillState="1">
      <items count="2">
        <item s="1" x="0"/>
        <item s="1" x="1"/>
      </items>
    </pivotField>
  </pivotFields>
  <rowFields count="4">
    <field x="8"/>
    <field x="7"/>
    <field x="4"/>
    <field x="9"/>
  </rowFields>
  <rowItems count="6">
    <i>
      <x/>
    </i>
    <i r="1">
      <x/>
    </i>
    <i r="2">
      <x/>
    </i>
    <i r="3">
      <x/>
    </i>
    <i r="3">
      <x v="1"/>
    </i>
    <i t="grand">
      <x/>
    </i>
  </rowItems>
  <colItems count="1">
    <i/>
  </colItems>
  <pageFields count="4">
    <pageField fld="0" hier="16" name="[Tab_concat].[Annee].&amp;[2025]" cap="2025"/>
    <pageField fld="1" hier="8" name="[Tab_concat].[Type].[All]" cap="All"/>
    <pageField fld="2" hier="9" name="[Tab_concat].[Source].[All]" cap="All"/>
    <pageField fld="3" hier="17" name="[Tab_concat].[Mois].[All]" cap="All"/>
  </pageFields>
  <dataFields count="1">
    <dataField name="Moyenne de Conso_kWh_PCI" fld="5" subtotal="average" baseField="0" baseItem="0"/>
  </dataFields>
  <chartFormats count="3">
    <chartFormat chart="1"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0"/>
          </reference>
        </references>
      </pivotArea>
    </chartFormat>
    <chartFormat chart="3" format="4" series="1">
      <pivotArea type="data" outline="0" fieldPosition="0">
        <references count="1">
          <reference field="4294967294" count="1" selected="0">
            <x v="0"/>
          </reference>
        </references>
      </pivotArea>
    </chartFormat>
  </chartFormat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multipleItemSelectionAllowed="1" dragToData="1">
      <members count="1" level="1">
        <member name="[Tab_concat].[Nom].&amp;[Fioul]"/>
      </members>
    </pivotHierarchy>
    <pivotHierarchy dragToData="1"/>
    <pivotHierarchy dragToData="1"/>
    <pivotHierarchy multipleItemSelectionAllowed="1" dragToData="1">
      <members count="1" level="1">
        <member name="[Tab_concat].[Annee].&amp;[2025]"/>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caption="Moyenne de Conso_kWh_PCI"/>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4">
    <rowHierarchyUsage hierarchyUsage="27"/>
    <rowHierarchyUsage hierarchyUsage="28"/>
    <rowHierarchyUsage hierarchyUsage="14"/>
    <rowHierarchyUsage hierarchyUsage="2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concat]"/>
        <x15:activeTabTopLevelEntity name="[Tableau_type]"/>
        <x15:activeTabTopLevelEntity name="[Tableau_source]"/>
        <x15:activeTabTopLevelEntity name="[Tableau_mois]"/>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name="TCD_Conso_annuel" cacheId="12" applyNumberFormats="0" applyBorderFormats="0" applyFontFormats="0" applyPatternFormats="0" applyAlignmentFormats="0" applyWidthHeightFormats="1" dataCaption="Valeurs" tag="ed477c81-67bc-4317-be4f-446a8df08bdd" updatedVersion="7" minRefreshableVersion="3" useAutoFormatting="1" subtotalHiddenItems="1" itemPrintTitles="1" createdVersion="7" indent="0" outline="1" outlineData="1" multipleFieldFilters="0" chartFormat="5">
  <location ref="C5:D11" firstHeaderRow="1" firstDataRow="1" firstDataCol="1" rowPageCount="1" colPageCount="1"/>
  <pivotFields count="7">
    <pivotField axis="axisRow" allDrilled="1" subtotalTop="0" showAll="0" dataSourceSort="1" defaultSubtotal="0" defaultAttributeDrillState="1">
      <items count="2">
        <item x="0"/>
        <item x="1"/>
      </items>
    </pivotField>
    <pivotField dataField="1" subtotalTop="0" showAll="0" defaultSubtotal="0"/>
    <pivotField axis="axisPage" allDrilled="1" subtotalTop="0" showAll="0" dataSourceSort="1" defaultSubtotal="0" defaultAttributeDrillState="1"/>
    <pivotField axis="axisRow" allDrilled="1" subtotalTop="0" showAll="0" dataSourceSort="1" defaultSubtotal="0" defaultAttributeDrillState="1">
      <items count="1">
        <item s="1" x="0"/>
      </items>
    </pivotField>
    <pivotField axis="axisRow" allDrilled="1" subtotalTop="0" showAll="0" dataSourceSort="1" defaultSubtotal="0" defaultAttributeDrillState="1">
      <items count="2">
        <item s="1" x="0"/>
        <item s="1" x="1"/>
      </items>
    </pivotField>
    <pivotField allDrilled="1" subtotalTop="0" showAll="0" dataSourceSort="1" defaultSubtotal="0" defaultAttributeDrillState="1"/>
    <pivotField allDrilled="1" subtotalTop="0" showAll="0" dataSourceSort="1" defaultSubtotal="0" defaultAttributeDrillState="1"/>
  </pivotFields>
  <rowFields count="3">
    <field x="3"/>
    <field x="4"/>
    <field x="0"/>
  </rowFields>
  <rowItems count="6">
    <i>
      <x/>
    </i>
    <i r="1">
      <x/>
    </i>
    <i r="2">
      <x/>
    </i>
    <i r="1">
      <x v="1"/>
    </i>
    <i r="2">
      <x v="1"/>
    </i>
    <i t="grand">
      <x/>
    </i>
  </rowItems>
  <colItems count="1">
    <i/>
  </colItems>
  <pageFields count="1">
    <pageField fld="2" hier="16" name="[Tab_concat].[Annee].&amp;[2025]" cap="2025"/>
  </pageFields>
  <dataFields count="1">
    <dataField name="Somme de Conso_kWh_PCI" fld="1" baseField="0" baseItem="0"/>
  </dataFields>
  <chartFormats count="6">
    <chartFormat chart="1"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0"/>
          </reference>
        </references>
      </pivotArea>
    </chartFormat>
    <chartFormat chart="3" format="4" series="1">
      <pivotArea type="data" outline="0" fieldPosition="0">
        <references count="1">
          <reference field="4294967294" count="1" selected="0">
            <x v="0"/>
          </reference>
        </references>
      </pivotArea>
    </chartFormat>
    <chartFormat chart="3" format="19">
      <pivotArea type="data" outline="0" fieldPosition="0">
        <references count="3">
          <reference field="4294967294" count="1" selected="0">
            <x v="0"/>
          </reference>
          <reference field="0" count="1" selected="0">
            <x v="1"/>
          </reference>
          <reference field="3" count="1" selected="0">
            <x v="0"/>
          </reference>
        </references>
      </pivotArea>
    </chartFormat>
    <chartFormat chart="3" format="21">
      <pivotArea type="data" outline="0" fieldPosition="0">
        <references count="4">
          <reference field="4294967294" count="1" selected="0">
            <x v="0"/>
          </reference>
          <reference field="0" count="1" selected="0">
            <x v="1"/>
          </reference>
          <reference field="3" count="1" selected="0">
            <x v="0"/>
          </reference>
          <reference field="4" count="1" selected="0">
            <x v="1"/>
          </reference>
        </references>
      </pivotArea>
    </chartFormat>
    <chartFormat chart="3" format="30">
      <pivotArea type="data" outline="0" fieldPosition="0">
        <references count="4">
          <reference field="4294967294" count="1" selected="0">
            <x v="0"/>
          </reference>
          <reference field="0" count="1" selected="0">
            <x v="0"/>
          </reference>
          <reference field="3" count="1" selected="0">
            <x v="0"/>
          </reference>
          <reference field="4" count="1" selected="0">
            <x v="0"/>
          </reference>
        </references>
      </pivotArea>
    </chartFormat>
  </chartFormat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2" level="1">
        <member name="[Tab_concat].[Source].&amp;[Chaleur]"/>
        <member name="[Tab_concat].[Source].&amp;[Electricité]"/>
      </members>
    </pivotHierarchy>
    <pivotHierarchy dragToData="1"/>
    <pivotHierarchy dragToData="1"/>
    <pivotHierarchy dragToData="1"/>
    <pivotHierarchy dragToData="1"/>
    <pivotHierarchy dragToData="1"/>
    <pivotHierarchy dragToData="1"/>
    <pivotHierarchy multipleItemSelectionAllowed="1" dragToData="1">
      <members count="1" level="1">
        <member name="[Tab_concat].[Annee].&amp;[2025]"/>
      </members>
    </pivotHierarchy>
    <pivotHierarchy dragToData="1"/>
    <pivotHierarchy dragToData="1"/>
    <pivotHierarchy dragToData="1"/>
    <pivotHierarchy dragToData="1"/>
    <pivotHierarchy dragToData="1"/>
    <pivotHierarchy dragToData="1"/>
    <pivotHierarchy dragToData="1"/>
    <pivotHierarchy dragToData="1"/>
    <pivotHierarchy dragToData="1">
      <members count="14" level="1">
        <member name="[Tableau_combustible].[Combustible].&amp;[Gaz butane (m3)]"/>
        <member name="[Tableau_combustible].[Combustible].&amp;[Gaz naturel (m3)]"/>
        <member name="[Tableau_combustible].[Combustible].&amp;[Gaz propane (m3)]"/>
        <member name="[Tableau_combustible].[Combustible].&amp;[Electricité (kWh)]"/>
        <member name="[Tableau_combustible].[Combustible].&amp;[Gaz naturel (kWh)]"/>
        <member name="[Tableau_combustible].[Combustible].&amp;[Gaz butane (litres)]"/>
        <member name="[Tableau_combustible].[Combustible].&amp;[Gaz butane (tonnes)]"/>
        <member name="[Tableau_combustible].[Combustible].&amp;[Gaz propane (tonnes)]"/>
        <member name="[Tableau_combustible].[Combustible].&amp;[Pompe A Chaleur (kWh)]"/>
        <member name="[Tableau_combustible].[Combustible].&amp;[Bois - Bûches (stères)]"/>
        <member name="[Tableau_combustible].[Combustible].&amp;[Réseau de chaleur (kWh)]"/>
        <member name="[Tableau_combustible].[Combustible].&amp;[Bois - Granulés (tonnes)]"/>
        <member name="[Tableau_combustible].[Combustible].&amp;[Fioul domestique (litres)]"/>
        <member name="[Tableau_combustible].[Combustible].&amp;[Bois - Plaquettes (tonnes)]"/>
      </members>
    </pivotHierarchy>
    <pivotHierarchy dragToData="1"/>
    <pivotHierarchy dragToData="1">
      <members count="3" level="1">
        <member name="[Tableau_source].[Source].&amp;"/>
        <member name=""/>
        <member nam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3">
    <rowHierarchyUsage hierarchyUsage="28"/>
    <rowHierarchyUsage hierarchyUsage="27"/>
    <rowHierarchyUsage hierarchyUsage="1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concat]"/>
        <x15:activeTabTopLevelEntity name="[Tableau_type]"/>
        <x15:activeTabTopLevelEntity name="[Tableau_sourc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name="TCD_Cout_annuel" cacheId="9" applyNumberFormats="0" applyBorderFormats="0" applyFontFormats="0" applyPatternFormats="0" applyAlignmentFormats="0" applyWidthHeightFormats="1" dataCaption="Valeurs" tag="a161e780-723f-477a-8e70-a9ab8ee8fd73" updatedVersion="7" minRefreshableVersion="3" useAutoFormatting="1" subtotalHiddenItems="1" itemPrintTitles="1" createdVersion="7" indent="0" outline="1" outlineData="1" multipleFieldFilters="0" chartFormat="8">
  <location ref="H5:I13" firstHeaderRow="1" firstDataRow="1" firstDataCol="1" rowPageCount="1" colPageCount="1"/>
  <pivotFields count="5">
    <pivotField axis="axisRow" allDrilled="1" subtotalTop="0" showAll="0" dataSourceSort="1" defaultSubtotal="0" defaultAttributeDrillState="1">
      <items count="3">
        <item x="0"/>
        <item x="1"/>
        <item x="2"/>
      </items>
    </pivotField>
    <pivotField axis="axisPage" allDrilled="1" subtotalTop="0" showAll="0" dataSourceSort="1" defaultSubtotal="0" defaultAttributeDrillState="1"/>
    <pivotField dataField="1" subtotalTop="0" showAll="0" defaultSubtotal="0"/>
    <pivotField axis="axisRow" allDrilled="1" subtotalTop="0" showAll="0" dataSourceSort="1" defaultSubtotal="0" defaultAttributeDrillState="1">
      <items count="1">
        <item s="1" x="0"/>
      </items>
    </pivotField>
    <pivotField axis="axisRow" allDrilled="1" subtotalTop="0" showAll="0" dataSourceSort="1" defaultSubtotal="0" defaultAttributeDrillState="1">
      <items count="3">
        <item s="1" x="0"/>
        <item s="1" x="1"/>
        <item s="1" x="2"/>
      </items>
    </pivotField>
  </pivotFields>
  <rowFields count="3">
    <field x="3"/>
    <field x="4"/>
    <field x="0"/>
  </rowFields>
  <rowItems count="8">
    <i>
      <x/>
    </i>
    <i r="1">
      <x/>
    </i>
    <i r="2">
      <x/>
    </i>
    <i r="1">
      <x v="1"/>
    </i>
    <i r="2">
      <x v="1"/>
    </i>
    <i r="1">
      <x v="2"/>
    </i>
    <i r="2">
      <x v="2"/>
    </i>
    <i t="grand">
      <x/>
    </i>
  </rowItems>
  <colItems count="1">
    <i/>
  </colItems>
  <pageFields count="1">
    <pageField fld="1" hier="16" name="[Tab_concat].[Annee].&amp;[2025]" cap="2025"/>
  </pageFields>
  <dataFields count="1">
    <dataField name="Somme de Cout_jour" fld="2" baseField="0" baseItem="0"/>
  </dataFields>
  <chartFormats count="5">
    <chartFormat chart="6" format="4" series="1">
      <pivotArea type="data" outline="0" fieldPosition="0">
        <references count="1">
          <reference field="4294967294" count="1" selected="0">
            <x v="0"/>
          </reference>
        </references>
      </pivotArea>
    </chartFormat>
    <chartFormat chart="6" format="21">
      <pivotArea type="data" outline="0" fieldPosition="0">
        <references count="3">
          <reference field="4294967294" count="1" selected="0">
            <x v="0"/>
          </reference>
          <reference field="0" count="1" selected="0">
            <x v="2"/>
          </reference>
          <reference field="3" count="1" selected="0">
            <x v="0"/>
          </reference>
        </references>
      </pivotArea>
    </chartFormat>
    <chartFormat chart="6" format="23">
      <pivotArea type="data" outline="0" fieldPosition="0">
        <references count="4">
          <reference field="4294967294" count="1" selected="0">
            <x v="0"/>
          </reference>
          <reference field="0" count="1" selected="0">
            <x v="2"/>
          </reference>
          <reference field="3" count="1" selected="0">
            <x v="0"/>
          </reference>
          <reference field="4" count="1" selected="0">
            <x v="2"/>
          </reference>
        </references>
      </pivotArea>
    </chartFormat>
    <chartFormat chart="6" format="33">
      <pivotArea type="data" outline="0" fieldPosition="0">
        <references count="4">
          <reference field="4294967294" count="1" selected="0">
            <x v="0"/>
          </reference>
          <reference field="0" count="1" selected="0">
            <x v="0"/>
          </reference>
          <reference field="3" count="1" selected="0">
            <x v="0"/>
          </reference>
          <reference field="4" count="1" selected="0">
            <x v="0"/>
          </reference>
        </references>
      </pivotArea>
    </chartFormat>
    <chartFormat chart="6" format="34">
      <pivotArea type="data" outline="0" fieldPosition="0">
        <references count="4">
          <reference field="4294967294" count="1" selected="0">
            <x v="0"/>
          </reference>
          <reference field="0" count="1" selected="0">
            <x v="1"/>
          </reference>
          <reference field="3" count="1" selected="0">
            <x v="0"/>
          </reference>
          <reference field="4" count="1" selected="0">
            <x v="1"/>
          </reference>
        </references>
      </pivotArea>
    </chartFormat>
  </chartFormats>
  <pivotHierarchies count="63">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multipleItemSelectionAllowed="1" dragToData="1">
      <members count="1" level="1">
        <member name="[Tab_concat].[Annee].&amp;[2025]"/>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3">
    <rowHierarchyUsage hierarchyUsage="28"/>
    <rowHierarchyUsage hierarchyUsage="27"/>
    <rowHierarchyUsage hierarchyUsage="1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concat]"/>
        <x15:activeTabTopLevelEntity name="[Tableau_type]"/>
        <x15:activeTabTopLevelEntity name="[Tableau_source]"/>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egment_Département1" sourceName="Département">
  <pivotTables>
    <pivotTable tabId="54" name="Tableau croisé dynamique4"/>
  </pivotTables>
  <data>
    <tabular pivotCacheId="902497723">
      <items count="100">
        <i x="21" s="1"/>
        <i x="28"/>
        <i x="34"/>
        <i x="55"/>
        <i x="0" nd="1"/>
        <i x="1" nd="1"/>
        <i x="2" nd="1"/>
        <i x="3" nd="1"/>
        <i x="5" nd="1"/>
        <i x="6" nd="1"/>
        <i x="7" nd="1"/>
        <i x="8" nd="1"/>
        <i x="9" nd="1"/>
        <i x="10" nd="1"/>
        <i x="11" nd="1"/>
        <i x="66" nd="1"/>
        <i x="12" nd="1"/>
        <i x="13" nd="1"/>
        <i x="14" nd="1"/>
        <i x="15" nd="1"/>
        <i x="16" nd="1"/>
        <i x="17" nd="1"/>
        <i x="18" nd="1"/>
        <i x="19" nd="1"/>
        <i x="20" nd="1"/>
        <i x="22" nd="1"/>
        <i x="78" nd="1"/>
        <i x="23" nd="1"/>
        <i x="24" nd="1"/>
        <i x="25" nd="1"/>
        <i x="90" nd="1"/>
        <i x="26" nd="1"/>
        <i x="27" nd="1"/>
        <i x="29" nd="1"/>
        <i x="31" nd="1"/>
        <i x="32" nd="1"/>
        <i x="95" nd="1"/>
        <i x="96" nd="1"/>
        <i x="30" nd="1"/>
        <i x="42" nd="1"/>
        <i x="51" nd="1"/>
        <i x="4" nd="1"/>
        <i x="69" nd="1"/>
        <i x="73" nd="1"/>
        <i x="64" nd="1"/>
        <i x="86" nd="1"/>
        <i x="67" nd="1"/>
        <i x="91" nd="1"/>
        <i x="33" nd="1"/>
        <i x="35" nd="1"/>
        <i x="36" nd="1"/>
        <i x="37" nd="1"/>
        <i x="38" nd="1"/>
        <i x="97" nd="1"/>
        <i x="39" nd="1"/>
        <i x="41" nd="1"/>
        <i x="43" nd="1"/>
        <i x="44" nd="1"/>
        <i x="40" nd="1"/>
        <i x="45" nd="1"/>
        <i x="46" nd="1"/>
        <i x="47" nd="1"/>
        <i x="48" nd="1"/>
        <i x="49" nd="1"/>
        <i x="50" nd="1"/>
        <i x="98" nd="1"/>
        <i x="52" nd="1"/>
        <i x="99" nd="1"/>
        <i x="53" nd="1"/>
        <i x="54" nd="1"/>
        <i x="56" nd="1"/>
        <i x="57" nd="1"/>
        <i x="58" nd="1"/>
        <i x="59" nd="1"/>
        <i x="60" nd="1"/>
        <i x="74" nd="1"/>
        <i x="61" nd="1"/>
        <i x="62" nd="1"/>
        <i x="63" nd="1"/>
        <i x="65" nd="1"/>
        <i x="68" nd="1"/>
        <i x="70" nd="1"/>
        <i x="71" nd="1"/>
        <i x="72" nd="1"/>
        <i x="76" nd="1"/>
        <i x="75" nd="1"/>
        <i x="92" nd="1"/>
        <i x="79" nd="1"/>
        <i x="80" nd="1"/>
        <i x="81" nd="1"/>
        <i x="89" nd="1"/>
        <i x="94" nd="1"/>
        <i x="93" nd="1"/>
        <i x="82" nd="1"/>
        <i x="83" nd="1"/>
        <i x="84" nd="1"/>
        <i x="85" nd="1"/>
        <i x="87" nd="1"/>
        <i x="88" nd="1"/>
        <i x="77"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egment_Region1" sourceName="Region">
  <pivotTables>
    <pivotTable tabId="54" name="Tableau croisé dynamique4"/>
  </pivotTables>
  <data>
    <tabular pivotCacheId="902497723">
      <items count="14">
        <i x="10" s="1"/>
        <i x="0" nd="1"/>
        <i x="9" nd="1"/>
        <i x="7" nd="1"/>
        <i x="8" nd="1"/>
        <i x="3" nd="1"/>
        <i x="1" nd="1"/>
        <i x="12" nd="1"/>
        <i x="5" nd="1"/>
        <i x="6" nd="1"/>
        <i x="4" nd="1"/>
        <i x="13" nd="1"/>
        <i x="11" nd="1"/>
        <i x="2"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egment_Annee" sourceName="[Tab_concat].[Annee]">
  <pivotTables>
    <pivotTable tabId="24" name="TCD_Conso_annuel"/>
    <pivotTable tabId="24" name="TCD_Cout_annuel"/>
    <pivotTable tabId="24" name="TCD_Conso_annuel_eau"/>
    <pivotTable tabId="24" name="Tableau croisé dynamique1"/>
  </pivotTables>
  <data>
    <olap pivotCacheId="568105612">
      <levels count="2">
        <level uniqueName="[Tab_concat].[Annee].[(All)]" sourceCaption="(All)" count="0"/>
        <level uniqueName="[Tab_concat].[Annee].[Annee]" sourceCaption="Annee" count="17">
          <ranges>
            <range startItem="0">
              <i n="[Tab_concat].[Annee].&amp;[2010]" c="2010"/>
              <i n="[Tab_concat].[Annee].&amp;[2011]" c="2011"/>
              <i n="[Tab_concat].[Annee].&amp;[2012]" c="2012"/>
              <i n="[Tab_concat].[Annee].&amp;[2013]" c="2013"/>
              <i n="[Tab_concat].[Annee].&amp;[2014]" c="2014"/>
              <i n="[Tab_concat].[Annee].&amp;[2015]" c="2015"/>
              <i n="[Tab_concat].[Annee].&amp;[2016]" c="2016"/>
              <i n="[Tab_concat].[Annee].&amp;[2017]" c="2017"/>
              <i n="[Tab_concat].[Annee].&amp;[2018]" c="2018"/>
              <i n="[Tab_concat].[Annee].&amp;[2019]" c="2019"/>
              <i n="[Tab_concat].[Annee].&amp;[2020]" c="2020"/>
              <i n="[Tab_concat].[Annee].&amp;[2021]" c="2021"/>
              <i n="[Tab_concat].[Annee].&amp;[2022]" c="2022"/>
              <i n="[Tab_concat].[Annee].&amp;[2023]" c="2023"/>
              <i n="[Tab_concat].[Annee].&amp;[2024]" c="2024"/>
              <i n="[Tab_concat].[Annee].&amp;[2025]" c="2025"/>
              <i n="[Tab_concat].[Annee].&amp;[2026]" c="2026"/>
            </range>
          </ranges>
        </level>
      </levels>
      <selections count="1">
        <selection n="[Tab_concat].[Annee].&amp;[2025]"/>
      </selections>
    </olap>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egment_Dates__année" sourceName="[Tab_concat].[Dates (année)]">
  <pivotTables>
    <pivotTable tabId="44" name="TCD_OPERAT"/>
  </pivotTables>
  <data>
    <olap pivotCacheId="2035655893">
      <levels count="2">
        <level uniqueName="[Tab_concat].[Dates (année)].[(All)]" sourceCaption="(All)" count="0"/>
        <level uniqueName="[Tab_concat].[Dates (année)].[Dates (année)]" sourceCaption="Dates (année)" count="17">
          <ranges>
            <range startItem="0">
              <i n="[Tab_concat].[Dates (année)].&amp;[2010]" c="2010"/>
              <i n="[Tab_concat].[Dates (année)].&amp;[2011]" c="2011"/>
              <i n="[Tab_concat].[Dates (année)].&amp;[2012]" c="2012"/>
              <i n="[Tab_concat].[Dates (année)].&amp;[2013]" c="2013"/>
              <i n="[Tab_concat].[Dates (année)].&amp;[2014]" c="2014"/>
              <i n="[Tab_concat].[Dates (année)].&amp;[2015]" c="2015"/>
              <i n="[Tab_concat].[Dates (année)].&amp;[2016]" c="2016"/>
              <i n="[Tab_concat].[Dates (année)].&amp;[2017]" c="2017"/>
              <i n="[Tab_concat].[Dates (année)].&amp;[2018]" c="2018"/>
              <i n="[Tab_concat].[Dates (année)].&amp;[2019]" c="2019"/>
              <i n="[Tab_concat].[Dates (année)].&amp;[2020]" c="2020"/>
              <i n="[Tab_concat].[Dates (année)].&amp;[2021]" c="2021"/>
              <i n="[Tab_concat].[Dates (année)].&amp;[2022]" c="2022"/>
              <i n="[Tab_concat].[Dates (année)].&amp;[2023]" c="2023"/>
              <i n="[Tab_concat].[Dates (année)].&amp;[2024]" c="2024"/>
              <i n="[Tab_concat].[Dates (année)].&amp;[2025]" c="2025"/>
              <i n="[Tab_concat].[Dates (année)].&amp;[2026]" c="2026"/>
            </range>
          </ranges>
        </level>
      </levels>
      <selections count="1">
        <selection n="[Tab_concat].[Dates (année)].&amp;[2025]"/>
      </selections>
    </olap>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egment_Nom5" sourceName="[Tab_concat].[Nom]">
  <pivotTables>
    <pivotTable tabId="49" name="TCD_Suivi_compteur_1"/>
  </pivotTables>
  <data>
    <olap pivotCacheId="161845224">
      <levels count="2">
        <level uniqueName="[Tab_concat].[Nom].[(All)]" sourceCaption="(All)" count="0"/>
        <level uniqueName="[Tab_concat].[Nom].[Nom]" sourceCaption="Nom" count="3">
          <ranges>
            <range startItem="0">
              <i n="[Tab_concat].[Nom].&amp;[Eau générale]" c="Eau générale"/>
              <i n="[Tab_concat].[Nom].&amp;[Elec général]" c="Elec général"/>
              <i n="[Tab_concat].[Nom].&amp;[Gaz général]" c="Gaz général"/>
            </range>
          </ranges>
        </level>
      </levels>
      <selections count="1">
        <selection n="[Tab_concat].[Nom].&amp;[Elec général]"/>
      </selections>
    </olap>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egment_Nom6" sourceName="[Tab_concat].[Nom]">
  <pivotTables>
    <pivotTable tabId="49" name="TCD_compteur_2"/>
  </pivotTables>
  <data>
    <olap pivotCacheId="874751656">
      <levels count="2">
        <level uniqueName="[Tab_concat].[Nom].[(All)]" sourceCaption="(All)" count="0"/>
        <level uniqueName="[Tab_concat].[Nom].[Nom]" sourceCaption="Nom" count="3">
          <ranges>
            <range startItem="0">
              <i n="[Tab_concat].[Nom].&amp;[Eau générale]" c="Eau générale"/>
              <i n="[Tab_concat].[Nom].&amp;[Elec général]" c="Elec général"/>
              <i n="[Tab_concat].[Nom].&amp;[Gaz général]" c="Gaz général"/>
            </range>
          </ranges>
        </level>
      </levels>
      <selections count="1">
        <selection n="[Tab_concat].[Nom].&amp;[Gaz général]"/>
      </selections>
    </olap>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Segment_Nom7" sourceName="[Tab_concat].[Nom]">
  <pivotTables>
    <pivotTable tabId="49" name="TCD_ECS_Mensuel"/>
  </pivotTables>
  <data>
    <olap pivotCacheId="580450863">
      <levels count="2">
        <level uniqueName="[Tab_concat].[Nom].[(All)]" sourceCaption="(All)" count="0"/>
        <level uniqueName="[Tab_concat].[Nom].[Nom]" sourceCaption="Nom" count="3">
          <ranges>
            <range startItem="0">
              <i n="[Tab_concat].[Nom].&amp;[Eau générale]" c="Eau générale"/>
              <i n="[Tab_concat].[Nom].&amp;[Elec général]" c="Elec général"/>
              <i n="[Tab_concat].[Nom].&amp;[Gaz général]" c="Gaz général"/>
            </range>
          </ranges>
        </level>
      </levels>
      <selections count="1">
        <selection n="[Tab_concat].[Nom].[All]"/>
      </selections>
    </olap>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mc:Ignorable="x" name="Segment_Dates__mois" sourceName="[Tab_concat].[Dates (mois)]">
  <pivotTables>
    <pivotTable tabId="43" name="TCD_ECS_ete"/>
  </pivotTables>
  <data>
    <olap pivotCacheId="1637551557">
      <levels count="2">
        <level uniqueName="[Tab_concat].[Dates (mois)].[(All)]" sourceCaption="(All)" count="0"/>
        <level uniqueName="[Tab_concat].[Dates (mois)].[Dates (mois)]" sourceCaption="Dates (mois)" count="12">
          <ranges>
            <range startItem="0">
              <i n="[Tab_concat].[Dates (mois)].&amp;[janv]" c="janv"/>
              <i n="[Tab_concat].[Dates (mois)].&amp;[févr]" c="févr"/>
              <i n="[Tab_concat].[Dates (mois)].&amp;[mars]" c="mars"/>
              <i n="[Tab_concat].[Dates (mois)].&amp;[avr]" c="avr"/>
              <i n="[Tab_concat].[Dates (mois)].&amp;[mai]" c="mai"/>
              <i n="[Tab_concat].[Dates (mois)].&amp;[juin]" c="juin"/>
              <i n="[Tab_concat].[Dates (mois)].&amp;[juil]" c="juil"/>
              <i n="[Tab_concat].[Dates (mois)].&amp;[août]" c="août"/>
              <i n="[Tab_concat].[Dates (mois)].&amp;[sept]" c="sept"/>
              <i n="[Tab_concat].[Dates (mois)].&amp;[oct]" c="oct"/>
              <i n="[Tab_concat].[Dates (mois)].&amp;[nov]" c="nov"/>
              <i n="[Tab_concat].[Dates (mois)].&amp;[déc]" c="déc"/>
            </range>
          </ranges>
        </level>
      </levels>
      <selections count="2">
        <selection n="[Tab_concat].[Dates (mois)].&amp;[août]"/>
        <selection n="[Tab_concat].[Dates (mois)].&amp;[juil]"/>
      </selections>
    </olap>
  </data>
  <extLst>
    <x:ext xmlns:x15="http://schemas.microsoft.com/office/spreadsheetml/2010/11/main" uri="{470722E0-AACD-4C17-9CDC-17EF765DBC7E}">
      <x15:slicerCacheHideItemsWithNoData count="1">
        <x15:slicerCacheOlapLevelName uniqueName="[Tab_concat].[Dates (mois)].[Dates (mois)]" count="0"/>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mc:Ignorable="x" name="Segment_Nom" sourceName="[Tableau16].[Nom]">
  <pivotTables>
    <pivotTable tabId="57" name="Tableau croisé dynamique1"/>
    <pivotTable tabId="57" name="Tableau croisé dynamique2"/>
  </pivotTables>
  <data>
    <olap pivotCacheId="2122446821">
      <levels count="2">
        <level uniqueName="[Tableau16].[Nom].[(All)]" sourceCaption="(All)" count="0"/>
        <level uniqueName="[Tableau16].[Nom].[Nom]" sourceCaption="Nom" count="4">
          <ranges>
            <range startItem="0">
              <i n="[Tableau16].[Nom].&amp;[Eau générale]" c="Eau générale"/>
              <i n="[Tableau16].[Nom].&amp;[Elec général]" c="Elec général"/>
              <i n="[Tableau16].[Nom].&amp;[Gaz général]" c="Gaz général"/>
              <i n="[Tableau16].[Nom].&amp;[0]" c="0" nd="1"/>
            </range>
          </ranges>
        </level>
      </levels>
      <selections count="1">
        <selection n="[Tableau16].[Nom].&amp;[Gaz général]"/>
      </selections>
    </olap>
  </data>
  <extLst>
    <x:ext xmlns:x15="http://schemas.microsoft.com/office/spreadsheetml/2010/11/main" uri="{470722E0-AACD-4C17-9CDC-17EF765DBC7E}">
      <x15:slicerCacheHideItemsWithNoData count="1">
        <x15:slicerCacheOlapLevelName uniqueName="[Tableau16].[Nom].[Nom]" count="1"/>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Département" cache="Segment_Département1" caption="Département" rowHeight="241300"/>
  <slicer name="Region" cache="Segment_Region1" caption="Region"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Département 1" cache="Segment_Département1" caption="Département" rowHeight="241300"/>
  <slicer name="Region 1" cache="Segment_Region1" caption="Region" rowHeight="241300"/>
  <slicer name="Dates (mois)" cache="Segment_Dates__mois" caption="Sélectionnez les mois sans chauffage" columnCount="4" level="1" rowHeight="241300"/>
</slicers>
</file>

<file path=xl/slicers/slicer3.xml><?xml version="1.0" encoding="utf-8"?>
<slicers xmlns="http://schemas.microsoft.com/office/spreadsheetml/2009/9/main" xmlns:mc="http://schemas.openxmlformats.org/markup-compatibility/2006" xmlns:x="http://schemas.openxmlformats.org/spreadsheetml/2006/main" mc:Ignorable="x">
  <slicer name="Annee 1" cache="Segment_Annee" caption="Annee" startItem="9" level="1" rowHeight="241300"/>
</slicers>
</file>

<file path=xl/slicers/slicer4.xml><?xml version="1.0" encoding="utf-8"?>
<slicers xmlns="http://schemas.microsoft.com/office/spreadsheetml/2009/9/main" xmlns:mc="http://schemas.openxmlformats.org/markup-compatibility/2006" xmlns:x="http://schemas.openxmlformats.org/spreadsheetml/2006/main" mc:Ignorable="x">
  <slicer name="Dates (année)" cache="Segment_Dates__année" caption="Dates (année)" startItem="6" level="1" rowHeight="241300"/>
</slicers>
</file>

<file path=xl/slicers/slicer5.xml><?xml version="1.0" encoding="utf-8"?>
<slicers xmlns="http://schemas.microsoft.com/office/spreadsheetml/2009/9/main" xmlns:mc="http://schemas.openxmlformats.org/markup-compatibility/2006" xmlns:x="http://schemas.openxmlformats.org/spreadsheetml/2006/main" mc:Ignorable="x">
  <slicer name="Nom 6" cache="Segment_Nom5" caption="Nom" level="1" rowHeight="241300"/>
  <slicer name="Nom 7" cache="Segment_Nom6" caption="Nom" level="1" rowHeight="241300"/>
  <slicer name="Nom 8" cache="Segment_Nom7" caption="Nom" level="1" rowHeight="241300"/>
</slicers>
</file>

<file path=xl/slicers/slicer6.xml><?xml version="1.0" encoding="utf-8"?>
<slicers xmlns="http://schemas.microsoft.com/office/spreadsheetml/2009/9/main" xmlns:mc="http://schemas.openxmlformats.org/markup-compatibility/2006" xmlns:x="http://schemas.openxmlformats.org/spreadsheetml/2006/main" mc:Ignorable="x">
  <slicer name="Nom" cache="Segment_Nom" caption="Nom" level="1" rowHeight="241300"/>
</slicers>
</file>

<file path=xl/tables/table1.xml><?xml version="1.0" encoding="utf-8"?>
<table xmlns="http://schemas.openxmlformats.org/spreadsheetml/2006/main" id="13" name="Tableau13" displayName="Tableau13" ref="A27:D127" totalsRowShown="0" headerRowDxfId="230" dataDxfId="229">
  <autoFilter ref="A27:D127"/>
  <tableColumns count="4">
    <tableColumn id="1" name="Numéro" dataDxfId="228"/>
    <tableColumn id="2" name="Département" dataDxfId="227"/>
    <tableColumn id="3" name="Zone climatique" dataDxfId="226"/>
    <tableColumn id="4" name="Region"/>
  </tableColumns>
  <tableStyleInfo name="TableStyleMedium2" showFirstColumn="0" showLastColumn="0" showRowStripes="1" showColumnStripes="0"/>
</table>
</file>

<file path=xl/tables/table10.xml><?xml version="1.0" encoding="utf-8"?>
<table xmlns="http://schemas.openxmlformats.org/spreadsheetml/2006/main" id="4" name="Tab_Compteur_1" displayName="Tab_Compteur_1" ref="A2:J243" headerRowDxfId="118">
  <autoFilter ref="A2:J243"/>
  <tableColumns count="10">
    <tableColumn id="1" name="Début de période" totalsRowLabel="Total" dataDxfId="117">
      <calculatedColumnFormula>EDATE(B3,-1)</calculatedColumnFormula>
    </tableColumn>
    <tableColumn id="2" name="Fin de période" dataDxfId="116" totalsRowDxfId="115">
      <calculatedColumnFormula>A4-1</calculatedColumnFormula>
    </tableColumn>
    <tableColumn id="3" name="Quantité" dataDxfId="114" dataCellStyle="Milliers"/>
    <tableColumn id="4" name="Montant" dataDxfId="113" dataCellStyle="Monétaire">
      <calculatedColumnFormula>Tab_Compteur_1[[#This Row],[Quantité]]*0.2</calculatedColumnFormula>
    </tableColumn>
    <tableColumn id="8" name="Index" dataDxfId="112" dataCellStyle="Milliers">
      <calculatedColumnFormula>Tab_Compteur_1[[#This Row],[Montant]]*1.2</calculatedColumnFormula>
    </tableColumn>
    <tableColumn id="5" name="Delta Jour" dataDxfId="111">
      <calculatedColumnFormula>IFERROR(B3-A3+1,"")</calculatedColumnFormula>
    </tableColumn>
    <tableColumn id="6" name="Demande_jour" dataDxfId="110">
      <calculatedColumnFormula>IFERROR(IF(Str_TypeDonneesCpt=Cpt_Index,Tab_Compteur_1[[#This Row],[Index]],Tab_Compteur_1[[#This Row],[Quantité]])/Tab_Compteur_1[[#This Row],[Delta Jour]],"")</calculatedColumnFormula>
    </tableColumn>
    <tableColumn id="7" name="Cout_jour" dataDxfId="109">
      <calculatedColumnFormula>IFERROR(Tab_Compteur_1[[#This Row],[Montant]]/Tab_Compteur_1[[#This Row],[Delta Jour]],"")</calculatedColumnFormula>
    </tableColumn>
    <tableColumn id="9" name="Conso/Jour" totalsRowFunction="count" dataDxfId="108" totalsRowDxfId="107" dataCellStyle="Milliers">
      <calculatedColumnFormula>IF(SUM(Tab_Compteur_1[[#This Row],[Quantité]],Tab_Compteur_1[[#This Row],[Index]])&lt;=0,"",G3)</calculatedColumnFormula>
    </tableColumn>
    <tableColumn id="10" name="Colonne1" dataDxfId="106"/>
  </tableColumns>
  <tableStyleInfo name="TableStyleMedium2" showFirstColumn="0" showLastColumn="0" showRowStripes="1" showColumnStripes="0"/>
</table>
</file>

<file path=xl/tables/table11.xml><?xml version="1.0" encoding="utf-8"?>
<table xmlns="http://schemas.openxmlformats.org/spreadsheetml/2006/main" id="11" name="Tab_fériés" displayName="Tab_fériés" ref="O2:R288" totalsRowShown="0">
  <autoFilter ref="O2:R288"/>
  <tableColumns count="4">
    <tableColumn id="1" name="date" dataDxfId="105"/>
    <tableColumn id="2" name="annee"/>
    <tableColumn id="3" name="zone"/>
    <tableColumn id="4" name="nom_jour_ferie"/>
  </tableColumns>
  <tableStyleInfo name="TableStyleMedium2" showFirstColumn="0" showLastColumn="0" showRowStripes="1" showColumnStripes="0"/>
</table>
</file>

<file path=xl/tables/table12.xml><?xml version="1.0" encoding="utf-8"?>
<table xmlns="http://schemas.openxmlformats.org/spreadsheetml/2006/main" id="1" name="Tab_Compteur_2" displayName="Tab_Compteur_2" ref="A2:J243" totalsRowShown="0" headerRowDxfId="103">
  <autoFilter ref="A2:J243"/>
  <tableColumns count="10">
    <tableColumn id="1" name="Début de période" dataDxfId="102">
      <calculatedColumnFormula>EDATE(Tab_Compteur_2[[#This Row],[Fin de période]],-1)+1</calculatedColumnFormula>
    </tableColumn>
    <tableColumn id="2" name="Fin de période" dataDxfId="101"/>
    <tableColumn id="3" name="Quantité" dataDxfId="100" dataCellStyle="Milliers"/>
    <tableColumn id="4" name="Colonne1" dataDxfId="99" dataCellStyle="Monétaire">
      <calculatedColumnFormula>Tab_Compteur_2[[#This Row],[Quantité]]/1000*100</calculatedColumnFormula>
    </tableColumn>
    <tableColumn id="8" name="Index" dataDxfId="98" dataCellStyle="Milliers">
      <calculatedColumnFormula>Tab_Compteur_2[[#This Row],[Colonne1]]*1.2</calculatedColumnFormula>
    </tableColumn>
    <tableColumn id="5" name="Delta Jour" dataDxfId="97">
      <calculatedColumnFormula>IF(Tab_Compteur_2[[#This Row],[Fin de période]]&gt;0,IFERROR(B3-A3+1,""),"")</calculatedColumnFormula>
    </tableColumn>
    <tableColumn id="6" name="Demande_jour" dataDxfId="96"/>
    <tableColumn id="7" name="Cout_jour" dataDxfId="95"/>
    <tableColumn id="9" name="Conso/Jour" dataDxfId="94" dataCellStyle="Milliers"/>
    <tableColumn id="10" name="Colonne2" dataDxfId="93"/>
  </tableColumns>
  <tableStyleInfo name="TableStyleMedium2" showFirstColumn="0" showLastColumn="0" showRowStripes="1" showColumnStripes="0"/>
</table>
</file>

<file path=xl/tables/table13.xml><?xml version="1.0" encoding="utf-8"?>
<table xmlns="http://schemas.openxmlformats.org/spreadsheetml/2006/main" id="2" name="Tab_Compteur_3" displayName="Tab_Compteur_3" ref="A2:J243" totalsRowShown="0">
  <autoFilter ref="A2:J243"/>
  <tableColumns count="10">
    <tableColumn id="7" name="Début de période" dataDxfId="90">
      <calculatedColumnFormula>B2+1</calculatedColumnFormula>
    </tableColumn>
    <tableColumn id="1" name="Fin de période" dataDxfId="89"/>
    <tableColumn id="2" name="Quantité" dataDxfId="88">
      <calculatedColumnFormula>E3-E2</calculatedColumnFormula>
    </tableColumn>
    <tableColumn id="3" name="Montant" dataDxfId="87" dataCellStyle="Monétaire"/>
    <tableColumn id="8" name="Index" dataDxfId="86" dataCellStyle="Milliers">
      <calculatedColumnFormula>Tab_Compteur_3[[#This Row],[Montant]]*1.2</calculatedColumnFormula>
    </tableColumn>
    <tableColumn id="4" name="Delta Jour" dataDxfId="85">
      <calculatedColumnFormula>IFERROR(B3-A3+1,"")</calculatedColumnFormula>
    </tableColumn>
    <tableColumn id="5" name="Demande_jour" dataDxfId="84">
      <calculatedColumnFormula>IFERROR(Tab_Compteur_3[[#This Row],[Quantité]]/Tab_Compteur_3[[#This Row],[Delta Jour]],"")</calculatedColumnFormula>
    </tableColumn>
    <tableColumn id="6" name="Cout_jour" dataDxfId="83">
      <calculatedColumnFormula>IFERROR(Tab_Compteur_3[[#This Row],[Montant]]/Tab_Compteur_3[[#This Row],[Delta Jour]],"")</calculatedColumnFormula>
    </tableColumn>
    <tableColumn id="9" name="Conso/Jour" dataDxfId="82">
      <calculatedColumnFormula>IF(SUM(Tab_Compteur_3[[#This Row],[Quantité]],Tab_Compteur_3[[#This Row],[Index]])&lt;=0,"",G3)</calculatedColumnFormula>
    </tableColumn>
    <tableColumn id="10" name="Commentaires" dataDxfId="81"/>
  </tableColumns>
  <tableStyleInfo name="TableStyleMedium2" showFirstColumn="0" showLastColumn="0" showRowStripes="1" showColumnStripes="0"/>
</table>
</file>

<file path=xl/tables/table14.xml><?xml version="1.0" encoding="utf-8"?>
<table xmlns="http://schemas.openxmlformats.org/spreadsheetml/2006/main" id="3" name="Tab_Compteur_4" displayName="Tab_Compteur_4" ref="A2:J243" totalsRowShown="0">
  <autoFilter ref="A2:J243"/>
  <tableColumns count="10">
    <tableColumn id="7" name="Début de période" dataDxfId="77">
      <calculatedColumnFormula>B2+1</calculatedColumnFormula>
    </tableColumn>
    <tableColumn id="1" name="Fin de période" dataDxfId="76">
      <calculatedColumnFormula>A4-1</calculatedColumnFormula>
    </tableColumn>
    <tableColumn id="2" name="Quantité" dataDxfId="75"/>
    <tableColumn id="3" name="Montant" dataDxfId="74" dataCellStyle="Monétaire"/>
    <tableColumn id="9" name="Index" dataDxfId="73" dataCellStyle="Milliers"/>
    <tableColumn id="4" name="Delta Jour" dataDxfId="72">
      <calculatedColumnFormula>IFERROR(B3-A3+1,"")</calculatedColumnFormula>
    </tableColumn>
    <tableColumn id="5" name="Demande_jour" dataDxfId="71">
      <calculatedColumnFormula>IFERROR(IF(Str_TypeDonneesCpt4=Cpt_Index,Tab_Compteur_4[[#This Row],[Index]]-M6,Tab_Compteur_4[[#This Row],[Quantité]])/Tab_Compteur_4[[#This Row],[Delta Jour]],"")</calculatedColumnFormula>
    </tableColumn>
    <tableColumn id="6" name="Cout_jour" dataDxfId="70">
      <calculatedColumnFormula>IFERROR(Tab_Compteur_4[[#This Row],[Montant]]/Tab_Compteur_4[[#This Row],[Delta Jour]],"")</calculatedColumnFormula>
    </tableColumn>
    <tableColumn id="8" name="Conso/Jour" dataDxfId="69" dataCellStyle="Milliers">
      <calculatedColumnFormula>IF(SUM(Tab_Compteur_4[[#This Row],[Quantité]],Tab_Compteur_4[[#This Row],[Index]])&lt;=0,"",G3)</calculatedColumnFormula>
    </tableColumn>
    <tableColumn id="10" name="Commentaires" dataDxfId="68"/>
  </tableColumns>
  <tableStyleInfo name="TableStyleMedium2" showFirstColumn="0" showLastColumn="0" showRowStripes="1" showColumnStripes="0"/>
</table>
</file>

<file path=xl/tables/table15.xml><?xml version="1.0" encoding="utf-8"?>
<table xmlns="http://schemas.openxmlformats.org/spreadsheetml/2006/main" id="10" name="Tab_Compteur_5" displayName="Tab_Compteur_5" ref="A2:J243" totalsRowShown="0">
  <autoFilter ref="A2:J243"/>
  <tableColumns count="10">
    <tableColumn id="7" name="Début de période" dataDxfId="66">
      <calculatedColumnFormula>IF(#REF!&gt;0,B2+1,"")</calculatedColumnFormula>
    </tableColumn>
    <tableColumn id="1" name="Fin de période" dataDxfId="65">
      <calculatedColumnFormula>A4-1</calculatedColumnFormula>
    </tableColumn>
    <tableColumn id="2" name="Quantité" dataDxfId="64"/>
    <tableColumn id="3" name="Montant" dataDxfId="63" dataCellStyle="Monétaire"/>
    <tableColumn id="8" name="Index" dataDxfId="62" dataCellStyle="Monétaire"/>
    <tableColumn id="4" name="Delta Jour" dataDxfId="61">
      <calculatedColumnFormula>IFERROR(B3-A3+1,"")</calculatedColumnFormula>
    </tableColumn>
    <tableColumn id="5" name="Demande_jour" dataDxfId="60">
      <calculatedColumnFormula>IFERROR(IF(Str_TypeDonneesCpt5=Cpt_Index,Tab_Compteur_5[[#This Row],[Index]]-M6,Tab_Compteur_5[[#This Row],[Quantité]])/Tab_Compteur_5[[#This Row],[Delta Jour]],"")</calculatedColumnFormula>
    </tableColumn>
    <tableColumn id="6" name="Cout_jour" dataDxfId="59">
      <calculatedColumnFormula>IFERROR(Tab_Compteur_5[[#This Row],[Montant]]/Tab_Compteur_5[[#This Row],[Delta Jour]],"")</calculatedColumnFormula>
    </tableColumn>
    <tableColumn id="10" name="Conso/Jour" dataDxfId="58" dataCellStyle="Milliers">
      <calculatedColumnFormula>IF(SUM(Tab_Compteur_5[[#This Row],[Quantité]],Tab_Compteur_5[[#This Row],[Index]])&lt;=0,"",G3)</calculatedColumnFormula>
    </tableColumn>
    <tableColumn id="9" name="Commentaires" dataDxfId="57"/>
  </tableColumns>
  <tableStyleInfo name="TableStyleMedium2" showFirstColumn="0" showLastColumn="0" showRowStripes="1" showColumnStripes="0"/>
</table>
</file>

<file path=xl/tables/table16.xml><?xml version="1.0" encoding="utf-8"?>
<table xmlns="http://schemas.openxmlformats.org/spreadsheetml/2006/main" id="6" name="Tab_Compteur_6" displayName="Tab_Compteur_6" ref="A2:J243" totalsRowShown="0" headerRowDxfId="55" headerRowBorderDxfId="54" tableBorderDxfId="53">
  <autoFilter ref="A2:J243"/>
  <tableColumns count="10">
    <tableColumn id="1" name="Début de période" dataDxfId="52">
      <calculatedColumnFormula>EDATE(B3,-Site!J42)+1</calculatedColumnFormula>
    </tableColumn>
    <tableColumn id="2" name="Fin de période" dataDxfId="51"/>
    <tableColumn id="3" name="Quantité"/>
    <tableColumn id="4" name="Montant" dataDxfId="50" dataCellStyle="Monétaire">
      <calculatedColumnFormula>IF(Tab_Compteur_6[[#This Row],[Fin de période]]&gt;0,IFERROR(B3-A3+1,""),"")</calculatedColumnFormula>
    </tableColumn>
    <tableColumn id="8" name="Index" dataDxfId="49" dataCellStyle="Monétaire"/>
    <tableColumn id="5" name="Delta Jour" dataDxfId="48">
      <calculatedColumnFormula>IFERROR(B3-A3+1,"")</calculatedColumnFormula>
    </tableColumn>
    <tableColumn id="6" name="Demande_jour" dataDxfId="47">
      <calculatedColumnFormula>IFERROR(IF(Str_TypeDonneesCpt6=Cpt_Index,Tab_Compteur_6[[#This Row],[Index]]-M6,Tab_Compteur_6[[#This Row],[Quantité]])/Tab_Compteur_6[[#This Row],[Delta Jour]],"")</calculatedColumnFormula>
    </tableColumn>
    <tableColumn id="7" name="Cout_jour" dataDxfId="46">
      <calculatedColumnFormula>IFERROR(Tab_Compteur_6[[#This Row],[Montant]]/Tab_Compteur_6[[#This Row],[Delta Jour]],"")</calculatedColumnFormula>
    </tableColumn>
    <tableColumn id="10" name="Conso/Jour" dataDxfId="45">
      <calculatedColumnFormula>IF(SUM(Tab_Compteur_6[[#This Row],[Quantité]],Tab_Compteur_6[[#This Row],[Index]])&lt;=0,"",G3)</calculatedColumnFormula>
    </tableColumn>
    <tableColumn id="9" name="Commentaires" dataDxfId="44"/>
  </tableColumns>
  <tableStyleInfo name="TableStyleMedium2" showFirstColumn="0" showLastColumn="0" showRowStripes="1" showColumnStripes="0"/>
</table>
</file>

<file path=xl/tables/table17.xml><?xml version="1.0" encoding="utf-8"?>
<table xmlns="http://schemas.openxmlformats.org/spreadsheetml/2006/main" id="7" name="Tab_Compteur_7" displayName="Tab_Compteur_7" ref="A2:J243" totalsRowShown="0" headerRowDxfId="42" headerRowBorderDxfId="41" tableBorderDxfId="40">
  <autoFilter ref="A2:J243"/>
  <tableColumns count="10">
    <tableColumn id="1" name="Début de période" dataDxfId="39"/>
    <tableColumn id="2" name="Fin de période" dataDxfId="38"/>
    <tableColumn id="3" name="Quantité" dataDxfId="37"/>
    <tableColumn id="4" name="Montant" dataDxfId="36" dataCellStyle="Monétaire">
      <calculatedColumnFormula>IF(Tab_Compteur_7[[#This Row],[Fin de période]]&gt;0,IFERROR(B3-A3+1,""),"")</calculatedColumnFormula>
    </tableColumn>
    <tableColumn id="8" name="Index" dataDxfId="35" dataCellStyle="Monétaire"/>
    <tableColumn id="5" name="Delta Jour" dataDxfId="34">
      <calculatedColumnFormula>IFERROR(B3-A3+1,"")</calculatedColumnFormula>
    </tableColumn>
    <tableColumn id="6" name="Demande_jour" dataDxfId="33">
      <calculatedColumnFormula>IFERROR(IF(Str_TypeDonneesCpt7=Cpt_Index,Tab_Compteur_7[[#This Row],[Index]]-M6,Tab_Compteur_7[[#This Row],[Quantité]])/Tab_Compteur_7[[#This Row],[Delta Jour]],"")</calculatedColumnFormula>
    </tableColumn>
    <tableColumn id="7" name="Cout_jour" dataDxfId="32">
      <calculatedColumnFormula>IFERROR(Tab_Compteur_7[[#This Row],[Montant]]/Tab_Compteur_7[[#This Row],[Delta Jour]],"")</calculatedColumnFormula>
    </tableColumn>
    <tableColumn id="10" name="Conso/Jour" dataDxfId="31" dataCellStyle="Milliers">
      <calculatedColumnFormula>IF(SUM(Tab_Compteur_7[[#This Row],[Quantité]],Tab_Compteur_7[[#This Row],[Index]])&lt;=0,"",G3)</calculatedColumnFormula>
    </tableColumn>
    <tableColumn id="9" name="Commentaires" dataDxfId="30"/>
  </tableColumns>
  <tableStyleInfo name="TableStyleMedium2" showFirstColumn="0" showLastColumn="0" showRowStripes="1" showColumnStripes="0"/>
</table>
</file>

<file path=xl/tables/table18.xml><?xml version="1.0" encoding="utf-8"?>
<table xmlns="http://schemas.openxmlformats.org/spreadsheetml/2006/main" id="8" name="Tab_Compteur_8" displayName="Tab_Compteur_8" ref="A2:J243" totalsRowShown="0" headerRowDxfId="28" headerRowBorderDxfId="27" tableBorderDxfId="26">
  <autoFilter ref="A2:J243"/>
  <tableColumns count="10">
    <tableColumn id="1" name="Début de période" dataDxfId="25"/>
    <tableColumn id="2" name="Fin de période" dataDxfId="24"/>
    <tableColumn id="3" name="Quantité" dataDxfId="23">
      <calculatedColumnFormula>E3-E2</calculatedColumnFormula>
    </tableColumn>
    <tableColumn id="4" name="Montant" dataDxfId="22" dataCellStyle="Monétaire">
      <calculatedColumnFormula>IF(Tab_Compteur_8[[#This Row],[Fin de période]]&gt;0,IFERROR(B3-A3+1,""),"")</calculatedColumnFormula>
    </tableColumn>
    <tableColumn id="8" name="Index" dataDxfId="21" dataCellStyle="Monétaire"/>
    <tableColumn id="5" name="Delta Jour" dataDxfId="20">
      <calculatedColumnFormula>IFERROR(B3-A3+1,"")</calculatedColumnFormula>
    </tableColumn>
    <tableColumn id="6" name="Demande_jour" dataDxfId="19">
      <calculatedColumnFormula>IFERROR(IF(Site!$H$45=Liste!$T$17,Tab_Compteur_8[[#This Row],[Index]]-E2,Tab_Compteur_8[[#This Row],[Quantité]])/Tab_Compteur_8[[#This Row],[Delta Jour]],"")</calculatedColumnFormula>
    </tableColumn>
    <tableColumn id="7" name="Cout_jour" dataDxfId="18">
      <calculatedColumnFormula>IFERROR(Tab_Compteur_8[[#This Row],[Montant]]/Tab_Compteur_8[[#This Row],[Delta Jour]],"")</calculatedColumnFormula>
    </tableColumn>
    <tableColumn id="10" name="Conso/Jour" dataDxfId="17" dataCellStyle="Milliers">
      <calculatedColumnFormula>IF(SUM(Tab_Compteur_8[[#This Row],[Quantité]],Tab_Compteur_8[[#This Row],[Index]])&lt;=0,"",G3)</calculatedColumnFormula>
    </tableColumn>
    <tableColumn id="9" name="Commentaires" dataDxfId="16"/>
  </tableColumns>
  <tableStyleInfo name="TableStyleMedium2" showFirstColumn="0" showLastColumn="0" showRowStripes="1" showColumnStripes="0"/>
</table>
</file>

<file path=xl/tables/table19.xml><?xml version="1.0" encoding="utf-8"?>
<table xmlns="http://schemas.openxmlformats.org/spreadsheetml/2006/main" id="12" name="Tableau12" displayName="Tableau12" ref="A1:J238" totalsRowShown="0" tableBorderDxfId="10">
  <autoFilter ref="A1:J238"/>
  <tableColumns count="10">
    <tableColumn id="1" name="Date de _x000a_relève" dataDxfId="9"/>
    <tableColumn id="2" name="Quantité restante dans la cuve_x000a_(si remplissage, valeur _x000a_avant le plein)" dataDxfId="8"/>
    <tableColumn id="3" name="Remplissage / _x000a_Quantité remise" dataDxfId="7"/>
    <tableColumn id="8" name="Quantité restante dans la cuve après le plein" dataDxfId="6"/>
    <tableColumn id="11" name="Quantité_x000a_/Jour" dataDxfId="5"/>
    <tableColumn id="10" name="Fin de période" dataDxfId="4"/>
    <tableColumn id="7" name="Quantité" dataDxfId="3"/>
    <tableColumn id="5" name="Montant _x000a_HT ou TTC" dataDxfId="2"/>
    <tableColumn id="4" name="Observations" dataDxfId="1"/>
    <tableColumn id="9" name="Test Cohérence" dataDxfId="0"/>
  </tableColumns>
  <tableStyleInfo name="TableStyleMedium2" showFirstColumn="0" showLastColumn="0" showRowStripes="1" showColumnStripes="0"/>
</table>
</file>

<file path=xl/tables/table2.xml><?xml version="1.0" encoding="utf-8"?>
<table xmlns="http://schemas.openxmlformats.org/spreadsheetml/2006/main" id="9" name="Tableau9" displayName="Tableau9" ref="A1:F645" totalsRowShown="0" headerRowDxfId="203" dataDxfId="202" tableBorderDxfId="201">
  <autoFilter ref="A1:F645"/>
  <tableColumns count="6">
    <tableColumn id="1" name="Station Météo" dataDxfId="200"/>
    <tableColumn id="2" name="annee" dataDxfId="199"/>
    <tableColumn id="3" name="mois" dataDxfId="198"/>
    <tableColumn id="6" name="mois_numero" dataDxfId="197"/>
    <tableColumn id="4" name="DJU(chauffagiste)" dataDxfId="196"/>
    <tableColumn id="5" name="DJU(climaticien)" dataDxfId="195"/>
  </tableColumns>
  <tableStyleInfo name="TableStyleMedium2" showFirstColumn="0" showLastColumn="0" showRowStripes="1" showColumnStripes="0"/>
</table>
</file>

<file path=xl/tables/table3.xml><?xml version="1.0" encoding="utf-8"?>
<table xmlns="http://schemas.openxmlformats.org/spreadsheetml/2006/main" id="16" name="Tableau16" displayName="Tableau16" ref="B6:J14" totalsRowShown="0" headerRowDxfId="137">
  <autoFilter ref="B6:J14"/>
  <tableColumns count="9">
    <tableColumn id="1" name="Compteur/Livraison" dataDxfId="136"/>
    <tableColumn id="2" name="Type">
      <calculatedColumnFormula>Site!D38</calculatedColumnFormula>
    </tableColumn>
    <tableColumn id="3" name="Source">
      <calculatedColumnFormula>Site!E38</calculatedColumnFormula>
    </tableColumn>
    <tableColumn id="4" name="Detail usage">
      <calculatedColumnFormula>Site!F38</calculatedColumnFormula>
    </tableColumn>
    <tableColumn id="5" name="Combustible ">
      <calculatedColumnFormula>Site!G38</calculatedColumnFormula>
    </tableColumn>
    <tableColumn id="6" name="PCI">
      <calculatedColumnFormula>IFERROR(VLOOKUP(F7,Liste!$A$5:$H$24,2,FALSE),0)</calculatedColumnFormula>
    </tableColumn>
    <tableColumn id="7" name="PCI_DEET">
      <calculatedColumnFormula>IFERROR(VLOOKUP(F7,Liste!$A$5:$H$24,3,FALSE),0)</calculatedColumnFormula>
    </tableColumn>
    <tableColumn id="8" name="Nom" dataDxfId="135">
      <calculatedColumnFormula>Site!C38</calculatedColumnFormula>
    </tableColumn>
    <tableColumn id="9" name="PCI_EP" dataDxfId="134">
      <calculatedColumnFormula>IFERROR(VLOOKUP(F7,Liste!$A$5:$H$24,7,FALSE),0)</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14" name="Tableau_Type" displayName="Tableau_Type" ref="Q2:Q5" totalsRowShown="0">
  <autoFilter ref="Q2:Q5"/>
  <tableColumns count="1">
    <tableColumn id="1" name="Type"/>
  </tableColumns>
  <tableStyleInfo name="TableStyleMedium2" showFirstColumn="0" showLastColumn="0" showRowStripes="1" showColumnStripes="0"/>
</table>
</file>

<file path=xl/tables/table5.xml><?xml version="1.0" encoding="utf-8"?>
<table xmlns="http://schemas.openxmlformats.org/spreadsheetml/2006/main" id="15" name="Tableau_source" displayName="Tableau_source" ref="R2:R6" totalsRowShown="0">
  <autoFilter ref="R2:R6"/>
  <tableColumns count="1">
    <tableColumn id="1" name="Source"/>
  </tableColumns>
  <tableStyleInfo name="TableStyleMedium2" showFirstColumn="0" showLastColumn="0" showRowStripes="1" showColumnStripes="0"/>
</table>
</file>

<file path=xl/tables/table6.xml><?xml version="1.0" encoding="utf-8"?>
<table xmlns="http://schemas.openxmlformats.org/spreadsheetml/2006/main" id="17" name="Tableau_combustible" displayName="Tableau_combustible" ref="W2:W22" totalsRowShown="0">
  <autoFilter ref="W2:W22"/>
  <tableColumns count="1">
    <tableColumn id="1" name="Combustible"/>
  </tableColumns>
  <tableStyleInfo name="TableStyleMedium2" showFirstColumn="0" showLastColumn="0" showRowStripes="1" showColumnStripes="0"/>
</table>
</file>

<file path=xl/tables/table7.xml><?xml version="1.0" encoding="utf-8"?>
<table xmlns="http://schemas.openxmlformats.org/spreadsheetml/2006/main" id="18" name="Tableau_usage" displayName="Tableau_usage" ref="W27:W44" totalsRowShown="0">
  <autoFilter ref="W27:W44"/>
  <tableColumns count="1">
    <tableColumn id="1" name="Detail usage"/>
  </tableColumns>
  <tableStyleInfo name="TableStyleMedium2" showFirstColumn="0" showLastColumn="0" showRowStripes="1" showColumnStripes="0"/>
</table>
</file>

<file path=xl/tables/table8.xml><?xml version="1.0" encoding="utf-8"?>
<table xmlns="http://schemas.openxmlformats.org/spreadsheetml/2006/main" id="19" name="Tableau_annees" displayName="Tableau_annees" ref="A73:A94" totalsRowShown="0" headerRowDxfId="122">
  <autoFilter ref="A73:A94"/>
  <tableColumns count="1">
    <tableColumn id="1" name="Annee"/>
  </tableColumns>
  <tableStyleInfo name="TableStyleMedium2" showFirstColumn="0" showLastColumn="0" showRowStripes="1" showColumnStripes="0"/>
</table>
</file>

<file path=xl/tables/table9.xml><?xml version="1.0" encoding="utf-8"?>
<table xmlns="http://schemas.openxmlformats.org/spreadsheetml/2006/main" id="5" name="Tableau_mois" displayName="Tableau_mois" ref="C73:C85" totalsRowShown="0">
  <autoFilter ref="C73:C85"/>
  <tableColumns count="1">
    <tableColumn id="1" name="Mois "/>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25" dT="2023-09-27T13:08:57.60" personId="{60167206-CCD6-4093-AFD2-6704D86DD72F}" id="{D0FFACD2-8BE7-466C-BE6F-692B13DB66A4}">
    <text xml:space="preserve">La valeur Cabs est l'objectif de consommation en valeur aboslue calculée par la plateforme OPERAT. Elle permet de calculer l'ajustement climatique du chauffage et du refroidissement. La valeur par défaut si la Cabs de votre bâtiment vous est inconnue </text>
  </threadedComment>
</ThreadedComments>
</file>

<file path=xl/timelineCaches/timelineCache1.xml><?xml version="1.0" encoding="utf-8"?>
<timelineCacheDefinition xmlns="http://schemas.microsoft.com/office/spreadsheetml/2010/11/main" xmlns:x15="http://schemas.microsoft.com/office/spreadsheetml/2010/11/main" name="Chronologie_Dates" sourceName="[Tab_concat].[Dates]">
  <pivotTables>
    <pivotTable tabId="57" name="Tableau croisé dynamique1"/>
    <pivotTable tabId="57" name="Tableau croisé dynamique2"/>
  </pivotTables>
  <state minimalRefreshVersion="6" lastRefreshVersion="6" pivotCacheId="1941909775" filterType="dateBetween">
    <selection startDate="2022-01-01T00:00:00" endDate="2026-12-31T00:00:00"/>
    <bounds startDate="2010-01-01T00:00:00" endDate="2027-01-01T00:00:00"/>
  </state>
</timelineCacheDefinition>
</file>

<file path=xl/timelineCaches/timelineCache2.xml><?xml version="1.0" encoding="utf-8"?>
<timelineCacheDefinition xmlns="http://schemas.microsoft.com/office/spreadsheetml/2010/11/main" xmlns:x15="http://schemas.microsoft.com/office/spreadsheetml/2010/11/main" name="Chronologie_Dates1" sourceName="[Tab_concat].[Dates]">
  <pivotTables>
    <pivotTable tabId="4294967295" name="PivotChartTable1"/>
    <pivotTable tabId="4294967295" name="PivotChartTable2"/>
  </pivotTables>
  <state minimalRefreshVersion="6" lastRefreshVersion="6" pivotCacheId="1983989827" filterType="dateBetween">
    <selection startDate="2021-01-01T00:00:00" endDate="2026-12-31T00:00:00"/>
    <bounds startDate="2010-01-01T00:00:00" endDate="2027-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mc:Ignorable="x">
  <timeline name="Dates" cache="Chronologie_Dates" caption="Dates" level="0" selectionLevel="0" scrollPosition="2015-05-20T00:00:00"/>
</timelines>
</file>

<file path=xl/timelines/timeline2.xml><?xml version="1.0" encoding="utf-8"?>
<timelines xmlns="http://schemas.microsoft.com/office/spreadsheetml/2010/11/main" xmlns:mc="http://schemas.openxmlformats.org/markup-compatibility/2006" xmlns:x="http://schemas.openxmlformats.org/spreadsheetml/2006/main" mc:Ignorable="x">
  <timeline name="Dates 1" cache="Chronologie_Dates1" caption="Dates" level="0" selectionLevel="0" scrollPosition="2012-08-07T00:00:00"/>
</timeline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11.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operat.ademe.fr/" TargetMode="External"/><Relationship Id="rId1" Type="http://schemas.openxmlformats.org/officeDocument/2006/relationships/pivotTable" Target="../pivotTables/pivotTable12.xml"/><Relationship Id="rId5" Type="http://schemas.microsoft.com/office/2007/relationships/slicer" Target="../slicers/slicer4.xml"/><Relationship Id="rId4"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8" Type="http://schemas.microsoft.com/office/2007/relationships/slicer" Target="../slicers/slicer5.xml"/><Relationship Id="rId3" Type="http://schemas.openxmlformats.org/officeDocument/2006/relationships/vmlDrawing" Target="../drawings/vmlDrawing4.vml"/><Relationship Id="rId7" Type="http://schemas.openxmlformats.org/officeDocument/2006/relationships/ctrlProp" Target="../ctrlProps/ctrlProp12.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6.xml.rels><?xml version="1.0" encoding="UTF-8" standalone="yes"?>
<Relationships xmlns="http://schemas.openxmlformats.org/package/2006/relationships"><Relationship Id="rId3" Type="http://schemas.openxmlformats.org/officeDocument/2006/relationships/pivotTable" Target="../pivotTables/pivotTable15.xml"/><Relationship Id="rId2" Type="http://schemas.openxmlformats.org/officeDocument/2006/relationships/pivotTable" Target="../pivotTables/pivotTable14.xml"/><Relationship Id="rId1" Type="http://schemas.openxmlformats.org/officeDocument/2006/relationships/pivotTable" Target="../pivotTables/pivotTable13.xml"/><Relationship Id="rId6" Type="http://schemas.openxmlformats.org/officeDocument/2006/relationships/drawing" Target="../drawings/drawing12.xml"/><Relationship Id="rId5" Type="http://schemas.openxmlformats.org/officeDocument/2006/relationships/pivotTable" Target="../pivotTables/pivotTable17.xml"/><Relationship Id="rId4" Type="http://schemas.openxmlformats.org/officeDocument/2006/relationships/pivotTable" Target="../pivotTables/pivotTable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pivotTable" Target="../pivotTables/pivotTable18.xml"/><Relationship Id="rId5" Type="http://schemas.microsoft.com/office/2011/relationships/timeline" Target="../timelines/timeline1.xml"/><Relationship Id="rId4" Type="http://schemas.microsoft.com/office/2007/relationships/slicer" Target="../slicers/slicer6.xml"/></Relationships>
</file>

<file path=xl/worksheets/_rels/sheet19.xml.rels><?xml version="1.0" encoding="UTF-8" standalone="yes"?>
<Relationships xmlns="http://schemas.openxmlformats.org/package/2006/relationships"><Relationship Id="rId3" Type="http://schemas.microsoft.com/office/2011/relationships/timeline" Target="../timelines/timeline2.x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ivotTable" Target="../pivotTables/pivotTable20.xml"/><Relationship Id="rId1" Type="http://schemas.openxmlformats.org/officeDocument/2006/relationships/pivotTable" Target="../pivotTables/pivotTable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ivotTable" Target="../pivotTables/pivotTable22.xml"/><Relationship Id="rId1" Type="http://schemas.openxmlformats.org/officeDocument/2006/relationships/pivotTable" Target="../pivotTables/pivotTable21.xml"/></Relationships>
</file>

<file path=xl/worksheets/_rels/sheet26.xml.rels><?xml version="1.0" encoding="UTF-8" standalone="yes"?>
<Relationships xmlns="http://schemas.openxmlformats.org/package/2006/relationships"><Relationship Id="rId1" Type="http://schemas.openxmlformats.org/officeDocument/2006/relationships/pivotTable" Target="../pivotTables/pivotTable23.xml"/></Relationships>
</file>

<file path=xl/worksheets/_rels/sheet27.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vmlDrawing" Target="../drawings/vmlDrawing5.vml"/><Relationship Id="rId1" Type="http://schemas.openxmlformats.org/officeDocument/2006/relationships/printerSettings" Target="../printerSettings/printerSettings19.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 Id="rId9" Type="http://schemas.openxmlformats.org/officeDocument/2006/relationships/comments" Target="../comments4.xml"/></Relationships>
</file>

<file path=xl/worksheets/_rels/sheet28.xml.rels><?xml version="1.0" encoding="UTF-8" standalone="yes"?>
<Relationships xmlns="http://schemas.openxmlformats.org/package/2006/relationships"><Relationship Id="rId1" Type="http://schemas.openxmlformats.org/officeDocument/2006/relationships/pivotTable" Target="../pivotTables/pivotTable24.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ivotTable" Target="../pivotTables/pivotTable3.xml"/><Relationship Id="rId5" Type="http://schemas.microsoft.com/office/2007/relationships/slicer" Target="../slicers/slicer1.xml"/><Relationship Id="rId4" Type="http://schemas.openxmlformats.org/officeDocument/2006/relationships/table" Target="../tables/table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0.xml"/><Relationship Id="rId1" Type="http://schemas.openxmlformats.org/officeDocument/2006/relationships/printerSettings" Target="../printerSettings/printerSettings21.bin"/><Relationship Id="rId5" Type="http://schemas.openxmlformats.org/officeDocument/2006/relationships/comments" Target="../comments6.xml"/><Relationship Id="rId4" Type="http://schemas.openxmlformats.org/officeDocument/2006/relationships/table" Target="../tables/table10.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1.xml"/><Relationship Id="rId1" Type="http://schemas.openxmlformats.org/officeDocument/2006/relationships/printerSettings" Target="../printerSettings/printerSettings22.bin"/><Relationship Id="rId5" Type="http://schemas.openxmlformats.org/officeDocument/2006/relationships/comments" Target="../comments7.xml"/><Relationship Id="rId4" Type="http://schemas.openxmlformats.org/officeDocument/2006/relationships/table" Target="../tables/table12.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2.xml"/><Relationship Id="rId1" Type="http://schemas.openxmlformats.org/officeDocument/2006/relationships/printerSettings" Target="../printerSettings/printerSettings23.bin"/><Relationship Id="rId5" Type="http://schemas.openxmlformats.org/officeDocument/2006/relationships/comments" Target="../comments8.xml"/><Relationship Id="rId4" Type="http://schemas.openxmlformats.org/officeDocument/2006/relationships/table" Target="../tables/table13.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3.xml"/><Relationship Id="rId1" Type="http://schemas.openxmlformats.org/officeDocument/2006/relationships/printerSettings" Target="../printerSettings/printerSettings24.bin"/><Relationship Id="rId5" Type="http://schemas.openxmlformats.org/officeDocument/2006/relationships/comments" Target="../comments9.xml"/><Relationship Id="rId4" Type="http://schemas.openxmlformats.org/officeDocument/2006/relationships/table" Target="../tables/table14.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4.xml"/><Relationship Id="rId1" Type="http://schemas.openxmlformats.org/officeDocument/2006/relationships/printerSettings" Target="../printerSettings/printerSettings25.bin"/><Relationship Id="rId5" Type="http://schemas.openxmlformats.org/officeDocument/2006/relationships/comments" Target="../comments10.xml"/><Relationship Id="rId4" Type="http://schemas.openxmlformats.org/officeDocument/2006/relationships/table" Target="../tables/table15.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5.xml"/><Relationship Id="rId1" Type="http://schemas.openxmlformats.org/officeDocument/2006/relationships/printerSettings" Target="../printerSettings/printerSettings26.bin"/><Relationship Id="rId5" Type="http://schemas.openxmlformats.org/officeDocument/2006/relationships/comments" Target="../comments11.xml"/><Relationship Id="rId4" Type="http://schemas.openxmlformats.org/officeDocument/2006/relationships/table" Target="../tables/table16.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6.xml"/><Relationship Id="rId1" Type="http://schemas.openxmlformats.org/officeDocument/2006/relationships/printerSettings" Target="../printerSettings/printerSettings27.bin"/><Relationship Id="rId5" Type="http://schemas.openxmlformats.org/officeDocument/2006/relationships/comments" Target="../comments12.xml"/><Relationship Id="rId4" Type="http://schemas.openxmlformats.org/officeDocument/2006/relationships/table" Target="../tables/table17.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7.xml"/><Relationship Id="rId1" Type="http://schemas.openxmlformats.org/officeDocument/2006/relationships/printerSettings" Target="../printerSettings/printerSettings28.bin"/><Relationship Id="rId5" Type="http://schemas.openxmlformats.org/officeDocument/2006/relationships/comments" Target="../comments13.xml"/><Relationship Id="rId4" Type="http://schemas.openxmlformats.org/officeDocument/2006/relationships/table" Target="../tables/table18.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8.xml"/><Relationship Id="rId1" Type="http://schemas.openxmlformats.org/officeDocument/2006/relationships/printerSettings" Target="../printerSettings/printerSettings29.bin"/><Relationship Id="rId5" Type="http://schemas.openxmlformats.org/officeDocument/2006/relationships/comments" Target="../comments14.xml"/><Relationship Id="rId4" Type="http://schemas.openxmlformats.org/officeDocument/2006/relationships/table" Target="../tables/table1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pivotTable" Target="../pivotTables/pivotTable6.xml"/><Relationship Id="rId7" Type="http://schemas.openxmlformats.org/officeDocument/2006/relationships/vmlDrawing" Target="../drawings/vmlDrawing1.vml"/><Relationship Id="rId2" Type="http://schemas.openxmlformats.org/officeDocument/2006/relationships/pivotTable" Target="../pivotTables/pivotTable5.xml"/><Relationship Id="rId1" Type="http://schemas.openxmlformats.org/officeDocument/2006/relationships/pivotTable" Target="../pivotTables/pivotTable4.xm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www.infoclimat.fr/climatologie/annee/2024/le-mans-arnage/valeurs/07235.html" TargetMode="External"/><Relationship Id="rId9" Type="http://schemas.openxmlformats.org/officeDocument/2006/relationships/comments" Target="../comments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microsoft.com/office/2007/relationships/slicer" Target="../slicers/slicer2.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9.xml"/><Relationship Id="rId7" Type="http://schemas.openxmlformats.org/officeDocument/2006/relationships/comments" Target="../comments3.xml"/><Relationship Id="rId2" Type="http://schemas.openxmlformats.org/officeDocument/2006/relationships/pivotTable" Target="../pivotTables/pivotTable8.xml"/><Relationship Id="rId1" Type="http://schemas.openxmlformats.org/officeDocument/2006/relationships/pivotTable" Target="../pivotTables/pivotTable7.xml"/><Relationship Id="rId6" Type="http://schemas.openxmlformats.org/officeDocument/2006/relationships/vmlDrawing" Target="../drawings/vmlDrawing3.vml"/><Relationship Id="rId5" Type="http://schemas.openxmlformats.org/officeDocument/2006/relationships/printerSettings" Target="../printerSettings/printerSettings8.bin"/><Relationship Id="rId4" Type="http://schemas.openxmlformats.org/officeDocument/2006/relationships/pivotTable" Target="../pivotTables/pivot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dimension ref="A1:AI395"/>
  <sheetViews>
    <sheetView topLeftCell="A16" workbookViewId="0">
      <selection activeCell="J46" sqref="F46:AI46"/>
    </sheetView>
  </sheetViews>
  <sheetFormatPr baseColWidth="10" defaultColWidth="11.36328125" defaultRowHeight="14.5"/>
  <cols>
    <col min="1" max="1" width="40.7265625" style="250" customWidth="1"/>
    <col min="2" max="2" width="43.08984375" style="250" customWidth="1"/>
    <col min="3" max="3" width="105.6328125" style="250" bestFit="1" customWidth="1"/>
    <col min="4" max="4" width="30.26953125" style="250" customWidth="1"/>
    <col min="5" max="5" width="11.36328125" style="250"/>
    <col min="6" max="6" width="24.6328125" style="250" customWidth="1"/>
    <col min="7" max="7" width="11.36328125" style="250"/>
    <col min="8" max="8" width="17.6328125" style="250" customWidth="1"/>
    <col min="9" max="9" width="31.26953125" style="250" bestFit="1" customWidth="1"/>
    <col min="10" max="10" width="54.08984375" style="250" customWidth="1"/>
    <col min="11" max="11" width="27" style="250" customWidth="1"/>
    <col min="12" max="12" width="31.7265625" style="250" bestFit="1" customWidth="1"/>
    <col min="13" max="13" width="23.08984375" style="250" bestFit="1" customWidth="1"/>
    <col min="14" max="16" width="11.36328125" style="250"/>
    <col min="17" max="17" width="30.36328125" style="250" customWidth="1"/>
    <col min="18" max="16384" width="11.36328125" style="250"/>
  </cols>
  <sheetData>
    <row r="1" spans="1:35">
      <c r="B1" s="250" t="s">
        <v>135</v>
      </c>
      <c r="D1" s="250" t="str">
        <f>'Surface DEET'!E3</f>
        <v>H2a</v>
      </c>
    </row>
    <row r="2" spans="1:35">
      <c r="B2" s="250" t="s">
        <v>136</v>
      </c>
      <c r="D2" s="250" t="str">
        <f>'Surface DEET'!E4</f>
        <v>Altitude &lt; 400 m</v>
      </c>
    </row>
    <row r="5" spans="1:35">
      <c r="F5" s="250" t="s">
        <v>547</v>
      </c>
      <c r="G5" s="250" t="s">
        <v>548</v>
      </c>
      <c r="H5" s="250" t="s">
        <v>549</v>
      </c>
      <c r="I5" s="250" t="s">
        <v>550</v>
      </c>
      <c r="J5" s="250" t="s">
        <v>551</v>
      </c>
      <c r="K5" s="250" t="s">
        <v>552</v>
      </c>
      <c r="L5" s="250" t="s">
        <v>553</v>
      </c>
      <c r="M5" s="250" t="s">
        <v>554</v>
      </c>
      <c r="N5" s="250" t="s">
        <v>555</v>
      </c>
      <c r="O5" s="250" t="s">
        <v>556</v>
      </c>
      <c r="P5" s="250" t="s">
        <v>557</v>
      </c>
      <c r="Q5" s="250" t="s">
        <v>558</v>
      </c>
      <c r="R5" s="250" t="s">
        <v>559</v>
      </c>
      <c r="S5" s="250" t="s">
        <v>560</v>
      </c>
      <c r="T5" s="250" t="s">
        <v>561</v>
      </c>
      <c r="U5" s="250" t="s">
        <v>562</v>
      </c>
      <c r="V5" s="250" t="s">
        <v>563</v>
      </c>
      <c r="W5" s="250" t="s">
        <v>564</v>
      </c>
      <c r="X5" s="250" t="s">
        <v>565</v>
      </c>
      <c r="Y5" s="250" t="s">
        <v>566</v>
      </c>
      <c r="Z5" s="250" t="s">
        <v>567</v>
      </c>
      <c r="AA5" s="250" t="s">
        <v>568</v>
      </c>
      <c r="AB5" s="250" t="s">
        <v>569</v>
      </c>
      <c r="AC5" s="250" t="s">
        <v>570</v>
      </c>
      <c r="AD5" s="250" t="s">
        <v>571</v>
      </c>
      <c r="AE5" s="250" t="s">
        <v>572</v>
      </c>
      <c r="AF5" s="250" t="s">
        <v>573</v>
      </c>
      <c r="AG5" s="250" t="s">
        <v>574</v>
      </c>
      <c r="AH5" s="250" t="s">
        <v>575</v>
      </c>
      <c r="AI5" s="250" t="s">
        <v>576</v>
      </c>
    </row>
    <row r="6" spans="1:35">
      <c r="F6" s="250">
        <f>INDEX('Surface DEET'!$E$9:$E$38,COLUMN(Calculs_CABS!F5)-COLUMN(Calculs_CABS!$E$5),1)</f>
        <v>0</v>
      </c>
      <c r="G6" s="250">
        <f>INDEX('Surface DEET'!$E$9:$E$38,COLUMN(Calculs_CABS!G5)-COLUMN(Calculs_CABS!$E$5),1)</f>
        <v>0</v>
      </c>
      <c r="H6" s="250">
        <f>INDEX('Surface DEET'!$E$9:$E$38,COLUMN(Calculs_CABS!H5)-COLUMN(Calculs_CABS!$E$5),1)</f>
        <v>0</v>
      </c>
      <c r="I6" s="250">
        <f>INDEX('Surface DEET'!$E$9:$E$38,COLUMN(Calculs_CABS!I5)-COLUMN(Calculs_CABS!$E$5),1)</f>
        <v>0</v>
      </c>
      <c r="J6" s="250">
        <f>INDEX('Surface DEET'!$E$9:$E$38,COLUMN(Calculs_CABS!J5)-COLUMN(Calculs_CABS!$E$5),1)</f>
        <v>0</v>
      </c>
      <c r="K6" s="250">
        <f>INDEX('Surface DEET'!$E$9:$E$38,COLUMN(Calculs_CABS!K5)-COLUMN(Calculs_CABS!$E$5),1)</f>
        <v>0</v>
      </c>
      <c r="L6" s="250">
        <f>INDEX('Surface DEET'!$E$9:$E$38,COLUMN(Calculs_CABS!L5)-COLUMN(Calculs_CABS!$E$5),1)</f>
        <v>0</v>
      </c>
      <c r="M6" s="250">
        <f>INDEX('Surface DEET'!$E$9:$E$38,COLUMN(Calculs_CABS!M5)-COLUMN(Calculs_CABS!$E$5),1)</f>
        <v>0</v>
      </c>
      <c r="N6" s="250">
        <f>INDEX('Surface DEET'!$E$9:$E$38,COLUMN(Calculs_CABS!N5)-COLUMN(Calculs_CABS!$E$5),1)</f>
        <v>0</v>
      </c>
      <c r="O6" s="250">
        <f>INDEX('Surface DEET'!$E$9:$E$38,COLUMN(Calculs_CABS!O5)-COLUMN(Calculs_CABS!$E$5),1)</f>
        <v>0</v>
      </c>
      <c r="P6" s="250">
        <f>INDEX('Surface DEET'!$E$9:$E$38,COLUMN(Calculs_CABS!P5)-COLUMN(Calculs_CABS!$E$5),1)</f>
        <v>0</v>
      </c>
      <c r="Q6" s="250">
        <f>INDEX('Surface DEET'!$E$9:$E$38,COLUMN(Calculs_CABS!Q5)-COLUMN(Calculs_CABS!$E$5),1)</f>
        <v>0</v>
      </c>
      <c r="R6" s="250">
        <f>INDEX('Surface DEET'!$E$9:$E$38,COLUMN(Calculs_CABS!R5)-COLUMN(Calculs_CABS!$E$5),1)</f>
        <v>0</v>
      </c>
      <c r="S6" s="250">
        <f>INDEX('Surface DEET'!$E$9:$E$38,COLUMN(Calculs_CABS!S5)-COLUMN(Calculs_CABS!$E$5),1)</f>
        <v>0</v>
      </c>
      <c r="T6" s="250">
        <f>INDEX('Surface DEET'!$E$9:$E$38,COLUMN(Calculs_CABS!T5)-COLUMN(Calculs_CABS!$E$5),1)</f>
        <v>0</v>
      </c>
      <c r="U6" s="250">
        <f>INDEX('Surface DEET'!$E$9:$E$38,COLUMN(Calculs_CABS!U5)-COLUMN(Calculs_CABS!$E$5),1)</f>
        <v>0</v>
      </c>
      <c r="V6" s="250">
        <f>INDEX('Surface DEET'!$E$9:$E$38,COLUMN(Calculs_CABS!V5)-COLUMN(Calculs_CABS!$E$5),1)</f>
        <v>0</v>
      </c>
      <c r="W6" s="250">
        <f>INDEX('Surface DEET'!$E$9:$E$38,COLUMN(Calculs_CABS!W5)-COLUMN(Calculs_CABS!$E$5),1)</f>
        <v>0</v>
      </c>
      <c r="X6" s="250">
        <f>INDEX('Surface DEET'!$E$9:$E$38,COLUMN(Calculs_CABS!X5)-COLUMN(Calculs_CABS!$E$5),1)</f>
        <v>0</v>
      </c>
      <c r="Y6" s="250">
        <f>INDEX('Surface DEET'!$E$9:$E$38,COLUMN(Calculs_CABS!Y5)-COLUMN(Calculs_CABS!$E$5),1)</f>
        <v>0</v>
      </c>
      <c r="Z6" s="250">
        <f>INDEX('Surface DEET'!$E$9:$E$38,COLUMN(Calculs_CABS!Z5)-COLUMN(Calculs_CABS!$E$5),1)</f>
        <v>0</v>
      </c>
      <c r="AA6" s="250">
        <f>INDEX('Surface DEET'!$E$9:$E$38,COLUMN(Calculs_CABS!AA5)-COLUMN(Calculs_CABS!$E$5),1)</f>
        <v>0</v>
      </c>
      <c r="AB6" s="250">
        <f>INDEX('Surface DEET'!$E$9:$E$38,COLUMN(Calculs_CABS!AB5)-COLUMN(Calculs_CABS!$E$5),1)</f>
        <v>0</v>
      </c>
      <c r="AC6" s="250">
        <f>INDEX('Surface DEET'!$E$9:$E$38,COLUMN(Calculs_CABS!AC5)-COLUMN(Calculs_CABS!$E$5),1)</f>
        <v>0</v>
      </c>
      <c r="AD6" s="250">
        <f>INDEX('Surface DEET'!$E$9:$E$38,COLUMN(Calculs_CABS!AD5)-COLUMN(Calculs_CABS!$E$5),1)</f>
        <v>0</v>
      </c>
      <c r="AE6" s="250">
        <f>INDEX('Surface DEET'!$E$9:$E$38,COLUMN(Calculs_CABS!AE5)-COLUMN(Calculs_CABS!$E$5),1)</f>
        <v>0</v>
      </c>
      <c r="AF6" s="250">
        <f>INDEX('Surface DEET'!$E$9:$E$38,COLUMN(Calculs_CABS!AF5)-COLUMN(Calculs_CABS!$E$5),1)</f>
        <v>0</v>
      </c>
      <c r="AG6" s="250">
        <f>INDEX('Surface DEET'!$E$9:$E$38,COLUMN(Calculs_CABS!AG5)-COLUMN(Calculs_CABS!$E$5),1)</f>
        <v>0</v>
      </c>
      <c r="AH6" s="250">
        <f>INDEX('Surface DEET'!$E$9:$E$38,COLUMN(Calculs_CABS!AH5)-COLUMN(Calculs_CABS!$E$5),1)</f>
        <v>0</v>
      </c>
      <c r="AI6" s="250">
        <f>INDEX('Surface DEET'!$E$9:$E$38,COLUMN(Calculs_CABS!AI5)-COLUMN(Calculs_CABS!$E$5),1)</f>
        <v>0</v>
      </c>
    </row>
    <row r="7" spans="1:35">
      <c r="D7" s="30" t="s">
        <v>577</v>
      </c>
      <c r="F7" s="250" t="e">
        <f t="array" ref="F7">INDEX($C$9:$AI$900,MATCH(1,($C$9:$C$900=F$6)*($D$9:$D$900="Use modulé"),0),COLUMN(F6)-COLUMN($C$6)+1)</f>
        <v>#N/A</v>
      </c>
      <c r="G7" s="250" t="e">
        <f t="array" ref="G7">INDEX($C$9:$AI$900,MATCH(1,($C$9:$C$900=G$6)*($D$9:$D$900="Use modulé"),0),COLUMN(G6)-COLUMN($C$6)+1)</f>
        <v>#N/A</v>
      </c>
      <c r="H7" s="250" t="e">
        <f t="array" ref="H7">INDEX($C$9:$AI$900,MATCH(1,($C$9:$C$900=H$6)*($D$9:$D$900="Use modulé"),0),COLUMN(H6)-COLUMN($C$6)+1)</f>
        <v>#N/A</v>
      </c>
      <c r="I7" s="250" t="e">
        <f t="array" ref="I7">INDEX($C$9:$AI$900,MATCH(1,($C$9:$C$900=I$6)*($D$9:$D$900="Use modulé"),0),COLUMN(I6)-COLUMN($C$6)+1)</f>
        <v>#N/A</v>
      </c>
      <c r="J7" s="250" t="e">
        <f t="array" ref="J7">INDEX($C$9:$AI$900,MATCH(1,($C$9:$C$900=J$6)*($D$9:$D$900="Use modulé"),0),COLUMN(J6)-COLUMN($C$6)+1)</f>
        <v>#N/A</v>
      </c>
      <c r="K7" s="250" t="e">
        <f t="array" ref="K7">INDEX($C$9:$AI$900,MATCH(1,($C$9:$C$900=K$6)*($D$9:$D$900="Use modulé"),0),COLUMN(K6)-COLUMN($C$6)+1)</f>
        <v>#N/A</v>
      </c>
      <c r="L7" s="250" t="e">
        <f t="array" ref="L7">INDEX($C$9:$AI$900,MATCH(1,($C$9:$C$900=L$6)*($D$9:$D$900="Use modulé"),0),COLUMN(L6)-COLUMN($C$6)+1)</f>
        <v>#N/A</v>
      </c>
      <c r="M7" s="250" t="e">
        <f t="array" ref="M7">INDEX($C$9:$AI$900,MATCH(1,($C$9:$C$900=M$6)*($D$9:$D$900="Use modulé"),0),COLUMN(M6)-COLUMN($C$6)+1)</f>
        <v>#N/A</v>
      </c>
      <c r="N7" s="250" t="e">
        <f t="array" ref="N7">INDEX($C$9:$AI$900,MATCH(1,($C$9:$C$900=N$6)*($D$9:$D$900="Use modulé"),0),COLUMN(N6)-COLUMN($C$6)+1)</f>
        <v>#N/A</v>
      </c>
      <c r="O7" s="250" t="e">
        <f t="array" ref="O7">INDEX($C$9:$AI$900,MATCH(1,($C$9:$C$900=O$6)*($D$9:$D$900="Use modulé"),0),COLUMN(O6)-COLUMN($C$6)+1)</f>
        <v>#N/A</v>
      </c>
      <c r="P7" s="250" t="e">
        <f t="array" ref="P7">INDEX($C$9:$AI$900,MATCH(1,($C$9:$C$900=P$6)*($D$9:$D$900="Use modulé"),0),COLUMN(P6)-COLUMN($C$6)+1)</f>
        <v>#N/A</v>
      </c>
      <c r="Q7" s="250" t="e">
        <f t="array" ref="Q7">INDEX($C$9:$AI$900,MATCH(1,($C$9:$C$900=Q$6)*($D$9:$D$900="Use modulé"),0),COLUMN(Q6)-COLUMN($C$6)+1)</f>
        <v>#N/A</v>
      </c>
      <c r="R7" s="250" t="e">
        <f t="array" ref="R7">INDEX($C$9:$AI$900,MATCH(1,($C$9:$C$900=R$6)*($D$9:$D$900="Use modulé"),0),COLUMN(R6)-COLUMN($C$6)+1)</f>
        <v>#N/A</v>
      </c>
      <c r="S7" s="250" t="e">
        <f t="array" ref="S7">INDEX($C$9:$AI$900,MATCH(1,($C$9:$C$900=S$6)*($D$9:$D$900="Use modulé"),0),COLUMN(S6)-COLUMN($C$6)+1)</f>
        <v>#N/A</v>
      </c>
      <c r="T7" s="250" t="e">
        <f t="array" ref="T7">INDEX($C$9:$AI$900,MATCH(1,($C$9:$C$900=T$6)*($D$9:$D$900="Use modulé"),0),COLUMN(T6)-COLUMN($C$6)+1)</f>
        <v>#N/A</v>
      </c>
      <c r="U7" s="250" t="e">
        <f t="array" ref="U7">INDEX($C$9:$AI$900,MATCH(1,($C$9:$C$900=U$6)*($D$9:$D$900="Use modulé"),0),COLUMN(U6)-COLUMN($C$6)+1)</f>
        <v>#N/A</v>
      </c>
      <c r="V7" s="250" t="e">
        <f t="array" ref="V7">INDEX($C$9:$AI$900,MATCH(1,($C$9:$C$900=V$6)*($D$9:$D$900="Use modulé"),0),COLUMN(V6)-COLUMN($C$6)+1)</f>
        <v>#N/A</v>
      </c>
      <c r="W7" s="250" t="e">
        <f t="array" ref="W7">INDEX($C$9:$AI$900,MATCH(1,($C$9:$C$900=W$6)*($D$9:$D$900="Use modulé"),0),COLUMN(W6)-COLUMN($C$6)+1)</f>
        <v>#N/A</v>
      </c>
      <c r="X7" s="250" t="e">
        <f t="array" ref="X7">INDEX($C$9:$AI$900,MATCH(1,($C$9:$C$900=X$6)*($D$9:$D$900="Use modulé"),0),COLUMN(X6)-COLUMN($C$6)+1)</f>
        <v>#N/A</v>
      </c>
      <c r="Y7" s="250" t="e">
        <f t="array" ref="Y7">INDEX($C$9:$AI$900,MATCH(1,($C$9:$C$900=Y$6)*($D$9:$D$900="Use modulé"),0),COLUMN(Y6)-COLUMN($C$6)+1)</f>
        <v>#N/A</v>
      </c>
      <c r="Z7" s="250" t="e">
        <f t="array" ref="Z7">INDEX($C$9:$AI$900,MATCH(1,($C$9:$C$900=Z$6)*($D$9:$D$900="Use modulé"),0),COLUMN(Z6)-COLUMN($C$6)+1)</f>
        <v>#N/A</v>
      </c>
      <c r="AA7" s="250" t="e">
        <f t="array" ref="AA7">INDEX($C$9:$AI$900,MATCH(1,($C$9:$C$900=AA$6)*($D$9:$D$900="Use modulé"),0),COLUMN(AA6)-COLUMN($C$6)+1)</f>
        <v>#N/A</v>
      </c>
      <c r="AB7" s="250" t="e">
        <f t="array" ref="AB7">INDEX($C$9:$AI$900,MATCH(1,($C$9:$C$900=AB$6)*($D$9:$D$900="Use modulé"),0),COLUMN(AB6)-COLUMN($C$6)+1)</f>
        <v>#N/A</v>
      </c>
      <c r="AC7" s="250" t="e">
        <f t="array" ref="AC7">INDEX($C$9:$AI$900,MATCH(1,($C$9:$C$900=AC$6)*($D$9:$D$900="Use modulé"),0),COLUMN(AC6)-COLUMN($C$6)+1)</f>
        <v>#N/A</v>
      </c>
      <c r="AD7" s="250" t="e">
        <f t="array" ref="AD7">INDEX($C$9:$AI$900,MATCH(1,($C$9:$C$900=AD$6)*($D$9:$D$900="Use modulé"),0),COLUMN(AD6)-COLUMN($C$6)+1)</f>
        <v>#N/A</v>
      </c>
      <c r="AE7" s="250" t="e">
        <f t="array" ref="AE7">INDEX($C$9:$AI$900,MATCH(1,($C$9:$C$900=AE$6)*($D$9:$D$900="Use modulé"),0),COLUMN(AE6)-COLUMN($C$6)+1)</f>
        <v>#N/A</v>
      </c>
      <c r="AF7" s="250" t="e">
        <f t="array" ref="AF7">INDEX($C$9:$AI$900,MATCH(1,($C$9:$C$900=AF$6)*($D$9:$D$900="Use modulé"),0),COLUMN(AF6)-COLUMN($C$6)+1)</f>
        <v>#N/A</v>
      </c>
      <c r="AG7" s="250" t="e">
        <f t="array" ref="AG7">INDEX($C$9:$AI$900,MATCH(1,($C$9:$C$900=AG$6)*($D$9:$D$900="Use modulé"),0),COLUMN(AG6)-COLUMN($C$6)+1)</f>
        <v>#N/A</v>
      </c>
      <c r="AH7" s="250" t="e">
        <f t="array" ref="AH7">INDEX($C$9:$AI$900,MATCH(1,($C$9:$C$900=AH$6)*($D$9:$D$900="Use modulé"),0),COLUMN(AH6)-COLUMN($C$6)+1)</f>
        <v>#N/A</v>
      </c>
      <c r="AI7" s="250" t="e">
        <f t="array" ref="AI7">INDEX($C$9:$AI$900,MATCH(1,($C$9:$C$900=AI$6)*($D$9:$D$900="Use modulé"),0),COLUMN(AI6)-COLUMN($C$6)+1)</f>
        <v>#N/A</v>
      </c>
    </row>
    <row r="8" spans="1:35">
      <c r="B8" s="250" t="s">
        <v>578</v>
      </c>
      <c r="C8" s="250" t="s">
        <v>579</v>
      </c>
      <c r="D8" s="250" t="s">
        <v>580</v>
      </c>
      <c r="E8" s="250" t="s">
        <v>581</v>
      </c>
    </row>
    <row r="9" spans="1:35">
      <c r="B9" s="88" t="s">
        <v>294</v>
      </c>
      <c r="C9" s="250" t="s">
        <v>582</v>
      </c>
      <c r="D9" s="88" t="s">
        <v>294</v>
      </c>
      <c r="E9" s="250">
        <f t="array" ref="E9">INDEX(CABS_CVC!$C$3:$O$894,MATCH(1, (CABS_CVC!$A$3:$A$894=Calculs_CABS!C9)*(CABS_CVC!$B$3:$B$894=Calculs_CABS!$D$2),0),MATCH(Calculs_CABS!$D$1,Liste_CABS!$B$3:$B$15,0))</f>
        <v>57</v>
      </c>
    </row>
    <row r="10" spans="1:35">
      <c r="A10" s="692" t="s">
        <v>582</v>
      </c>
      <c r="B10" s="250" t="s">
        <v>534</v>
      </c>
      <c r="C10" s="250" t="s">
        <v>582</v>
      </c>
      <c r="D10" s="250" t="s">
        <v>534</v>
      </c>
      <c r="E10" s="250">
        <v>50</v>
      </c>
    </row>
    <row r="11" spans="1:35">
      <c r="A11" s="692"/>
      <c r="B11" s="250" t="s">
        <v>535</v>
      </c>
      <c r="C11" s="250" t="s">
        <v>582</v>
      </c>
      <c r="D11" s="250" t="s">
        <v>535</v>
      </c>
      <c r="E11" s="250">
        <f>E9+E10</f>
        <v>107</v>
      </c>
    </row>
    <row r="12" spans="1:35">
      <c r="A12" s="692"/>
      <c r="B12" s="250" t="s">
        <v>536</v>
      </c>
      <c r="C12" s="250" t="s">
        <v>582</v>
      </c>
      <c r="D12" s="250" t="s">
        <v>536</v>
      </c>
      <c r="E12" s="250">
        <v>0.69</v>
      </c>
    </row>
    <row r="13" spans="1:35">
      <c r="A13" s="692"/>
      <c r="B13" s="250" t="s">
        <v>537</v>
      </c>
      <c r="C13" s="250" t="s">
        <v>582</v>
      </c>
      <c r="D13" s="296" t="s">
        <v>583</v>
      </c>
      <c r="E13" s="250">
        <v>3120</v>
      </c>
      <c r="F13" s="250">
        <f>IF(F$6=$C13,IF(INDEX('Surface DEET'!$Q$9:$W$38,COLUMN(F6)-COLUMN($E$5),1)&gt;0,INDEX('Surface DEET'!$Q$9:$W$38,COLUMN(F6)-COLUMN($E$5),1),$E13),0)</f>
        <v>0</v>
      </c>
      <c r="G13" s="250">
        <f>IF(G$6=$C13,IF(INDEX('Surface DEET'!$Q$9:$W$38,COLUMN(G6)-COLUMN($E$5),1)&gt;0,INDEX('Surface DEET'!$Q$9:$W$38,COLUMN(G6)-COLUMN($E$5),1),$E13),0)</f>
        <v>0</v>
      </c>
      <c r="H13" s="250">
        <f>IF(H$6=$C13,IF(INDEX('Surface DEET'!$Q$9:$W$38,COLUMN(H6)-COLUMN($E$5),1)&gt;0,INDEX('Surface DEET'!$Q$9:$W$38,COLUMN(H6)-COLUMN($E$5),1),$E13),0)</f>
        <v>0</v>
      </c>
      <c r="I13" s="250">
        <f>IF(I$6=$C13,IF(INDEX('Surface DEET'!$Q$9:$W$38,COLUMN(I6)-COLUMN($E$5),1)&gt;0,INDEX('Surface DEET'!$Q$9:$W$38,COLUMN(I6)-COLUMN($E$5),1),$E13),0)</f>
        <v>0</v>
      </c>
      <c r="J13" s="250">
        <f>IF(J$6=$C13,IF(INDEX('Surface DEET'!$Q$9:$W$38,COLUMN(J6)-COLUMN($E$5),1)&gt;0,INDEX('Surface DEET'!$Q$9:$W$38,COLUMN(J6)-COLUMN($E$5),1),$E13),0)</f>
        <v>0</v>
      </c>
      <c r="K13" s="250">
        <f>IF(K$6=$C13,IF(INDEX('Surface DEET'!$Q$9:$W$38,COLUMN(K6)-COLUMN($E$5),1)&gt;0,INDEX('Surface DEET'!$Q$9:$W$38,COLUMN(K6)-COLUMN($E$5),1),$E13),0)</f>
        <v>0</v>
      </c>
      <c r="L13" s="250">
        <f>IF(L$6=$C13,IF(INDEX('Surface DEET'!$Q$9:$W$38,COLUMN(L6)-COLUMN($E$5),1)&gt;0,INDEX('Surface DEET'!$Q$9:$W$38,COLUMN(L6)-COLUMN($E$5),1),$E13),0)</f>
        <v>0</v>
      </c>
      <c r="M13" s="250">
        <f>IF(M$6=$C13,IF(INDEX('Surface DEET'!$Q$9:$W$38,COLUMN(M6)-COLUMN($E$5),1)&gt;0,INDEX('Surface DEET'!$Q$9:$W$38,COLUMN(M6)-COLUMN($E$5),1),$E13),0)</f>
        <v>0</v>
      </c>
      <c r="N13" s="250">
        <f>IF(N$6=$C13,IF(INDEX('Surface DEET'!$Q$9:$W$38,COLUMN(N6)-COLUMN($E$5),1)&gt;0,INDEX('Surface DEET'!$Q$9:$W$38,COLUMN(N6)-COLUMN($E$5),1),$E13),0)</f>
        <v>0</v>
      </c>
      <c r="O13" s="250">
        <f>IF(O$6=$C13,IF(INDEX('Surface DEET'!$Q$9:$W$38,COLUMN(O6)-COLUMN($E$5),1)&gt;0,INDEX('Surface DEET'!$Q$9:$W$38,COLUMN(O6)-COLUMN($E$5),1),$E13),0)</f>
        <v>0</v>
      </c>
      <c r="P13" s="250">
        <f>IF(P$6=$C13,IF(INDEX('Surface DEET'!$Q$9:$W$38,COLUMN(P6)-COLUMN($E$5),1)&gt;0,INDEX('Surface DEET'!$Q$9:$W$38,COLUMN(P6)-COLUMN($E$5),1),$E13),0)</f>
        <v>0</v>
      </c>
      <c r="Q13" s="250">
        <f>IF(Q$6=$C13,IF(INDEX('Surface DEET'!$Q$9:$W$38,COLUMN(Q6)-COLUMN($E$5),1)&gt;0,INDEX('Surface DEET'!$Q$9:$W$38,COLUMN(Q6)-COLUMN($E$5),1),$E13),0)</f>
        <v>0</v>
      </c>
      <c r="R13" s="250">
        <f>IF(R$6=$C13,IF(INDEX('Surface DEET'!$Q$9:$W$38,COLUMN(R6)-COLUMN($E$5),1)&gt;0,INDEX('Surface DEET'!$Q$9:$W$38,COLUMN(R6)-COLUMN($E$5),1),$E13),0)</f>
        <v>0</v>
      </c>
      <c r="S13" s="250">
        <f>IF(S$6=$C13,IF(INDEX('Surface DEET'!$Q$9:$W$38,COLUMN(S6)-COLUMN($E$5),1)&gt;0,INDEX('Surface DEET'!$Q$9:$W$38,COLUMN(S6)-COLUMN($E$5),1),$E13),0)</f>
        <v>0</v>
      </c>
      <c r="T13" s="250">
        <f>IF(T$6=$C13,IF(INDEX('Surface DEET'!$Q$9:$W$38,COLUMN(T6)-COLUMN($E$5),1)&gt;0,INDEX('Surface DEET'!$Q$9:$W$38,COLUMN(T6)-COLUMN($E$5),1),$E13),0)</f>
        <v>0</v>
      </c>
      <c r="U13" s="250">
        <f>IF(U$6=$C13,IF(INDEX('Surface DEET'!$Q$9:$W$38,COLUMN(U6)-COLUMN($E$5),1)&gt;0,INDEX('Surface DEET'!$Q$9:$W$38,COLUMN(U6)-COLUMN($E$5),1),$E13),0)</f>
        <v>0</v>
      </c>
      <c r="V13" s="250">
        <f>IF(V$6=$C13,IF(INDEX('Surface DEET'!$Q$9:$W$38,COLUMN(V6)-COLUMN($E$5),1)&gt;0,INDEX('Surface DEET'!$Q$9:$W$38,COLUMN(V6)-COLUMN($E$5),1),$E13),0)</f>
        <v>0</v>
      </c>
      <c r="W13" s="250">
        <f>IF(W$6=$C13,IF(INDEX('Surface DEET'!$Q$9:$W$38,COLUMN(W6)-COLUMN($E$5),1)&gt;0,INDEX('Surface DEET'!$Q$9:$W$38,COLUMN(W6)-COLUMN($E$5),1),$E13),0)</f>
        <v>0</v>
      </c>
      <c r="X13" s="250">
        <f>IF(X$6=$C13,IF(INDEX('Surface DEET'!$Q$9:$W$38,COLUMN(X6)-COLUMN($E$5),1)&gt;0,INDEX('Surface DEET'!$Q$9:$W$38,COLUMN(X6)-COLUMN($E$5),1),$E13),0)</f>
        <v>0</v>
      </c>
      <c r="Y13" s="250">
        <f>IF(Y$6=$C13,IF(INDEX('Surface DEET'!$Q$9:$W$38,COLUMN(Y6)-COLUMN($E$5),1)&gt;0,INDEX('Surface DEET'!$Q$9:$W$38,COLUMN(Y6)-COLUMN($E$5),1),$E13),0)</f>
        <v>0</v>
      </c>
      <c r="Z13" s="250">
        <f>IF(Z$6=$C13,IF(INDEX('Surface DEET'!$Q$9:$W$38,COLUMN(Z6)-COLUMN($E$5),1)&gt;0,INDEX('Surface DEET'!$Q$9:$W$38,COLUMN(Z6)-COLUMN($E$5),1),$E13),0)</f>
        <v>0</v>
      </c>
      <c r="AA13" s="250">
        <f>IF(AA$6=$C13,IF(INDEX('Surface DEET'!$Q$9:$W$38,COLUMN(AA6)-COLUMN($E$5),1)&gt;0,INDEX('Surface DEET'!$Q$9:$W$38,COLUMN(AA6)-COLUMN($E$5),1),$E13),0)</f>
        <v>0</v>
      </c>
      <c r="AB13" s="250">
        <f>IF(AB$6=$C13,IF(INDEX('Surface DEET'!$Q$9:$W$38,COLUMN(AB6)-COLUMN($E$5),1)&gt;0,INDEX('Surface DEET'!$Q$9:$W$38,COLUMN(AB6)-COLUMN($E$5),1),$E13),0)</f>
        <v>0</v>
      </c>
      <c r="AC13" s="250">
        <f>IF(AC$6=$C13,IF(INDEX('Surface DEET'!$Q$9:$W$38,COLUMN(AC6)-COLUMN($E$5),1)&gt;0,INDEX('Surface DEET'!$Q$9:$W$38,COLUMN(AC6)-COLUMN($E$5),1),$E13),0)</f>
        <v>0</v>
      </c>
      <c r="AD13" s="250">
        <f>IF(AD$6=$C13,IF(INDEX('Surface DEET'!$Q$9:$W$38,COLUMN(AD6)-COLUMN($E$5),1)&gt;0,INDEX('Surface DEET'!$Q$9:$W$38,COLUMN(AD6)-COLUMN($E$5),1),$E13),0)</f>
        <v>0</v>
      </c>
      <c r="AE13" s="250">
        <f>IF(AE$6=$C13,IF(INDEX('Surface DEET'!$Q$9:$W$38,COLUMN(AE6)-COLUMN($E$5),1)&gt;0,INDEX('Surface DEET'!$Q$9:$W$38,COLUMN(AE6)-COLUMN($E$5),1),$E13),0)</f>
        <v>0</v>
      </c>
      <c r="AF13" s="250">
        <f>IF(AF$6=$C13,IF(INDEX('Surface DEET'!$Q$9:$W$38,COLUMN(AF6)-COLUMN($E$5),1)&gt;0,INDEX('Surface DEET'!$Q$9:$W$38,COLUMN(AF6)-COLUMN($E$5),1),$E13),0)</f>
        <v>0</v>
      </c>
      <c r="AG13" s="250">
        <f>IF(AG$6=$C13,IF(INDEX('Surface DEET'!$Q$9:$W$38,COLUMN(AG6)-COLUMN($E$5),1)&gt;0,INDEX('Surface DEET'!$Q$9:$W$38,COLUMN(AG6)-COLUMN($E$5),1),$E13),0)</f>
        <v>0</v>
      </c>
      <c r="AH13" s="250">
        <f>IF(AH$6=$C13,IF(INDEX('Surface DEET'!$Q$9:$W$38,COLUMN(AH6)-COLUMN($E$5),1)&gt;0,INDEX('Surface DEET'!$Q$9:$W$38,COLUMN(AH6)-COLUMN($E$5),1),$E13),0)</f>
        <v>0</v>
      </c>
      <c r="AI13" s="250">
        <f>IF(AI$6=$C13,IF(INDEX('Surface DEET'!$Q$9:$W$38,COLUMN(AI6)-COLUMN($E$5),1)&gt;0,INDEX('Surface DEET'!$Q$9:$W$38,COLUMN(AI6)-COLUMN($E$5),1),$E13),0)</f>
        <v>0</v>
      </c>
    </row>
    <row r="14" spans="1:35">
      <c r="A14" s="692"/>
      <c r="B14" s="250" t="s">
        <v>540</v>
      </c>
      <c r="C14" s="250" t="s">
        <v>582</v>
      </c>
      <c r="D14" s="296" t="s">
        <v>584</v>
      </c>
      <c r="E14" s="250">
        <v>18</v>
      </c>
      <c r="F14" s="250">
        <f>IF(F$6=$C14,IF(INDEX('Surface DEET'!$Q$9:$W$38,COLUMN(F7)-COLUMN($E$5),4)&gt;0,INDEX('Surface DEET'!$Q$9:$W$38,COLUMN(F7)-COLUMN($E$5),4),$E14),0)</f>
        <v>0</v>
      </c>
      <c r="G14" s="250">
        <f>IF(G$6=$C14,IF(INDEX('Surface DEET'!$Q$9:$W$38,COLUMN(G7)-COLUMN($E$5),4)&gt;0,INDEX('Surface DEET'!$Q$9:$W$38,COLUMN(G7)-COLUMN($E$5),4),$E14),0)</f>
        <v>0</v>
      </c>
      <c r="H14" s="250">
        <f>IF(H$6=$C14,IF(INDEX('Surface DEET'!$Q$9:$W$38,COLUMN(H7)-COLUMN($E$5),4)&gt;0,INDEX('Surface DEET'!$Q$9:$W$38,COLUMN(H7)-COLUMN($E$5),4),$E14),0)</f>
        <v>0</v>
      </c>
      <c r="I14" s="250">
        <f>IF(I$6=$C14,IF(INDEX('Surface DEET'!$Q$9:$W$38,COLUMN(I7)-COLUMN($E$5),4)&gt;0,INDEX('Surface DEET'!$Q$9:$W$38,COLUMN(I7)-COLUMN($E$5),4),$E14),0)</f>
        <v>0</v>
      </c>
      <c r="J14" s="250">
        <f>IF(J$6=$C14,IF(INDEX('Surface DEET'!$Q$9:$W$38,COLUMN(J7)-COLUMN($E$5),4)&gt;0,INDEX('Surface DEET'!$Q$9:$W$38,COLUMN(J7)-COLUMN($E$5),4),$E14),0)</f>
        <v>0</v>
      </c>
      <c r="K14" s="250">
        <f>IF(K$6=$C14,IF(INDEX('Surface DEET'!$Q$9:$W$38,COLUMN(K7)-COLUMN($E$5),4)&gt;0,INDEX('Surface DEET'!$Q$9:$W$38,COLUMN(K7)-COLUMN($E$5),4),$E14),0)</f>
        <v>0</v>
      </c>
      <c r="L14" s="250">
        <f>IF(L$6=$C14,IF(INDEX('Surface DEET'!$Q$9:$W$38,COLUMN(L7)-COLUMN($E$5),4)&gt;0,INDEX('Surface DEET'!$Q$9:$W$38,COLUMN(L7)-COLUMN($E$5),4),$E14),0)</f>
        <v>0</v>
      </c>
      <c r="M14" s="250">
        <f>IF(M$6=$C14,IF(INDEX('Surface DEET'!$Q$9:$W$38,COLUMN(M7)-COLUMN($E$5),4)&gt;0,INDEX('Surface DEET'!$Q$9:$W$38,COLUMN(M7)-COLUMN($E$5),4),$E14),0)</f>
        <v>0</v>
      </c>
      <c r="N14" s="250">
        <f>IF(N$6=$C14,IF(INDEX('Surface DEET'!$Q$9:$W$38,COLUMN(N7)-COLUMN($E$5),4)&gt;0,INDEX('Surface DEET'!$Q$9:$W$38,COLUMN(N7)-COLUMN($E$5),4),$E14),0)</f>
        <v>0</v>
      </c>
      <c r="O14" s="250">
        <f>IF(O$6=$C14,IF(INDEX('Surface DEET'!$Q$9:$W$38,COLUMN(O7)-COLUMN($E$5),4)&gt;0,INDEX('Surface DEET'!$Q$9:$W$38,COLUMN(O7)-COLUMN($E$5),4),$E14),0)</f>
        <v>0</v>
      </c>
      <c r="P14" s="250">
        <f>IF(P$6=$C14,IF(INDEX('Surface DEET'!$Q$9:$W$38,COLUMN(P7)-COLUMN($E$5),4)&gt;0,INDEX('Surface DEET'!$Q$9:$W$38,COLUMN(P7)-COLUMN($E$5),4),$E14),0)</f>
        <v>0</v>
      </c>
      <c r="Q14" s="250">
        <f>IF(Q$6=$C14,IF(INDEX('Surface DEET'!$Q$9:$W$38,COLUMN(Q7)-COLUMN($E$5),4)&gt;0,INDEX('Surface DEET'!$Q$9:$W$38,COLUMN(Q7)-COLUMN($E$5),4),$E14),0)</f>
        <v>0</v>
      </c>
      <c r="R14" s="250">
        <f>IF(R$6=$C14,IF(INDEX('Surface DEET'!$Q$9:$W$38,COLUMN(R7)-COLUMN($E$5),4)&gt;0,INDEX('Surface DEET'!$Q$9:$W$38,COLUMN(R7)-COLUMN($E$5),4),$E14),0)</f>
        <v>0</v>
      </c>
      <c r="S14" s="250">
        <f>IF(S$6=$C14,IF(INDEX('Surface DEET'!$Q$9:$W$38,COLUMN(S7)-COLUMN($E$5),4)&gt;0,INDEX('Surface DEET'!$Q$9:$W$38,COLUMN(S7)-COLUMN($E$5),4),$E14),0)</f>
        <v>0</v>
      </c>
      <c r="T14" s="250">
        <f>IF(T$6=$C14,IF(INDEX('Surface DEET'!$Q$9:$W$38,COLUMN(T7)-COLUMN($E$5),4)&gt;0,INDEX('Surface DEET'!$Q$9:$W$38,COLUMN(T7)-COLUMN($E$5),4),$E14),0)</f>
        <v>0</v>
      </c>
      <c r="U14" s="250">
        <f>IF(U$6=$C14,IF(INDEX('Surface DEET'!$Q$9:$W$38,COLUMN(U7)-COLUMN($E$5),4)&gt;0,INDEX('Surface DEET'!$Q$9:$W$38,COLUMN(U7)-COLUMN($E$5),4),$E14),0)</f>
        <v>0</v>
      </c>
      <c r="V14" s="250">
        <f>IF(V$6=$C14,IF(INDEX('Surface DEET'!$Q$9:$W$38,COLUMN(V7)-COLUMN($E$5),4)&gt;0,INDEX('Surface DEET'!$Q$9:$W$38,COLUMN(V7)-COLUMN($E$5),4),$E14),0)</f>
        <v>0</v>
      </c>
      <c r="W14" s="250">
        <f>IF(W$6=$C14,IF(INDEX('Surface DEET'!$Q$9:$W$38,COLUMN(W7)-COLUMN($E$5),4)&gt;0,INDEX('Surface DEET'!$Q$9:$W$38,COLUMN(W7)-COLUMN($E$5),4),$E14),0)</f>
        <v>0</v>
      </c>
      <c r="X14" s="250">
        <f>IF(X$6=$C14,IF(INDEX('Surface DEET'!$Q$9:$W$38,COLUMN(X7)-COLUMN($E$5),4)&gt;0,INDEX('Surface DEET'!$Q$9:$W$38,COLUMN(X7)-COLUMN($E$5),4),$E14),0)</f>
        <v>0</v>
      </c>
      <c r="Y14" s="250">
        <f>IF(Y$6=$C14,IF(INDEX('Surface DEET'!$Q$9:$W$38,COLUMN(Y7)-COLUMN($E$5),4)&gt;0,INDEX('Surface DEET'!$Q$9:$W$38,COLUMN(Y7)-COLUMN($E$5),4),$E14),0)</f>
        <v>0</v>
      </c>
      <c r="Z14" s="250">
        <f>IF(Z$6=$C14,IF(INDEX('Surface DEET'!$Q$9:$W$38,COLUMN(Z7)-COLUMN($E$5),4)&gt;0,INDEX('Surface DEET'!$Q$9:$W$38,COLUMN(Z7)-COLUMN($E$5),4),$E14),0)</f>
        <v>0</v>
      </c>
      <c r="AA14" s="250">
        <f>IF(AA$6=$C14,IF(INDEX('Surface DEET'!$Q$9:$W$38,COLUMN(AA7)-COLUMN($E$5),4)&gt;0,INDEX('Surface DEET'!$Q$9:$W$38,COLUMN(AA7)-COLUMN($E$5),4),$E14),0)</f>
        <v>0</v>
      </c>
      <c r="AB14" s="250">
        <f>IF(AB$6=$C14,IF(INDEX('Surface DEET'!$Q$9:$W$38,COLUMN(AB7)-COLUMN($E$5),4)&gt;0,INDEX('Surface DEET'!$Q$9:$W$38,COLUMN(AB7)-COLUMN($E$5),4),$E14),0)</f>
        <v>0</v>
      </c>
      <c r="AC14" s="250">
        <f>IF(AC$6=$C14,IF(INDEX('Surface DEET'!$Q$9:$W$38,COLUMN(AC7)-COLUMN($E$5),4)&gt;0,INDEX('Surface DEET'!$Q$9:$W$38,COLUMN(AC7)-COLUMN($E$5),4),$E14),0)</f>
        <v>0</v>
      </c>
      <c r="AD14" s="250">
        <f>IF(AD$6=$C14,IF(INDEX('Surface DEET'!$Q$9:$W$38,COLUMN(AD7)-COLUMN($E$5),4)&gt;0,INDEX('Surface DEET'!$Q$9:$W$38,COLUMN(AD7)-COLUMN($E$5),4),$E14),0)</f>
        <v>0</v>
      </c>
      <c r="AE14" s="250">
        <f>IF(AE$6=$C14,IF(INDEX('Surface DEET'!$Q$9:$W$38,COLUMN(AE7)-COLUMN($E$5),4)&gt;0,INDEX('Surface DEET'!$Q$9:$W$38,COLUMN(AE7)-COLUMN($E$5),4),$E14),0)</f>
        <v>0</v>
      </c>
      <c r="AF14" s="250">
        <f>IF(AF$6=$C14,IF(INDEX('Surface DEET'!$Q$9:$W$38,COLUMN(AF7)-COLUMN($E$5),4)&gt;0,INDEX('Surface DEET'!$Q$9:$W$38,COLUMN(AF7)-COLUMN($E$5),4),$E14),0)</f>
        <v>0</v>
      </c>
      <c r="AG14" s="250">
        <f>IF(AG$6=$C14,IF(INDEX('Surface DEET'!$Q$9:$W$38,COLUMN(AG7)-COLUMN($E$5),4)&gt;0,INDEX('Surface DEET'!$Q$9:$W$38,COLUMN(AG7)-COLUMN($E$5),4),$E14),0)</f>
        <v>0</v>
      </c>
      <c r="AH14" s="250">
        <f>IF(AH$6=$C14,IF(INDEX('Surface DEET'!$Q$9:$W$38,COLUMN(AH7)-COLUMN($E$5),4)&gt;0,INDEX('Surface DEET'!$Q$9:$W$38,COLUMN(AH7)-COLUMN($E$5),4),$E14),0)</f>
        <v>0</v>
      </c>
      <c r="AI14" s="250">
        <f>IF(AI$6=$C14,IF(INDEX('Surface DEET'!$Q$9:$W$38,COLUMN(AI7)-COLUMN($E$5),4)&gt;0,INDEX('Surface DEET'!$Q$9:$W$38,COLUMN(AI7)-COLUMN($E$5),4),$E14),0)</f>
        <v>0</v>
      </c>
    </row>
    <row r="15" spans="1:35">
      <c r="A15" s="692"/>
      <c r="B15" s="250" t="s">
        <v>543</v>
      </c>
      <c r="C15" s="250" t="s">
        <v>582</v>
      </c>
      <c r="D15" s="296" t="s">
        <v>585</v>
      </c>
      <c r="E15" s="250">
        <v>70</v>
      </c>
      <c r="F15" s="250">
        <f>IF(F$6=$C15,IF(INDEX('Surface DEET'!$Q$9:$W$38,COLUMN(F8)-COLUMN($E$5),7)&gt;0,INDEX('Surface DEET'!$Q$9:$W$38,COLUMN(F8)-COLUMN($E$5),7),$E15),0)</f>
        <v>0</v>
      </c>
      <c r="G15" s="250">
        <f>IF(G$6=$C15,IF(INDEX('Surface DEET'!$Q$9:$W$38,COLUMN(G8)-COLUMN($E$5),7)&gt;0,INDEX('Surface DEET'!$Q$9:$W$38,COLUMN(G8)-COLUMN($E$5),7),$E15),0)</f>
        <v>0</v>
      </c>
      <c r="H15" s="250">
        <f>IF(H$6=$C15,IF(INDEX('Surface DEET'!$Q$9:$W$38,COLUMN(H8)-COLUMN($E$5),7)&gt;0,INDEX('Surface DEET'!$Q$9:$W$38,COLUMN(H8)-COLUMN($E$5),7),$E15),0)</f>
        <v>0</v>
      </c>
      <c r="I15" s="250">
        <f>IF(I$6=$C15,IF(INDEX('Surface DEET'!$Q$9:$W$38,COLUMN(I8)-COLUMN($E$5),7)&gt;0,INDEX('Surface DEET'!$Q$9:$W$38,COLUMN(I8)-COLUMN($E$5),7),$E15),0)</f>
        <v>0</v>
      </c>
      <c r="J15" s="250">
        <f>IF(J$6=$C15,IF(INDEX('Surface DEET'!$Q$9:$W$38,COLUMN(J8)-COLUMN($E$5),7)&gt;0,INDEX('Surface DEET'!$Q$9:$W$38,COLUMN(J8)-COLUMN($E$5),7),$E15),0)</f>
        <v>0</v>
      </c>
      <c r="K15" s="250">
        <f>IF(K$6=$C15,IF(INDEX('Surface DEET'!$Q$9:$W$38,COLUMN(K8)-COLUMN($E$5),7)&gt;0,INDEX('Surface DEET'!$Q$9:$W$38,COLUMN(K8)-COLUMN($E$5),7),$E15),0)</f>
        <v>0</v>
      </c>
      <c r="L15" s="250">
        <f>IF(L$6=$C15,IF(INDEX('Surface DEET'!$Q$9:$W$38,COLUMN(L8)-COLUMN($E$5),7)&gt;0,INDEX('Surface DEET'!$Q$9:$W$38,COLUMN(L8)-COLUMN($E$5),7),$E15),0)</f>
        <v>0</v>
      </c>
      <c r="M15" s="250">
        <f>IF(M$6=$C15,IF(INDEX('Surface DEET'!$Q$9:$W$38,COLUMN(M8)-COLUMN($E$5),7)&gt;0,INDEX('Surface DEET'!$Q$9:$W$38,COLUMN(M8)-COLUMN($E$5),7),$E15),0)</f>
        <v>0</v>
      </c>
      <c r="N15" s="250">
        <f>IF(N$6=$C15,IF(INDEX('Surface DEET'!$Q$9:$W$38,COLUMN(N8)-COLUMN($E$5),7)&gt;0,INDEX('Surface DEET'!$Q$9:$W$38,COLUMN(N8)-COLUMN($E$5),7),$E15),0)</f>
        <v>0</v>
      </c>
      <c r="O15" s="250">
        <f>IF(O$6=$C15,IF(INDEX('Surface DEET'!$Q$9:$W$38,COLUMN(O8)-COLUMN($E$5),7)&gt;0,INDEX('Surface DEET'!$Q$9:$W$38,COLUMN(O8)-COLUMN($E$5),7),$E15),0)</f>
        <v>0</v>
      </c>
      <c r="P15" s="250">
        <f>IF(P$6=$C15,IF(INDEX('Surface DEET'!$Q$9:$W$38,COLUMN(P8)-COLUMN($E$5),7)&gt;0,INDEX('Surface DEET'!$Q$9:$W$38,COLUMN(P8)-COLUMN($E$5),7),$E15),0)</f>
        <v>0</v>
      </c>
      <c r="Q15" s="250">
        <f>IF(Q$6=$C15,IF(INDEX('Surface DEET'!$Q$9:$W$38,COLUMN(Q8)-COLUMN($E$5),7)&gt;0,INDEX('Surface DEET'!$Q$9:$W$38,COLUMN(Q8)-COLUMN($E$5),7),$E15),0)</f>
        <v>0</v>
      </c>
      <c r="R15" s="250">
        <f>IF(R$6=$C15,IF(INDEX('Surface DEET'!$Q$9:$W$38,COLUMN(R8)-COLUMN($E$5),7)&gt;0,INDEX('Surface DEET'!$Q$9:$W$38,COLUMN(R8)-COLUMN($E$5),7),$E15),0)</f>
        <v>0</v>
      </c>
      <c r="S15" s="250">
        <f>IF(S$6=$C15,IF(INDEX('Surface DEET'!$Q$9:$W$38,COLUMN(S8)-COLUMN($E$5),7)&gt;0,INDEX('Surface DEET'!$Q$9:$W$38,COLUMN(S8)-COLUMN($E$5),7),$E15),0)</f>
        <v>0</v>
      </c>
      <c r="T15" s="250">
        <f>IF(T$6=$C15,IF(INDEX('Surface DEET'!$Q$9:$W$38,COLUMN(T8)-COLUMN($E$5),7)&gt;0,INDEX('Surface DEET'!$Q$9:$W$38,COLUMN(T8)-COLUMN($E$5),7),$E15),0)</f>
        <v>0</v>
      </c>
      <c r="U15" s="250">
        <f>IF(U$6=$C15,IF(INDEX('Surface DEET'!$Q$9:$W$38,COLUMN(U8)-COLUMN($E$5),7)&gt;0,INDEX('Surface DEET'!$Q$9:$W$38,COLUMN(U8)-COLUMN($E$5),7),$E15),0)</f>
        <v>0</v>
      </c>
      <c r="V15" s="250">
        <f>IF(V$6=$C15,IF(INDEX('Surface DEET'!$Q$9:$W$38,COLUMN(V8)-COLUMN($E$5),7)&gt;0,INDEX('Surface DEET'!$Q$9:$W$38,COLUMN(V8)-COLUMN($E$5),7),$E15),0)</f>
        <v>0</v>
      </c>
      <c r="W15" s="250">
        <f>IF(W$6=$C15,IF(INDEX('Surface DEET'!$Q$9:$W$38,COLUMN(W8)-COLUMN($E$5),7)&gt;0,INDEX('Surface DEET'!$Q$9:$W$38,COLUMN(W8)-COLUMN($E$5),7),$E15),0)</f>
        <v>0</v>
      </c>
      <c r="X15" s="250">
        <f>IF(X$6=$C15,IF(INDEX('Surface DEET'!$Q$9:$W$38,COLUMN(X8)-COLUMN($E$5),7)&gt;0,INDEX('Surface DEET'!$Q$9:$W$38,COLUMN(X8)-COLUMN($E$5),7),$E15),0)</f>
        <v>0</v>
      </c>
      <c r="Y15" s="250">
        <f>IF(Y$6=$C15,IF(INDEX('Surface DEET'!$Q$9:$W$38,COLUMN(Y8)-COLUMN($E$5),7)&gt;0,INDEX('Surface DEET'!$Q$9:$W$38,COLUMN(Y8)-COLUMN($E$5),7),$E15),0)</f>
        <v>0</v>
      </c>
      <c r="Z15" s="250">
        <f>IF(Z$6=$C15,IF(INDEX('Surface DEET'!$Q$9:$W$38,COLUMN(Z8)-COLUMN($E$5),7)&gt;0,INDEX('Surface DEET'!$Q$9:$W$38,COLUMN(Z8)-COLUMN($E$5),7),$E15),0)</f>
        <v>0</v>
      </c>
      <c r="AA15" s="250">
        <f>IF(AA$6=$C15,IF(INDEX('Surface DEET'!$Q$9:$W$38,COLUMN(AA8)-COLUMN($E$5),7)&gt;0,INDEX('Surface DEET'!$Q$9:$W$38,COLUMN(AA8)-COLUMN($E$5),7),$E15),0)</f>
        <v>0</v>
      </c>
      <c r="AB15" s="250">
        <f>IF(AB$6=$C15,IF(INDEX('Surface DEET'!$Q$9:$W$38,COLUMN(AB8)-COLUMN($E$5),7)&gt;0,INDEX('Surface DEET'!$Q$9:$W$38,COLUMN(AB8)-COLUMN($E$5),7),$E15),0)</f>
        <v>0</v>
      </c>
      <c r="AC15" s="250">
        <f>IF(AC$6=$C15,IF(INDEX('Surface DEET'!$Q$9:$W$38,COLUMN(AC8)-COLUMN($E$5),7)&gt;0,INDEX('Surface DEET'!$Q$9:$W$38,COLUMN(AC8)-COLUMN($E$5),7),$E15),0)</f>
        <v>0</v>
      </c>
      <c r="AD15" s="250">
        <f>IF(AD$6=$C15,IF(INDEX('Surface DEET'!$Q$9:$W$38,COLUMN(AD8)-COLUMN($E$5),7)&gt;0,INDEX('Surface DEET'!$Q$9:$W$38,COLUMN(AD8)-COLUMN($E$5),7),$E15),0)</f>
        <v>0</v>
      </c>
      <c r="AE15" s="250">
        <f>IF(AE$6=$C15,IF(INDEX('Surface DEET'!$Q$9:$W$38,COLUMN(AE8)-COLUMN($E$5),7)&gt;0,INDEX('Surface DEET'!$Q$9:$W$38,COLUMN(AE8)-COLUMN($E$5),7),$E15),0)</f>
        <v>0</v>
      </c>
      <c r="AF15" s="250">
        <f>IF(AF$6=$C15,IF(INDEX('Surface DEET'!$Q$9:$W$38,COLUMN(AF8)-COLUMN($E$5),7)&gt;0,INDEX('Surface DEET'!$Q$9:$W$38,COLUMN(AF8)-COLUMN($E$5),7),$E15),0)</f>
        <v>0</v>
      </c>
      <c r="AG15" s="250">
        <f>IF(AG$6=$C15,IF(INDEX('Surface DEET'!$Q$9:$W$38,COLUMN(AG8)-COLUMN($E$5),7)&gt;0,INDEX('Surface DEET'!$Q$9:$W$38,COLUMN(AG8)-COLUMN($E$5),7),$E15),0)</f>
        <v>0</v>
      </c>
      <c r="AH15" s="250">
        <f>IF(AH$6=$C15,IF(INDEX('Surface DEET'!$Q$9:$W$38,COLUMN(AH8)-COLUMN($E$5),7)&gt;0,INDEX('Surface DEET'!$Q$9:$W$38,COLUMN(AH8)-COLUMN($E$5),7),$E15),0)</f>
        <v>0</v>
      </c>
      <c r="AI15" s="250">
        <f>IF(AI$6=$C15,IF(INDEX('Surface DEET'!$Q$9:$W$38,COLUMN(AI8)-COLUMN($E$5),7)&gt;0,INDEX('Surface DEET'!$Q$9:$W$38,COLUMN(AI8)-COLUMN($E$5),7),$E15),0)</f>
        <v>0</v>
      </c>
    </row>
    <row r="16" spans="1:35">
      <c r="A16" s="692"/>
      <c r="B16" s="250" t="s">
        <v>533</v>
      </c>
      <c r="C16" s="250" t="s">
        <v>582</v>
      </c>
      <c r="D16" s="250" t="s">
        <v>533</v>
      </c>
      <c r="F16" s="250">
        <f>$E$10*(F13/$E$13)*($E$12*(F14/$E$14)*(F15/$E$15)+(1-$E$12))+0.28*(F13-$E$13)/$E$13</f>
        <v>-0.28000000000000003</v>
      </c>
      <c r="G16" s="250">
        <f t="shared" ref="G16:AI16" si="0">$E$10*(G13/$E$13)*($E$12*(G14/$E$14)*(G15/$E$15)+(1-$E$12))+0.28*(G13-$E$13)/$E$13</f>
        <v>-0.28000000000000003</v>
      </c>
      <c r="H16" s="250">
        <f t="shared" si="0"/>
        <v>-0.28000000000000003</v>
      </c>
      <c r="I16" s="250">
        <f t="shared" si="0"/>
        <v>-0.28000000000000003</v>
      </c>
      <c r="J16" s="250">
        <f t="shared" si="0"/>
        <v>-0.28000000000000003</v>
      </c>
      <c r="K16" s="250">
        <f t="shared" si="0"/>
        <v>-0.28000000000000003</v>
      </c>
      <c r="L16" s="250">
        <f t="shared" si="0"/>
        <v>-0.28000000000000003</v>
      </c>
      <c r="M16" s="250">
        <f t="shared" si="0"/>
        <v>-0.28000000000000003</v>
      </c>
      <c r="N16" s="250">
        <f t="shared" si="0"/>
        <v>-0.28000000000000003</v>
      </c>
      <c r="O16" s="250">
        <f t="shared" si="0"/>
        <v>-0.28000000000000003</v>
      </c>
      <c r="P16" s="250">
        <f t="shared" si="0"/>
        <v>-0.28000000000000003</v>
      </c>
      <c r="Q16" s="250">
        <f t="shared" si="0"/>
        <v>-0.28000000000000003</v>
      </c>
      <c r="R16" s="250">
        <f t="shared" si="0"/>
        <v>-0.28000000000000003</v>
      </c>
      <c r="S16" s="250">
        <f t="shared" si="0"/>
        <v>-0.28000000000000003</v>
      </c>
      <c r="T16" s="250">
        <f t="shared" si="0"/>
        <v>-0.28000000000000003</v>
      </c>
      <c r="U16" s="250">
        <f t="shared" si="0"/>
        <v>-0.28000000000000003</v>
      </c>
      <c r="V16" s="250">
        <f t="shared" si="0"/>
        <v>-0.28000000000000003</v>
      </c>
      <c r="W16" s="250">
        <f t="shared" si="0"/>
        <v>-0.28000000000000003</v>
      </c>
      <c r="X16" s="250">
        <f t="shared" si="0"/>
        <v>-0.28000000000000003</v>
      </c>
      <c r="Y16" s="250">
        <f t="shared" si="0"/>
        <v>-0.28000000000000003</v>
      </c>
      <c r="Z16" s="250">
        <f t="shared" si="0"/>
        <v>-0.28000000000000003</v>
      </c>
      <c r="AA16" s="250">
        <f t="shared" si="0"/>
        <v>-0.28000000000000003</v>
      </c>
      <c r="AB16" s="250">
        <f t="shared" si="0"/>
        <v>-0.28000000000000003</v>
      </c>
      <c r="AC16" s="250">
        <f t="shared" si="0"/>
        <v>-0.28000000000000003</v>
      </c>
      <c r="AD16" s="250">
        <f t="shared" si="0"/>
        <v>-0.28000000000000003</v>
      </c>
      <c r="AE16" s="250">
        <f t="shared" si="0"/>
        <v>-0.28000000000000003</v>
      </c>
      <c r="AF16" s="250">
        <f t="shared" si="0"/>
        <v>-0.28000000000000003</v>
      </c>
      <c r="AG16" s="250">
        <f t="shared" si="0"/>
        <v>-0.28000000000000003</v>
      </c>
      <c r="AH16" s="250">
        <f t="shared" si="0"/>
        <v>-0.28000000000000003</v>
      </c>
      <c r="AI16" s="250">
        <f t="shared" si="0"/>
        <v>-0.28000000000000003</v>
      </c>
    </row>
    <row r="17" spans="1:35">
      <c r="A17" s="692" t="s">
        <v>586</v>
      </c>
      <c r="B17" s="88" t="s">
        <v>294</v>
      </c>
      <c r="C17" s="30" t="s">
        <v>586</v>
      </c>
      <c r="D17" s="88" t="s">
        <v>294</v>
      </c>
      <c r="E17" s="250">
        <f t="array" ref="E17">INDEX(CABS_CVC!$C$3:$O$894,MATCH(1, (CABS_CVC!$A$3:$A$894=Calculs_CABS!C17)*(CABS_CVC!$B$3:$B$894=Calculs_CABS!$D$2),0),MATCH(Calculs_CABS!$D$1,Liste_CABS!$B$3:$B$15,0))</f>
        <v>57</v>
      </c>
    </row>
    <row r="18" spans="1:35">
      <c r="A18" s="692"/>
      <c r="B18" s="250" t="s">
        <v>534</v>
      </c>
      <c r="C18" s="30" t="s">
        <v>586</v>
      </c>
      <c r="D18" s="250" t="s">
        <v>534</v>
      </c>
      <c r="E18" s="250">
        <v>26</v>
      </c>
    </row>
    <row r="19" spans="1:35">
      <c r="A19" s="692"/>
      <c r="B19" s="250" t="s">
        <v>535</v>
      </c>
      <c r="C19" s="30" t="s">
        <v>586</v>
      </c>
      <c r="D19" s="250" t="s">
        <v>535</v>
      </c>
      <c r="E19" s="250">
        <f>E17+E18</f>
        <v>83</v>
      </c>
    </row>
    <row r="20" spans="1:35">
      <c r="A20" s="692"/>
      <c r="B20" s="250" t="s">
        <v>536</v>
      </c>
      <c r="C20" s="30" t="s">
        <v>586</v>
      </c>
      <c r="D20" s="250" t="s">
        <v>536</v>
      </c>
      <c r="E20" s="250">
        <v>0.67</v>
      </c>
    </row>
    <row r="21" spans="1:35">
      <c r="A21" s="692"/>
      <c r="B21" s="250" t="s">
        <v>537</v>
      </c>
      <c r="C21" s="30" t="s">
        <v>586</v>
      </c>
      <c r="D21" s="296" t="s">
        <v>583</v>
      </c>
      <c r="E21" s="250">
        <v>3120</v>
      </c>
      <c r="F21" s="250">
        <f>IF(F$6=$C21,IF(INDEX('Surface DEET'!$Q$9:$W$38,COLUMN(F14)-COLUMN($E$5),1)&gt;0,INDEX('Surface DEET'!$Q$9:$W$38,COLUMN(F14)-COLUMN($E$5),1),$E21),0)</f>
        <v>0</v>
      </c>
      <c r="G21" s="250">
        <f>IF(G$6=$C21,IF(INDEX('Surface DEET'!$Q$9:$W$38,COLUMN(G14)-COLUMN($E$5),1)&gt;0,INDEX('Surface DEET'!$Q$9:$W$38,COLUMN(G14)-COLUMN($E$5),1),$E21),0)</f>
        <v>0</v>
      </c>
      <c r="H21" s="250">
        <f>IF(H$6=$C21,IF(INDEX('Surface DEET'!$Q$9:$W$38,COLUMN(H14)-COLUMN($E$5),1)&gt;0,INDEX('Surface DEET'!$Q$9:$W$38,COLUMN(H14)-COLUMN($E$5),1),$E21),0)</f>
        <v>0</v>
      </c>
      <c r="I21" s="250">
        <f>IF(I$6=$C21,IF(INDEX('Surface DEET'!$Q$9:$W$38,COLUMN(I14)-COLUMN($E$5),1)&gt;0,INDEX('Surface DEET'!$Q$9:$W$38,COLUMN(I14)-COLUMN($E$5),1),$E21),0)</f>
        <v>0</v>
      </c>
      <c r="J21" s="250">
        <f>IF(J$6=$C21,IF(INDEX('Surface DEET'!$Q$9:$W$38,COLUMN(J14)-COLUMN($E$5),1)&gt;0,INDEX('Surface DEET'!$Q$9:$W$38,COLUMN(J14)-COLUMN($E$5),1),$E21),0)</f>
        <v>0</v>
      </c>
      <c r="K21" s="250">
        <f>IF(K$6=$C21,IF(INDEX('Surface DEET'!$Q$9:$W$38,COLUMN(K14)-COLUMN($E$5),1)&gt;0,INDEX('Surface DEET'!$Q$9:$W$38,COLUMN(K14)-COLUMN($E$5),1),$E21),0)</f>
        <v>0</v>
      </c>
      <c r="L21" s="250">
        <f>IF(L$6=$C21,IF(INDEX('Surface DEET'!$Q$9:$W$38,COLUMN(L14)-COLUMN($E$5),1)&gt;0,INDEX('Surface DEET'!$Q$9:$W$38,COLUMN(L14)-COLUMN($E$5),1),$E21),0)</f>
        <v>0</v>
      </c>
      <c r="M21" s="250">
        <f>IF(M$6=$C21,IF(INDEX('Surface DEET'!$Q$9:$W$38,COLUMN(M14)-COLUMN($E$5),1)&gt;0,INDEX('Surface DEET'!$Q$9:$W$38,COLUMN(M14)-COLUMN($E$5),1),$E21),0)</f>
        <v>0</v>
      </c>
      <c r="N21" s="250">
        <f>IF(N$6=$C21,IF(INDEX('Surface DEET'!$Q$9:$W$38,COLUMN(N14)-COLUMN($E$5),1)&gt;0,INDEX('Surface DEET'!$Q$9:$W$38,COLUMN(N14)-COLUMN($E$5),1),$E21),0)</f>
        <v>0</v>
      </c>
      <c r="O21" s="250">
        <f>IF(O$6=$C21,IF(INDEX('Surface DEET'!$Q$9:$W$38,COLUMN(O14)-COLUMN($E$5),1)&gt;0,INDEX('Surface DEET'!$Q$9:$W$38,COLUMN(O14)-COLUMN($E$5),1),$E21),0)</f>
        <v>0</v>
      </c>
      <c r="P21" s="250">
        <f>IF(P$6=$C21,IF(INDEX('Surface DEET'!$Q$9:$W$38,COLUMN(P14)-COLUMN($E$5),1)&gt;0,INDEX('Surface DEET'!$Q$9:$W$38,COLUMN(P14)-COLUMN($E$5),1),$E21),0)</f>
        <v>0</v>
      </c>
      <c r="Q21" s="250">
        <f>IF(Q$6=$C21,IF(INDEX('Surface DEET'!$Q$9:$W$38,COLUMN(Q14)-COLUMN($E$5),1)&gt;0,INDEX('Surface DEET'!$Q$9:$W$38,COLUMN(Q14)-COLUMN($E$5),1),$E21),0)</f>
        <v>0</v>
      </c>
      <c r="R21" s="250">
        <f>IF(R$6=$C21,IF(INDEX('Surface DEET'!$Q$9:$W$38,COLUMN(R14)-COLUMN($E$5),1)&gt;0,INDEX('Surface DEET'!$Q$9:$W$38,COLUMN(R14)-COLUMN($E$5),1),$E21),0)</f>
        <v>0</v>
      </c>
      <c r="S21" s="250">
        <f>IF(S$6=$C21,IF(INDEX('Surface DEET'!$Q$9:$W$38,COLUMN(S14)-COLUMN($E$5),1)&gt;0,INDEX('Surface DEET'!$Q$9:$W$38,COLUMN(S14)-COLUMN($E$5),1),$E21),0)</f>
        <v>0</v>
      </c>
      <c r="T21" s="250">
        <f>IF(T$6=$C21,IF(INDEX('Surface DEET'!$Q$9:$W$38,COLUMN(T14)-COLUMN($E$5),1)&gt;0,INDEX('Surface DEET'!$Q$9:$W$38,COLUMN(T14)-COLUMN($E$5),1),$E21),0)</f>
        <v>0</v>
      </c>
      <c r="U21" s="250">
        <f>IF(U$6=$C21,IF(INDEX('Surface DEET'!$Q$9:$W$38,COLUMN(U14)-COLUMN($E$5),1)&gt;0,INDEX('Surface DEET'!$Q$9:$W$38,COLUMN(U14)-COLUMN($E$5),1),$E21),0)</f>
        <v>0</v>
      </c>
      <c r="V21" s="250">
        <f>IF(V$6=$C21,IF(INDEX('Surface DEET'!$Q$9:$W$38,COLUMN(V14)-COLUMN($E$5),1)&gt;0,INDEX('Surface DEET'!$Q$9:$W$38,COLUMN(V14)-COLUMN($E$5),1),$E21),0)</f>
        <v>0</v>
      </c>
      <c r="W21" s="250">
        <f>IF(W$6=$C21,IF(INDEX('Surface DEET'!$Q$9:$W$38,COLUMN(W14)-COLUMN($E$5),1)&gt;0,INDEX('Surface DEET'!$Q$9:$W$38,COLUMN(W14)-COLUMN($E$5),1),$E21),0)</f>
        <v>0</v>
      </c>
      <c r="X21" s="250">
        <f>IF(X$6=$C21,IF(INDEX('Surface DEET'!$Q$9:$W$38,COLUMN(X14)-COLUMN($E$5),1)&gt;0,INDEX('Surface DEET'!$Q$9:$W$38,COLUMN(X14)-COLUMN($E$5),1),$E21),0)</f>
        <v>0</v>
      </c>
      <c r="Y21" s="250">
        <f>IF(Y$6=$C21,IF(INDEX('Surface DEET'!$Q$9:$W$38,COLUMN(Y14)-COLUMN($E$5),1)&gt;0,INDEX('Surface DEET'!$Q$9:$W$38,COLUMN(Y14)-COLUMN($E$5),1),$E21),0)</f>
        <v>0</v>
      </c>
      <c r="Z21" s="250">
        <f>IF(Z$6=$C21,IF(INDEX('Surface DEET'!$Q$9:$W$38,COLUMN(Z14)-COLUMN($E$5),1)&gt;0,INDEX('Surface DEET'!$Q$9:$W$38,COLUMN(Z14)-COLUMN($E$5),1),$E21),0)</f>
        <v>0</v>
      </c>
      <c r="AA21" s="250">
        <f>IF(AA$6=$C21,IF(INDEX('Surface DEET'!$Q$9:$W$38,COLUMN(AA14)-COLUMN($E$5),1)&gt;0,INDEX('Surface DEET'!$Q$9:$W$38,COLUMN(AA14)-COLUMN($E$5),1),$E21),0)</f>
        <v>0</v>
      </c>
      <c r="AB21" s="250">
        <f>IF(AB$6=$C21,IF(INDEX('Surface DEET'!$Q$9:$W$38,COLUMN(AB14)-COLUMN($E$5),1)&gt;0,INDEX('Surface DEET'!$Q$9:$W$38,COLUMN(AB14)-COLUMN($E$5),1),$E21),0)</f>
        <v>0</v>
      </c>
      <c r="AC21" s="250">
        <f>IF(AC$6=$C21,IF(INDEX('Surface DEET'!$Q$9:$W$38,COLUMN(AC14)-COLUMN($E$5),1)&gt;0,INDEX('Surface DEET'!$Q$9:$W$38,COLUMN(AC14)-COLUMN($E$5),1),$E21),0)</f>
        <v>0</v>
      </c>
      <c r="AD21" s="250">
        <f>IF(AD$6=$C21,IF(INDEX('Surface DEET'!$Q$9:$W$38,COLUMN(AD14)-COLUMN($E$5),1)&gt;0,INDEX('Surface DEET'!$Q$9:$W$38,COLUMN(AD14)-COLUMN($E$5),1),$E21),0)</f>
        <v>0</v>
      </c>
      <c r="AE21" s="250">
        <f>IF(AE$6=$C21,IF(INDEX('Surface DEET'!$Q$9:$W$38,COLUMN(AE14)-COLUMN($E$5),1)&gt;0,INDEX('Surface DEET'!$Q$9:$W$38,COLUMN(AE14)-COLUMN($E$5),1),$E21),0)</f>
        <v>0</v>
      </c>
      <c r="AF21" s="250">
        <f>IF(AF$6=$C21,IF(INDEX('Surface DEET'!$Q$9:$W$38,COLUMN(AF14)-COLUMN($E$5),1)&gt;0,INDEX('Surface DEET'!$Q$9:$W$38,COLUMN(AF14)-COLUMN($E$5),1),$E21),0)</f>
        <v>0</v>
      </c>
      <c r="AG21" s="250">
        <f>IF(AG$6=$C21,IF(INDEX('Surface DEET'!$Q$9:$W$38,COLUMN(AG14)-COLUMN($E$5),1)&gt;0,INDEX('Surface DEET'!$Q$9:$W$38,COLUMN(AG14)-COLUMN($E$5),1),$E21),0)</f>
        <v>0</v>
      </c>
      <c r="AH21" s="250">
        <f>IF(AH$6=$C21,IF(INDEX('Surface DEET'!$Q$9:$W$38,COLUMN(AH14)-COLUMN($E$5),1)&gt;0,INDEX('Surface DEET'!$Q$9:$W$38,COLUMN(AH14)-COLUMN($E$5),1),$E21),0)</f>
        <v>0</v>
      </c>
      <c r="AI21" s="250">
        <f>IF(AI$6=$C21,IF(INDEX('Surface DEET'!$Q$9:$W$38,COLUMN(AI14)-COLUMN($E$5),1)&gt;0,INDEX('Surface DEET'!$Q$9:$W$38,COLUMN(AI14)-COLUMN($E$5),1),$E21),0)</f>
        <v>0</v>
      </c>
    </row>
    <row r="22" spans="1:35">
      <c r="A22" s="692"/>
      <c r="B22" s="250" t="s">
        <v>540</v>
      </c>
      <c r="C22" s="30" t="s">
        <v>586</v>
      </c>
      <c r="D22" s="296" t="s">
        <v>587</v>
      </c>
      <c r="E22" s="250">
        <v>31</v>
      </c>
      <c r="F22" s="250">
        <f>IF(F$6=$C22,IF(INDEX('Surface DEET'!$Q$9:$W$38,COLUMN(F15)-COLUMN($E$5),4)&gt;0,INDEX('Surface DEET'!$Q$9:$W$38,COLUMN(F15)-COLUMN($E$5),4),$E22),0)</f>
        <v>0</v>
      </c>
      <c r="G22" s="250">
        <f>IF(G$6=$C22,IF(INDEX('Surface DEET'!$Q$9:$W$38,COLUMN(G15)-COLUMN($E$5),4)&gt;0,INDEX('Surface DEET'!$Q$9:$W$38,COLUMN(G15)-COLUMN($E$5),4),$E22),0)</f>
        <v>0</v>
      </c>
      <c r="H22" s="250">
        <f>IF(H$6=$C22,IF(INDEX('Surface DEET'!$Q$9:$W$38,COLUMN(H15)-COLUMN($E$5),4)&gt;0,INDEX('Surface DEET'!$Q$9:$W$38,COLUMN(H15)-COLUMN($E$5),4),$E22),0)</f>
        <v>0</v>
      </c>
      <c r="I22" s="250">
        <f>IF(I$6=$C22,IF(INDEX('Surface DEET'!$Q$9:$W$38,COLUMN(I15)-COLUMN($E$5),4)&gt;0,INDEX('Surface DEET'!$Q$9:$W$38,COLUMN(I15)-COLUMN($E$5),4),$E22),0)</f>
        <v>0</v>
      </c>
      <c r="J22" s="250">
        <f>IF(J$6=$C22,IF(INDEX('Surface DEET'!$Q$9:$W$38,COLUMN(J15)-COLUMN($E$5),4)&gt;0,INDEX('Surface DEET'!$Q$9:$W$38,COLUMN(J15)-COLUMN($E$5),4),$E22),0)</f>
        <v>0</v>
      </c>
      <c r="K22" s="250">
        <f>IF(K$6=$C22,IF(INDEX('Surface DEET'!$Q$9:$W$38,COLUMN(K15)-COLUMN($E$5),4)&gt;0,INDEX('Surface DEET'!$Q$9:$W$38,COLUMN(K15)-COLUMN($E$5),4),$E22),0)</f>
        <v>0</v>
      </c>
      <c r="L22" s="250">
        <f>IF(L$6=$C22,IF(INDEX('Surface DEET'!$Q$9:$W$38,COLUMN(L15)-COLUMN($E$5),4)&gt;0,INDEX('Surface DEET'!$Q$9:$W$38,COLUMN(L15)-COLUMN($E$5),4),$E22),0)</f>
        <v>0</v>
      </c>
      <c r="M22" s="250">
        <f>IF(M$6=$C22,IF(INDEX('Surface DEET'!$Q$9:$W$38,COLUMN(M15)-COLUMN($E$5),4)&gt;0,INDEX('Surface DEET'!$Q$9:$W$38,COLUMN(M15)-COLUMN($E$5),4),$E22),0)</f>
        <v>0</v>
      </c>
      <c r="N22" s="250">
        <f>IF(N$6=$C22,IF(INDEX('Surface DEET'!$Q$9:$W$38,COLUMN(N15)-COLUMN($E$5),4)&gt;0,INDEX('Surface DEET'!$Q$9:$W$38,COLUMN(N15)-COLUMN($E$5),4),$E22),0)</f>
        <v>0</v>
      </c>
      <c r="O22" s="250">
        <f>IF(O$6=$C22,IF(INDEX('Surface DEET'!$Q$9:$W$38,COLUMN(O15)-COLUMN($E$5),4)&gt;0,INDEX('Surface DEET'!$Q$9:$W$38,COLUMN(O15)-COLUMN($E$5),4),$E22),0)</f>
        <v>0</v>
      </c>
      <c r="P22" s="250">
        <f>IF(P$6=$C22,IF(INDEX('Surface DEET'!$Q$9:$W$38,COLUMN(P15)-COLUMN($E$5),4)&gt;0,INDEX('Surface DEET'!$Q$9:$W$38,COLUMN(P15)-COLUMN($E$5),4),$E22),0)</f>
        <v>0</v>
      </c>
      <c r="Q22" s="250">
        <f>IF(Q$6=$C22,IF(INDEX('Surface DEET'!$Q$9:$W$38,COLUMN(Q15)-COLUMN($E$5),4)&gt;0,INDEX('Surface DEET'!$Q$9:$W$38,COLUMN(Q15)-COLUMN($E$5),4),$E22),0)</f>
        <v>0</v>
      </c>
      <c r="R22" s="250">
        <f>IF(R$6=$C22,IF(INDEX('Surface DEET'!$Q$9:$W$38,COLUMN(R15)-COLUMN($E$5),4)&gt;0,INDEX('Surface DEET'!$Q$9:$W$38,COLUMN(R15)-COLUMN($E$5),4),$E22),0)</f>
        <v>0</v>
      </c>
      <c r="S22" s="250">
        <f>IF(S$6=$C22,IF(INDEX('Surface DEET'!$Q$9:$W$38,COLUMN(S15)-COLUMN($E$5),4)&gt;0,INDEX('Surface DEET'!$Q$9:$W$38,COLUMN(S15)-COLUMN($E$5),4),$E22),0)</f>
        <v>0</v>
      </c>
      <c r="T22" s="250">
        <f>IF(T$6=$C22,IF(INDEX('Surface DEET'!$Q$9:$W$38,COLUMN(T15)-COLUMN($E$5),4)&gt;0,INDEX('Surface DEET'!$Q$9:$W$38,COLUMN(T15)-COLUMN($E$5),4),$E22),0)</f>
        <v>0</v>
      </c>
      <c r="U22" s="250">
        <f>IF(U$6=$C22,IF(INDEX('Surface DEET'!$Q$9:$W$38,COLUMN(U15)-COLUMN($E$5),4)&gt;0,INDEX('Surface DEET'!$Q$9:$W$38,COLUMN(U15)-COLUMN($E$5),4),$E22),0)</f>
        <v>0</v>
      </c>
      <c r="V22" s="250">
        <f>IF(V$6=$C22,IF(INDEX('Surface DEET'!$Q$9:$W$38,COLUMN(V15)-COLUMN($E$5),4)&gt;0,INDEX('Surface DEET'!$Q$9:$W$38,COLUMN(V15)-COLUMN($E$5),4),$E22),0)</f>
        <v>0</v>
      </c>
      <c r="W22" s="250">
        <f>IF(W$6=$C22,IF(INDEX('Surface DEET'!$Q$9:$W$38,COLUMN(W15)-COLUMN($E$5),4)&gt;0,INDEX('Surface DEET'!$Q$9:$W$38,COLUMN(W15)-COLUMN($E$5),4),$E22),0)</f>
        <v>0</v>
      </c>
      <c r="X22" s="250">
        <f>IF(X$6=$C22,IF(INDEX('Surface DEET'!$Q$9:$W$38,COLUMN(X15)-COLUMN($E$5),4)&gt;0,INDEX('Surface DEET'!$Q$9:$W$38,COLUMN(X15)-COLUMN($E$5),4),$E22),0)</f>
        <v>0</v>
      </c>
      <c r="Y22" s="250">
        <f>IF(Y$6=$C22,IF(INDEX('Surface DEET'!$Q$9:$W$38,COLUMN(Y15)-COLUMN($E$5),4)&gt;0,INDEX('Surface DEET'!$Q$9:$W$38,COLUMN(Y15)-COLUMN($E$5),4),$E22),0)</f>
        <v>0</v>
      </c>
      <c r="Z22" s="250">
        <f>IF(Z$6=$C22,IF(INDEX('Surface DEET'!$Q$9:$W$38,COLUMN(Z15)-COLUMN($E$5),4)&gt;0,INDEX('Surface DEET'!$Q$9:$W$38,COLUMN(Z15)-COLUMN($E$5),4),$E22),0)</f>
        <v>0</v>
      </c>
      <c r="AA22" s="250">
        <f>IF(AA$6=$C22,IF(INDEX('Surface DEET'!$Q$9:$W$38,COLUMN(AA15)-COLUMN($E$5),4)&gt;0,INDEX('Surface DEET'!$Q$9:$W$38,COLUMN(AA15)-COLUMN($E$5),4),$E22),0)</f>
        <v>0</v>
      </c>
      <c r="AB22" s="250">
        <f>IF(AB$6=$C22,IF(INDEX('Surface DEET'!$Q$9:$W$38,COLUMN(AB15)-COLUMN($E$5),4)&gt;0,INDEX('Surface DEET'!$Q$9:$W$38,COLUMN(AB15)-COLUMN($E$5),4),$E22),0)</f>
        <v>0</v>
      </c>
      <c r="AC22" s="250">
        <f>IF(AC$6=$C22,IF(INDEX('Surface DEET'!$Q$9:$W$38,COLUMN(AC15)-COLUMN($E$5),4)&gt;0,INDEX('Surface DEET'!$Q$9:$W$38,COLUMN(AC15)-COLUMN($E$5),4),$E22),0)</f>
        <v>0</v>
      </c>
      <c r="AD22" s="250">
        <f>IF(AD$6=$C22,IF(INDEX('Surface DEET'!$Q$9:$W$38,COLUMN(AD15)-COLUMN($E$5),4)&gt;0,INDEX('Surface DEET'!$Q$9:$W$38,COLUMN(AD15)-COLUMN($E$5),4),$E22),0)</f>
        <v>0</v>
      </c>
      <c r="AE22" s="250">
        <f>IF(AE$6=$C22,IF(INDEX('Surface DEET'!$Q$9:$W$38,COLUMN(AE15)-COLUMN($E$5),4)&gt;0,INDEX('Surface DEET'!$Q$9:$W$38,COLUMN(AE15)-COLUMN($E$5),4),$E22),0)</f>
        <v>0</v>
      </c>
      <c r="AF22" s="250">
        <f>IF(AF$6=$C22,IF(INDEX('Surface DEET'!$Q$9:$W$38,COLUMN(AF15)-COLUMN($E$5),4)&gt;0,INDEX('Surface DEET'!$Q$9:$W$38,COLUMN(AF15)-COLUMN($E$5),4),$E22),0)</f>
        <v>0</v>
      </c>
      <c r="AG22" s="250">
        <f>IF(AG$6=$C22,IF(INDEX('Surface DEET'!$Q$9:$W$38,COLUMN(AG15)-COLUMN($E$5),4)&gt;0,INDEX('Surface DEET'!$Q$9:$W$38,COLUMN(AG15)-COLUMN($E$5),4),$E22),0)</f>
        <v>0</v>
      </c>
      <c r="AH22" s="250">
        <f>IF(AH$6=$C22,IF(INDEX('Surface DEET'!$Q$9:$W$38,COLUMN(AH15)-COLUMN($E$5),4)&gt;0,INDEX('Surface DEET'!$Q$9:$W$38,COLUMN(AH15)-COLUMN($E$5),4),$E22),0)</f>
        <v>0</v>
      </c>
      <c r="AI22" s="250">
        <f>IF(AI$6=$C22,IF(INDEX('Surface DEET'!$Q$9:$W$38,COLUMN(AI15)-COLUMN($E$5),4)&gt;0,INDEX('Surface DEET'!$Q$9:$W$38,COLUMN(AI15)-COLUMN($E$5),4),$E22),0)</f>
        <v>0</v>
      </c>
    </row>
    <row r="23" spans="1:35">
      <c r="A23" s="692"/>
      <c r="B23" s="250" t="s">
        <v>533</v>
      </c>
      <c r="C23" s="30" t="s">
        <v>586</v>
      </c>
      <c r="D23" s="250" t="s">
        <v>533</v>
      </c>
      <c r="F23" s="250">
        <f>IFERROR($E$18*(F21/$E$21)*($E$20*($E$22/F22)+(1-$E$20))+0.28*$E$17*(F21-$E$21)/$E$21,0)</f>
        <v>0</v>
      </c>
      <c r="G23" s="250">
        <f>IFERROR($E$18*(G21/$E$21)*($E$20*($E$22/G22)+(1-$E$20))+0.28*$E$17*(G21-$E$21)/$E$21,0)</f>
        <v>0</v>
      </c>
      <c r="H23" s="250">
        <f t="shared" ref="H23:AI23" si="1">IFERROR($E$18*(H21/$E$21)*($E$20*($E$22/H22)+(1-$E$20))+0.28*$E$17*(H21-$E$21)/$E$21,0)</f>
        <v>0</v>
      </c>
      <c r="I23" s="250">
        <f t="shared" si="1"/>
        <v>0</v>
      </c>
      <c r="J23" s="250">
        <f t="shared" si="1"/>
        <v>0</v>
      </c>
      <c r="K23" s="250">
        <f t="shared" si="1"/>
        <v>0</v>
      </c>
      <c r="L23" s="250">
        <f t="shared" si="1"/>
        <v>0</v>
      </c>
      <c r="M23" s="250">
        <f t="shared" si="1"/>
        <v>0</v>
      </c>
      <c r="N23" s="250">
        <f t="shared" si="1"/>
        <v>0</v>
      </c>
      <c r="O23" s="250">
        <f t="shared" si="1"/>
        <v>0</v>
      </c>
      <c r="P23" s="250">
        <f t="shared" si="1"/>
        <v>0</v>
      </c>
      <c r="Q23" s="250">
        <f t="shared" si="1"/>
        <v>0</v>
      </c>
      <c r="R23" s="250">
        <f t="shared" si="1"/>
        <v>0</v>
      </c>
      <c r="S23" s="250">
        <f t="shared" si="1"/>
        <v>0</v>
      </c>
      <c r="T23" s="250">
        <f t="shared" si="1"/>
        <v>0</v>
      </c>
      <c r="U23" s="250">
        <f t="shared" si="1"/>
        <v>0</v>
      </c>
      <c r="V23" s="250">
        <f t="shared" si="1"/>
        <v>0</v>
      </c>
      <c r="W23" s="250">
        <f t="shared" si="1"/>
        <v>0</v>
      </c>
      <c r="X23" s="250">
        <f t="shared" si="1"/>
        <v>0</v>
      </c>
      <c r="Y23" s="250">
        <f t="shared" si="1"/>
        <v>0</v>
      </c>
      <c r="Z23" s="250">
        <f t="shared" si="1"/>
        <v>0</v>
      </c>
      <c r="AA23" s="250">
        <f t="shared" si="1"/>
        <v>0</v>
      </c>
      <c r="AB23" s="250">
        <f t="shared" si="1"/>
        <v>0</v>
      </c>
      <c r="AC23" s="250">
        <f t="shared" si="1"/>
        <v>0</v>
      </c>
      <c r="AD23" s="250">
        <f t="shared" si="1"/>
        <v>0</v>
      </c>
      <c r="AE23" s="250">
        <f t="shared" si="1"/>
        <v>0</v>
      </c>
      <c r="AF23" s="250">
        <f t="shared" si="1"/>
        <v>0</v>
      </c>
      <c r="AG23" s="250">
        <f t="shared" si="1"/>
        <v>0</v>
      </c>
      <c r="AH23" s="250">
        <f t="shared" si="1"/>
        <v>0</v>
      </c>
      <c r="AI23" s="250">
        <f t="shared" si="1"/>
        <v>0</v>
      </c>
    </row>
    <row r="24" spans="1:35">
      <c r="A24" s="692" t="s">
        <v>588</v>
      </c>
      <c r="B24" s="88" t="s">
        <v>294</v>
      </c>
      <c r="C24" s="30" t="s">
        <v>588</v>
      </c>
      <c r="D24" s="88" t="s">
        <v>294</v>
      </c>
      <c r="E24" s="250">
        <f t="array" ref="E24">INDEX(CABS_CVC!$C$3:$O$894,MATCH(1, (CABS_CVC!$A$3:$A$894=Calculs_CABS!C24)*(CABS_CVC!$B$3:$B$894=Calculs_CABS!$D$2),0),MATCH(Calculs_CABS!$D$1,Liste_CABS!$B$3:$B$15,0))</f>
        <v>57</v>
      </c>
    </row>
    <row r="25" spans="1:35">
      <c r="A25" s="692"/>
      <c r="B25" s="250" t="s">
        <v>534</v>
      </c>
      <c r="C25" s="30" t="s">
        <v>588</v>
      </c>
      <c r="D25" s="250" t="s">
        <v>534</v>
      </c>
      <c r="E25" s="250">
        <v>26</v>
      </c>
    </row>
    <row r="26" spans="1:35">
      <c r="A26" s="692"/>
      <c r="B26" s="250" t="s">
        <v>535</v>
      </c>
      <c r="C26" s="30" t="s">
        <v>588</v>
      </c>
      <c r="D26" s="250" t="s">
        <v>535</v>
      </c>
      <c r="E26" s="250">
        <f>E24+E25</f>
        <v>83</v>
      </c>
    </row>
    <row r="27" spans="1:35">
      <c r="A27" s="692"/>
      <c r="B27" s="250" t="s">
        <v>536</v>
      </c>
      <c r="C27" s="30" t="s">
        <v>588</v>
      </c>
      <c r="D27" s="250" t="s">
        <v>536</v>
      </c>
      <c r="E27" s="250">
        <v>0.67</v>
      </c>
    </row>
    <row r="28" spans="1:35" ht="15.75" customHeight="1">
      <c r="A28" s="692"/>
      <c r="B28" s="250" t="s">
        <v>537</v>
      </c>
      <c r="C28" s="30" t="s">
        <v>588</v>
      </c>
      <c r="D28" s="296" t="s">
        <v>583</v>
      </c>
      <c r="E28" s="250">
        <v>3120</v>
      </c>
      <c r="F28" s="250">
        <f>IF(F$6=$C28,IF(INDEX('Surface DEET'!$Q$9:$W$38,COLUMN(F21)-COLUMN($E$5),1)&gt;0,INDEX('Surface DEET'!$Q$9:$W$38,COLUMN(F21)-COLUMN($E$5),1),$E28),0)</f>
        <v>0</v>
      </c>
      <c r="G28" s="250">
        <f>IF(G$6=$C28,IF(INDEX('Surface DEET'!$Q$9:$W$38,COLUMN(G21)-COLUMN($E$5),1)&gt;0,INDEX('Surface DEET'!$Q$9:$W$38,COLUMN(G21)-COLUMN($E$5),1),$E28),0)</f>
        <v>0</v>
      </c>
      <c r="H28" s="250">
        <f>IF(H$6=$C28,IF(INDEX('Surface DEET'!$Q$9:$W$38,COLUMN(H21)-COLUMN($E$5),1)&gt;0,INDEX('Surface DEET'!$Q$9:$W$38,COLUMN(H21)-COLUMN($E$5),1),$E28),0)</f>
        <v>0</v>
      </c>
      <c r="I28" s="250">
        <f>IF(I$6=$C28,IF(INDEX('Surface DEET'!$Q$9:$W$38,COLUMN(I21)-COLUMN($E$5),1)&gt;0,INDEX('Surface DEET'!$Q$9:$W$38,COLUMN(I21)-COLUMN($E$5),1),$E28),0)</f>
        <v>0</v>
      </c>
      <c r="J28" s="250">
        <f>IF(J$6=$C28,IF(INDEX('Surface DEET'!$Q$9:$W$38,COLUMN(J21)-COLUMN($E$5),1)&gt;0,INDEX('Surface DEET'!$Q$9:$W$38,COLUMN(J21)-COLUMN($E$5),1),$E28),0)</f>
        <v>0</v>
      </c>
      <c r="K28" s="250">
        <f>IF(K$6=$C28,IF(INDEX('Surface DEET'!$Q$9:$W$38,COLUMN(K21)-COLUMN($E$5),1)&gt;0,INDEX('Surface DEET'!$Q$9:$W$38,COLUMN(K21)-COLUMN($E$5),1),$E28),0)</f>
        <v>0</v>
      </c>
      <c r="L28" s="250">
        <f>IF(L$6=$C28,IF(INDEX('Surface DEET'!$Q$9:$W$38,COLUMN(L21)-COLUMN($E$5),1)&gt;0,INDEX('Surface DEET'!$Q$9:$W$38,COLUMN(L21)-COLUMN($E$5),1),$E28),0)</f>
        <v>0</v>
      </c>
      <c r="M28" s="250">
        <f>IF(M$6=$C28,IF(INDEX('Surface DEET'!$Q$9:$W$38,COLUMN(M21)-COLUMN($E$5),1)&gt;0,INDEX('Surface DEET'!$Q$9:$W$38,COLUMN(M21)-COLUMN($E$5),1),$E28),0)</f>
        <v>0</v>
      </c>
      <c r="N28" s="250">
        <f>IF(N$6=$C28,IF(INDEX('Surface DEET'!$Q$9:$W$38,COLUMN(N21)-COLUMN($E$5),1)&gt;0,INDEX('Surface DEET'!$Q$9:$W$38,COLUMN(N21)-COLUMN($E$5),1),$E28),0)</f>
        <v>0</v>
      </c>
      <c r="O28" s="250">
        <f>IF(O$6=$C28,IF(INDEX('Surface DEET'!$Q$9:$W$38,COLUMN(O21)-COLUMN($E$5),1)&gt;0,INDEX('Surface DEET'!$Q$9:$W$38,COLUMN(O21)-COLUMN($E$5),1),$E28),0)</f>
        <v>0</v>
      </c>
      <c r="P28" s="250">
        <f>IF(P$6=$C28,IF(INDEX('Surface DEET'!$Q$9:$W$38,COLUMN(P21)-COLUMN($E$5),1)&gt;0,INDEX('Surface DEET'!$Q$9:$W$38,COLUMN(P21)-COLUMN($E$5),1),$E28),0)</f>
        <v>0</v>
      </c>
      <c r="Q28" s="250">
        <f>IF(Q$6=$C28,IF(INDEX('Surface DEET'!$Q$9:$W$38,COLUMN(Q21)-COLUMN($E$5),1)&gt;0,INDEX('Surface DEET'!$Q$9:$W$38,COLUMN(Q21)-COLUMN($E$5),1),$E28),0)</f>
        <v>0</v>
      </c>
      <c r="R28" s="250">
        <f>IF(R$6=$C28,IF(INDEX('Surface DEET'!$Q$9:$W$38,COLUMN(R21)-COLUMN($E$5),1)&gt;0,INDEX('Surface DEET'!$Q$9:$W$38,COLUMN(R21)-COLUMN($E$5),1),$E28),0)</f>
        <v>0</v>
      </c>
      <c r="S28" s="250">
        <f>IF(S$6=$C28,IF(INDEX('Surface DEET'!$Q$9:$W$38,COLUMN(S21)-COLUMN($E$5),1)&gt;0,INDEX('Surface DEET'!$Q$9:$W$38,COLUMN(S21)-COLUMN($E$5),1),$E28),0)</f>
        <v>0</v>
      </c>
      <c r="T28" s="250">
        <f>IF(T$6=$C28,IF(INDEX('Surface DEET'!$Q$9:$W$38,COLUMN(T21)-COLUMN($E$5),1)&gt;0,INDEX('Surface DEET'!$Q$9:$W$38,COLUMN(T21)-COLUMN($E$5),1),$E28),0)</f>
        <v>0</v>
      </c>
      <c r="U28" s="250">
        <f>IF(U$6=$C28,IF(INDEX('Surface DEET'!$Q$9:$W$38,COLUMN(U21)-COLUMN($E$5),1)&gt;0,INDEX('Surface DEET'!$Q$9:$W$38,COLUMN(U21)-COLUMN($E$5),1),$E28),0)</f>
        <v>0</v>
      </c>
      <c r="V28" s="250">
        <f>IF(V$6=$C28,IF(INDEX('Surface DEET'!$Q$9:$W$38,COLUMN(V21)-COLUMN($E$5),1)&gt;0,INDEX('Surface DEET'!$Q$9:$W$38,COLUMN(V21)-COLUMN($E$5),1),$E28),0)</f>
        <v>0</v>
      </c>
      <c r="W28" s="250">
        <f>IF(W$6=$C28,IF(INDEX('Surface DEET'!$Q$9:$W$38,COLUMN(W21)-COLUMN($E$5),1)&gt;0,INDEX('Surface DEET'!$Q$9:$W$38,COLUMN(W21)-COLUMN($E$5),1),$E28),0)</f>
        <v>0</v>
      </c>
      <c r="X28" s="250">
        <f>IF(X$6=$C28,IF(INDEX('Surface DEET'!$Q$9:$W$38,COLUMN(X21)-COLUMN($E$5),1)&gt;0,INDEX('Surface DEET'!$Q$9:$W$38,COLUMN(X21)-COLUMN($E$5),1),$E28),0)</f>
        <v>0</v>
      </c>
      <c r="Y28" s="250">
        <f>IF(Y$6=$C28,IF(INDEX('Surface DEET'!$Q$9:$W$38,COLUMN(Y21)-COLUMN($E$5),1)&gt;0,INDEX('Surface DEET'!$Q$9:$W$38,COLUMN(Y21)-COLUMN($E$5),1),$E28),0)</f>
        <v>0</v>
      </c>
      <c r="Z28" s="250">
        <f>IF(Z$6=$C28,IF(INDEX('Surface DEET'!$Q$9:$W$38,COLUMN(Z21)-COLUMN($E$5),1)&gt;0,INDEX('Surface DEET'!$Q$9:$W$38,COLUMN(Z21)-COLUMN($E$5),1),$E28),0)</f>
        <v>0</v>
      </c>
      <c r="AA28" s="250">
        <f>IF(AA$6=$C28,IF(INDEX('Surface DEET'!$Q$9:$W$38,COLUMN(AA21)-COLUMN($E$5),1)&gt;0,INDEX('Surface DEET'!$Q$9:$W$38,COLUMN(AA21)-COLUMN($E$5),1),$E28),0)</f>
        <v>0</v>
      </c>
      <c r="AB28" s="250">
        <f>IF(AB$6=$C28,IF(INDEX('Surface DEET'!$Q$9:$W$38,COLUMN(AB21)-COLUMN($E$5),1)&gt;0,INDEX('Surface DEET'!$Q$9:$W$38,COLUMN(AB21)-COLUMN($E$5),1),$E28),0)</f>
        <v>0</v>
      </c>
      <c r="AC28" s="250">
        <f>IF(AC$6=$C28,IF(INDEX('Surface DEET'!$Q$9:$W$38,COLUMN(AC21)-COLUMN($E$5),1)&gt;0,INDEX('Surface DEET'!$Q$9:$W$38,COLUMN(AC21)-COLUMN($E$5),1),$E28),0)</f>
        <v>0</v>
      </c>
      <c r="AD28" s="250">
        <f>IF(AD$6=$C28,IF(INDEX('Surface DEET'!$Q$9:$W$38,COLUMN(AD21)-COLUMN($E$5),1)&gt;0,INDEX('Surface DEET'!$Q$9:$W$38,COLUMN(AD21)-COLUMN($E$5),1),$E28),0)</f>
        <v>0</v>
      </c>
      <c r="AE28" s="250">
        <f>IF(AE$6=$C28,IF(INDEX('Surface DEET'!$Q$9:$W$38,COLUMN(AE21)-COLUMN($E$5),1)&gt;0,INDEX('Surface DEET'!$Q$9:$W$38,COLUMN(AE21)-COLUMN($E$5),1),$E28),0)</f>
        <v>0</v>
      </c>
      <c r="AF28" s="250">
        <f>IF(AF$6=$C28,IF(INDEX('Surface DEET'!$Q$9:$W$38,COLUMN(AF21)-COLUMN($E$5),1)&gt;0,INDEX('Surface DEET'!$Q$9:$W$38,COLUMN(AF21)-COLUMN($E$5),1),$E28),0)</f>
        <v>0</v>
      </c>
      <c r="AG28" s="250">
        <f>IF(AG$6=$C28,IF(INDEX('Surface DEET'!$Q$9:$W$38,COLUMN(AG21)-COLUMN($E$5),1)&gt;0,INDEX('Surface DEET'!$Q$9:$W$38,COLUMN(AG21)-COLUMN($E$5),1),$E28),0)</f>
        <v>0</v>
      </c>
      <c r="AH28" s="250">
        <f>IF(AH$6=$C28,IF(INDEX('Surface DEET'!$Q$9:$W$38,COLUMN(AH21)-COLUMN($E$5),1)&gt;0,INDEX('Surface DEET'!$Q$9:$W$38,COLUMN(AH21)-COLUMN($E$5),1),$E28),0)</f>
        <v>0</v>
      </c>
      <c r="AI28" s="250">
        <f>IF(AI$6=$C28,IF(INDEX('Surface DEET'!$Q$9:$W$38,COLUMN(AI21)-COLUMN($E$5),1)&gt;0,INDEX('Surface DEET'!$Q$9:$W$38,COLUMN(AI21)-COLUMN($E$5),1),$E28),0)</f>
        <v>0</v>
      </c>
    </row>
    <row r="29" spans="1:35">
      <c r="A29" s="692"/>
      <c r="B29" s="250" t="s">
        <v>540</v>
      </c>
      <c r="C29" s="30" t="s">
        <v>588</v>
      </c>
      <c r="D29" s="296" t="s">
        <v>587</v>
      </c>
      <c r="E29" s="250">
        <v>31</v>
      </c>
      <c r="F29" s="250">
        <f>IF(F$6=$C29,IF(INDEX('Surface DEET'!$Q$9:$W$38,COLUMN(F22)-COLUMN($E$5),4)&gt;0,INDEX('Surface DEET'!$Q$9:$W$38,COLUMN(F22)-COLUMN($E$5),4),$E29),0)</f>
        <v>0</v>
      </c>
      <c r="G29" s="250">
        <f>IF(G$6=$C29,IF(INDEX('Surface DEET'!$Q$9:$W$38,COLUMN(G22)-COLUMN($E$5),4)&gt;0,INDEX('Surface DEET'!$Q$9:$W$38,COLUMN(G22)-COLUMN($E$5),4),$E29),0)</f>
        <v>0</v>
      </c>
      <c r="H29" s="250">
        <f>IF(H$6=$C29,IF(INDEX('Surface DEET'!$Q$9:$W$38,COLUMN(H22)-COLUMN($E$5),4)&gt;0,INDEX('Surface DEET'!$Q$9:$W$38,COLUMN(H22)-COLUMN($E$5),4),$E29),0)</f>
        <v>0</v>
      </c>
      <c r="I29" s="250">
        <f>IF(I$6=$C29,IF(INDEX('Surface DEET'!$Q$9:$W$38,COLUMN(I22)-COLUMN($E$5),4)&gt;0,INDEX('Surface DEET'!$Q$9:$W$38,COLUMN(I22)-COLUMN($E$5),4),$E29),0)</f>
        <v>0</v>
      </c>
      <c r="J29" s="250">
        <f>IF(J$6=$C29,IF(INDEX('Surface DEET'!$Q$9:$W$38,COLUMN(J22)-COLUMN($E$5),4)&gt;0,INDEX('Surface DEET'!$Q$9:$W$38,COLUMN(J22)-COLUMN($E$5),4),$E29),0)</f>
        <v>0</v>
      </c>
      <c r="K29" s="250">
        <f>IF(K$6=$C29,IF(INDEX('Surface DEET'!$Q$9:$W$38,COLUMN(K22)-COLUMN($E$5),4)&gt;0,INDEX('Surface DEET'!$Q$9:$W$38,COLUMN(K22)-COLUMN($E$5),4),$E29),0)</f>
        <v>0</v>
      </c>
      <c r="L29" s="250">
        <f>IF(L$6=$C29,IF(INDEX('Surface DEET'!$Q$9:$W$38,COLUMN(L22)-COLUMN($E$5),4)&gt;0,INDEX('Surface DEET'!$Q$9:$W$38,COLUMN(L22)-COLUMN($E$5),4),$E29),0)</f>
        <v>0</v>
      </c>
      <c r="M29" s="250">
        <f>IF(M$6=$C29,IF(INDEX('Surface DEET'!$Q$9:$W$38,COLUMN(M22)-COLUMN($E$5),4)&gt;0,INDEX('Surface DEET'!$Q$9:$W$38,COLUMN(M22)-COLUMN($E$5),4),$E29),0)</f>
        <v>0</v>
      </c>
      <c r="N29" s="250">
        <f>IF(N$6=$C29,IF(INDEX('Surface DEET'!$Q$9:$W$38,COLUMN(N22)-COLUMN($E$5),4)&gt;0,INDEX('Surface DEET'!$Q$9:$W$38,COLUMN(N22)-COLUMN($E$5),4),$E29),0)</f>
        <v>0</v>
      </c>
      <c r="O29" s="250">
        <f>IF(O$6=$C29,IF(INDEX('Surface DEET'!$Q$9:$W$38,COLUMN(O22)-COLUMN($E$5),4)&gt;0,INDEX('Surface DEET'!$Q$9:$W$38,COLUMN(O22)-COLUMN($E$5),4),$E29),0)</f>
        <v>0</v>
      </c>
      <c r="P29" s="250">
        <f>IF(P$6=$C29,IF(INDEX('Surface DEET'!$Q$9:$W$38,COLUMN(P22)-COLUMN($E$5),4)&gt;0,INDEX('Surface DEET'!$Q$9:$W$38,COLUMN(P22)-COLUMN($E$5),4),$E29),0)</f>
        <v>0</v>
      </c>
      <c r="Q29" s="250">
        <f>IF(Q$6=$C29,IF(INDEX('Surface DEET'!$Q$9:$W$38,COLUMN(Q22)-COLUMN($E$5),4)&gt;0,INDEX('Surface DEET'!$Q$9:$W$38,COLUMN(Q22)-COLUMN($E$5),4),$E29),0)</f>
        <v>0</v>
      </c>
      <c r="R29" s="250">
        <f>IF(R$6=$C29,IF(INDEX('Surface DEET'!$Q$9:$W$38,COLUMN(R22)-COLUMN($E$5),4)&gt;0,INDEX('Surface DEET'!$Q$9:$W$38,COLUMN(R22)-COLUMN($E$5),4),$E29),0)</f>
        <v>0</v>
      </c>
      <c r="S29" s="250">
        <f>IF(S$6=$C29,IF(INDEX('Surface DEET'!$Q$9:$W$38,COLUMN(S22)-COLUMN($E$5),4)&gt;0,INDEX('Surface DEET'!$Q$9:$W$38,COLUMN(S22)-COLUMN($E$5),4),$E29),0)</f>
        <v>0</v>
      </c>
      <c r="T29" s="250">
        <f>IF(T$6=$C29,IF(INDEX('Surface DEET'!$Q$9:$W$38,COLUMN(T22)-COLUMN($E$5),4)&gt;0,INDEX('Surface DEET'!$Q$9:$W$38,COLUMN(T22)-COLUMN($E$5),4),$E29),0)</f>
        <v>0</v>
      </c>
      <c r="U29" s="250">
        <f>IF(U$6=$C29,IF(INDEX('Surface DEET'!$Q$9:$W$38,COLUMN(U22)-COLUMN($E$5),4)&gt;0,INDEX('Surface DEET'!$Q$9:$W$38,COLUMN(U22)-COLUMN($E$5),4),$E29),0)</f>
        <v>0</v>
      </c>
      <c r="V29" s="250">
        <f>IF(V$6=$C29,IF(INDEX('Surface DEET'!$Q$9:$W$38,COLUMN(V22)-COLUMN($E$5),4)&gt;0,INDEX('Surface DEET'!$Q$9:$W$38,COLUMN(V22)-COLUMN($E$5),4),$E29),0)</f>
        <v>0</v>
      </c>
      <c r="W29" s="250">
        <f>IF(W$6=$C29,IF(INDEX('Surface DEET'!$Q$9:$W$38,COLUMN(W22)-COLUMN($E$5),4)&gt;0,INDEX('Surface DEET'!$Q$9:$W$38,COLUMN(W22)-COLUMN($E$5),4),$E29),0)</f>
        <v>0</v>
      </c>
      <c r="X29" s="250">
        <f>IF(X$6=$C29,IF(INDEX('Surface DEET'!$Q$9:$W$38,COLUMN(X22)-COLUMN($E$5),4)&gt;0,INDEX('Surface DEET'!$Q$9:$W$38,COLUMN(X22)-COLUMN($E$5),4),$E29),0)</f>
        <v>0</v>
      </c>
      <c r="Y29" s="250">
        <f>IF(Y$6=$C29,IF(INDEX('Surface DEET'!$Q$9:$W$38,COLUMN(Y22)-COLUMN($E$5),4)&gt;0,INDEX('Surface DEET'!$Q$9:$W$38,COLUMN(Y22)-COLUMN($E$5),4),$E29),0)</f>
        <v>0</v>
      </c>
      <c r="Z29" s="250">
        <f>IF(Z$6=$C29,IF(INDEX('Surface DEET'!$Q$9:$W$38,COLUMN(Z22)-COLUMN($E$5),4)&gt;0,INDEX('Surface DEET'!$Q$9:$W$38,COLUMN(Z22)-COLUMN($E$5),4),$E29),0)</f>
        <v>0</v>
      </c>
      <c r="AA29" s="250">
        <f>IF(AA$6=$C29,IF(INDEX('Surface DEET'!$Q$9:$W$38,COLUMN(AA22)-COLUMN($E$5),4)&gt;0,INDEX('Surface DEET'!$Q$9:$W$38,COLUMN(AA22)-COLUMN($E$5),4),$E29),0)</f>
        <v>0</v>
      </c>
      <c r="AB29" s="250">
        <f>IF(AB$6=$C29,IF(INDEX('Surface DEET'!$Q$9:$W$38,COLUMN(AB22)-COLUMN($E$5),4)&gt;0,INDEX('Surface DEET'!$Q$9:$W$38,COLUMN(AB22)-COLUMN($E$5),4),$E29),0)</f>
        <v>0</v>
      </c>
      <c r="AC29" s="250">
        <f>IF(AC$6=$C29,IF(INDEX('Surface DEET'!$Q$9:$W$38,COLUMN(AC22)-COLUMN($E$5),4)&gt;0,INDEX('Surface DEET'!$Q$9:$W$38,COLUMN(AC22)-COLUMN($E$5),4),$E29),0)</f>
        <v>0</v>
      </c>
      <c r="AD29" s="250">
        <f>IF(AD$6=$C29,IF(INDEX('Surface DEET'!$Q$9:$W$38,COLUMN(AD22)-COLUMN($E$5),4)&gt;0,INDEX('Surface DEET'!$Q$9:$W$38,COLUMN(AD22)-COLUMN($E$5),4),$E29),0)</f>
        <v>0</v>
      </c>
      <c r="AE29" s="250">
        <f>IF(AE$6=$C29,IF(INDEX('Surface DEET'!$Q$9:$W$38,COLUMN(AE22)-COLUMN($E$5),4)&gt;0,INDEX('Surface DEET'!$Q$9:$W$38,COLUMN(AE22)-COLUMN($E$5),4),$E29),0)</f>
        <v>0</v>
      </c>
      <c r="AF29" s="250">
        <f>IF(AF$6=$C29,IF(INDEX('Surface DEET'!$Q$9:$W$38,COLUMN(AF22)-COLUMN($E$5),4)&gt;0,INDEX('Surface DEET'!$Q$9:$W$38,COLUMN(AF22)-COLUMN($E$5),4),$E29),0)</f>
        <v>0</v>
      </c>
      <c r="AG29" s="250">
        <f>IF(AG$6=$C29,IF(INDEX('Surface DEET'!$Q$9:$W$38,COLUMN(AG22)-COLUMN($E$5),4)&gt;0,INDEX('Surface DEET'!$Q$9:$W$38,COLUMN(AG22)-COLUMN($E$5),4),$E29),0)</f>
        <v>0</v>
      </c>
      <c r="AH29" s="250">
        <f>IF(AH$6=$C29,IF(INDEX('Surface DEET'!$Q$9:$W$38,COLUMN(AH22)-COLUMN($E$5),4)&gt;0,INDEX('Surface DEET'!$Q$9:$W$38,COLUMN(AH22)-COLUMN($E$5),4),$E29),0)</f>
        <v>0</v>
      </c>
      <c r="AI29" s="250">
        <f>IF(AI$6=$C29,IF(INDEX('Surface DEET'!$Q$9:$W$38,COLUMN(AI22)-COLUMN($E$5),4)&gt;0,INDEX('Surface DEET'!$Q$9:$W$38,COLUMN(AI22)-COLUMN($E$5),4),$E29),0)</f>
        <v>0</v>
      </c>
    </row>
    <row r="30" spans="1:35">
      <c r="A30" s="692"/>
      <c r="B30" s="250" t="s">
        <v>533</v>
      </c>
      <c r="C30" s="30" t="s">
        <v>588</v>
      </c>
      <c r="D30" s="250" t="s">
        <v>533</v>
      </c>
      <c r="F30" s="250">
        <f>IFERROR($E$25*(F28/$E$28)*($E$27*($E$29/F29)+(1-$E$27))+0.28*$E$24*(F28-$E$28)/$E$28,0)</f>
        <v>0</v>
      </c>
      <c r="G30" s="250">
        <f>IFERROR($E$25*(G28/$E$28)*($E$27*($E$29/G29)+(1-$E$27))+0.28*$E$24*(G28-$E$28)/$E$28,0)</f>
        <v>0</v>
      </c>
      <c r="H30" s="250">
        <f>IFERROR($E$25*(H28/$E$28)*($E$27*($E$29/H29)+(1-$E$27))+0.28*$E$24*(H28-$E$28)/$E$28,0)</f>
        <v>0</v>
      </c>
      <c r="I30" s="250">
        <f t="shared" ref="I30:AI30" si="2">IFERROR($E$25*(I28/$E$28)*($E$27*($E$29/I29)+(1-$E$27))+0.28*$E$24*(I28-$E$28)/$E$28,0)</f>
        <v>0</v>
      </c>
      <c r="J30" s="250">
        <f t="shared" si="2"/>
        <v>0</v>
      </c>
      <c r="K30" s="250">
        <f t="shared" si="2"/>
        <v>0</v>
      </c>
      <c r="L30" s="250">
        <f t="shared" si="2"/>
        <v>0</v>
      </c>
      <c r="M30" s="250">
        <f t="shared" si="2"/>
        <v>0</v>
      </c>
      <c r="N30" s="250">
        <f t="shared" si="2"/>
        <v>0</v>
      </c>
      <c r="O30" s="250">
        <f t="shared" si="2"/>
        <v>0</v>
      </c>
      <c r="P30" s="250">
        <f t="shared" si="2"/>
        <v>0</v>
      </c>
      <c r="Q30" s="250">
        <f t="shared" si="2"/>
        <v>0</v>
      </c>
      <c r="R30" s="250">
        <f t="shared" si="2"/>
        <v>0</v>
      </c>
      <c r="S30" s="250">
        <f t="shared" si="2"/>
        <v>0</v>
      </c>
      <c r="T30" s="250">
        <f t="shared" si="2"/>
        <v>0</v>
      </c>
      <c r="U30" s="250">
        <f t="shared" si="2"/>
        <v>0</v>
      </c>
      <c r="V30" s="250">
        <f t="shared" si="2"/>
        <v>0</v>
      </c>
      <c r="W30" s="250">
        <f t="shared" si="2"/>
        <v>0</v>
      </c>
      <c r="X30" s="250">
        <f t="shared" si="2"/>
        <v>0</v>
      </c>
      <c r="Y30" s="250">
        <f t="shared" si="2"/>
        <v>0</v>
      </c>
      <c r="Z30" s="250">
        <f t="shared" si="2"/>
        <v>0</v>
      </c>
      <c r="AA30" s="250">
        <f t="shared" si="2"/>
        <v>0</v>
      </c>
      <c r="AB30" s="250">
        <f t="shared" si="2"/>
        <v>0</v>
      </c>
      <c r="AC30" s="250">
        <f t="shared" si="2"/>
        <v>0</v>
      </c>
      <c r="AD30" s="250">
        <f t="shared" si="2"/>
        <v>0</v>
      </c>
      <c r="AE30" s="250">
        <f t="shared" si="2"/>
        <v>0</v>
      </c>
      <c r="AF30" s="250">
        <f t="shared" si="2"/>
        <v>0</v>
      </c>
      <c r="AG30" s="250">
        <f t="shared" si="2"/>
        <v>0</v>
      </c>
      <c r="AH30" s="250">
        <f t="shared" si="2"/>
        <v>0</v>
      </c>
      <c r="AI30" s="250">
        <f t="shared" si="2"/>
        <v>0</v>
      </c>
    </row>
    <row r="31" spans="1:35">
      <c r="A31" s="692" t="s">
        <v>589</v>
      </c>
      <c r="B31" s="88" t="s">
        <v>294</v>
      </c>
      <c r="C31" s="30" t="s">
        <v>589</v>
      </c>
      <c r="D31" s="88" t="s">
        <v>294</v>
      </c>
      <c r="E31" s="250">
        <f t="array" ref="E31">INDEX(CABS_CVC!$C$3:$O$894,MATCH(1, (CABS_CVC!$A$3:$A$894=Calculs_CABS!C31)*(CABS_CVC!$B$3:$B$894=Calculs_CABS!$D$2),0),MATCH(Calculs_CABS!$D$1,Liste_CABS!$B$3:$B$15,0))</f>
        <v>60</v>
      </c>
    </row>
    <row r="32" spans="1:35">
      <c r="A32" s="692"/>
      <c r="B32" s="250" t="s">
        <v>534</v>
      </c>
      <c r="C32" s="30" t="s">
        <v>589</v>
      </c>
      <c r="D32" s="250" t="s">
        <v>534</v>
      </c>
      <c r="E32" s="250">
        <v>76</v>
      </c>
    </row>
    <row r="33" spans="1:35">
      <c r="A33" s="692"/>
      <c r="B33" s="250" t="s">
        <v>535</v>
      </c>
      <c r="C33" s="30" t="s">
        <v>589</v>
      </c>
      <c r="D33" s="250" t="s">
        <v>535</v>
      </c>
      <c r="E33" s="250">
        <f>E31+E32</f>
        <v>136</v>
      </c>
    </row>
    <row r="34" spans="1:35">
      <c r="A34" s="692"/>
      <c r="B34" s="250" t="s">
        <v>536</v>
      </c>
      <c r="C34" s="30" t="s">
        <v>589</v>
      </c>
      <c r="D34" s="250" t="s">
        <v>536</v>
      </c>
      <c r="E34" s="250">
        <v>0.64</v>
      </c>
    </row>
    <row r="35" spans="1:35">
      <c r="A35" s="692"/>
      <c r="B35" s="250" t="s">
        <v>537</v>
      </c>
      <c r="C35" s="30" t="s">
        <v>589</v>
      </c>
      <c r="D35" s="296" t="s">
        <v>583</v>
      </c>
      <c r="E35" s="250">
        <v>8760</v>
      </c>
      <c r="F35" s="250">
        <f>IF(F$6=$C35,IF(INDEX('Surface DEET'!$Q$9:$W$38,COLUMN(F28)-COLUMN($E$5),1)&gt;0,INDEX('Surface DEET'!$Q$9:$W$38,COLUMN(F28)-COLUMN($E$5),1),$E35),0)</f>
        <v>0</v>
      </c>
      <c r="G35" s="250">
        <f>IF(G$6=$C35,IF(INDEX('Surface DEET'!$Q$9:$W$38,COLUMN(G28)-COLUMN($E$5),1)&gt;0,INDEX('Surface DEET'!$Q$9:$W$38,COLUMN(G28)-COLUMN($E$5),1),$E35),0)</f>
        <v>0</v>
      </c>
      <c r="H35" s="250">
        <f>IF(H$6=$C35,IF(INDEX('Surface DEET'!$Q$9:$W$38,COLUMN(H28)-COLUMN($E$5),1)&gt;0,INDEX('Surface DEET'!$Q$9:$W$38,COLUMN(H28)-COLUMN($E$5),1),$E35),0)</f>
        <v>0</v>
      </c>
      <c r="I35" s="250">
        <f>IF(I$6=$C35,IF(INDEX('Surface DEET'!$Q$9:$W$38,COLUMN(I28)-COLUMN($E$5),1)&gt;0,INDEX('Surface DEET'!$Q$9:$W$38,COLUMN(I28)-COLUMN($E$5),1),$E35),0)</f>
        <v>0</v>
      </c>
      <c r="J35" s="250">
        <f>IF(J$6=$C35,IF(INDEX('Surface DEET'!$Q$9:$W$38,COLUMN(J28)-COLUMN($E$5),1)&gt;0,INDEX('Surface DEET'!$Q$9:$W$38,COLUMN(J28)-COLUMN($E$5),1),$E35),0)</f>
        <v>0</v>
      </c>
      <c r="K35" s="250">
        <f>IF(K$6=$C35,IF(INDEX('Surface DEET'!$Q$9:$W$38,COLUMN(K28)-COLUMN($E$5),1)&gt;0,INDEX('Surface DEET'!$Q$9:$W$38,COLUMN(K28)-COLUMN($E$5),1),$E35),0)</f>
        <v>0</v>
      </c>
      <c r="L35" s="250">
        <f>IF(L$6=$C35,IF(INDEX('Surface DEET'!$Q$9:$W$38,COLUMN(L28)-COLUMN($E$5),1)&gt;0,INDEX('Surface DEET'!$Q$9:$W$38,COLUMN(L28)-COLUMN($E$5),1),$E35),0)</f>
        <v>0</v>
      </c>
      <c r="M35" s="250">
        <f>IF(M$6=$C35,IF(INDEX('Surface DEET'!$Q$9:$W$38,COLUMN(M28)-COLUMN($E$5),1)&gt;0,INDEX('Surface DEET'!$Q$9:$W$38,COLUMN(M28)-COLUMN($E$5),1),$E35),0)</f>
        <v>0</v>
      </c>
      <c r="N35" s="250">
        <f>IF(N$6=$C35,IF(INDEX('Surface DEET'!$Q$9:$W$38,COLUMN(N28)-COLUMN($E$5),1)&gt;0,INDEX('Surface DEET'!$Q$9:$W$38,COLUMN(N28)-COLUMN($E$5),1),$E35),0)</f>
        <v>0</v>
      </c>
      <c r="O35" s="250">
        <f>IF(O$6=$C35,IF(INDEX('Surface DEET'!$Q$9:$W$38,COLUMN(O28)-COLUMN($E$5),1)&gt;0,INDEX('Surface DEET'!$Q$9:$W$38,COLUMN(O28)-COLUMN($E$5),1),$E35),0)</f>
        <v>0</v>
      </c>
      <c r="P35" s="250">
        <f>IF(P$6=$C35,IF(INDEX('Surface DEET'!$Q$9:$W$38,COLUMN(P28)-COLUMN($E$5),1)&gt;0,INDEX('Surface DEET'!$Q$9:$W$38,COLUMN(P28)-COLUMN($E$5),1),$E35),0)</f>
        <v>0</v>
      </c>
      <c r="Q35" s="250">
        <f>IF(Q$6=$C35,IF(INDEX('Surface DEET'!$Q$9:$W$38,COLUMN(Q28)-COLUMN($E$5),1)&gt;0,INDEX('Surface DEET'!$Q$9:$W$38,COLUMN(Q28)-COLUMN($E$5),1),$E35),0)</f>
        <v>0</v>
      </c>
      <c r="R35" s="250">
        <f>IF(R$6=$C35,IF(INDEX('Surface DEET'!$Q$9:$W$38,COLUMN(R28)-COLUMN($E$5),1)&gt;0,INDEX('Surface DEET'!$Q$9:$W$38,COLUMN(R28)-COLUMN($E$5),1),$E35),0)</f>
        <v>0</v>
      </c>
      <c r="S35" s="250">
        <f>IF(S$6=$C35,IF(INDEX('Surface DEET'!$Q$9:$W$38,COLUMN(S28)-COLUMN($E$5),1)&gt;0,INDEX('Surface DEET'!$Q$9:$W$38,COLUMN(S28)-COLUMN($E$5),1),$E35),0)</f>
        <v>0</v>
      </c>
      <c r="T35" s="250">
        <f>IF(T$6=$C35,IF(INDEX('Surface DEET'!$Q$9:$W$38,COLUMN(T28)-COLUMN($E$5),1)&gt;0,INDEX('Surface DEET'!$Q$9:$W$38,COLUMN(T28)-COLUMN($E$5),1),$E35),0)</f>
        <v>0</v>
      </c>
      <c r="U35" s="250">
        <f>IF(U$6=$C35,IF(INDEX('Surface DEET'!$Q$9:$W$38,COLUMN(U28)-COLUMN($E$5),1)&gt;0,INDEX('Surface DEET'!$Q$9:$W$38,COLUMN(U28)-COLUMN($E$5),1),$E35),0)</f>
        <v>0</v>
      </c>
      <c r="V35" s="250">
        <f>IF(V$6=$C35,IF(INDEX('Surface DEET'!$Q$9:$W$38,COLUMN(V28)-COLUMN($E$5),1)&gt;0,INDEX('Surface DEET'!$Q$9:$W$38,COLUMN(V28)-COLUMN($E$5),1),$E35),0)</f>
        <v>0</v>
      </c>
      <c r="W35" s="250">
        <f>IF(W$6=$C35,IF(INDEX('Surface DEET'!$Q$9:$W$38,COLUMN(W28)-COLUMN($E$5),1)&gt;0,INDEX('Surface DEET'!$Q$9:$W$38,COLUMN(W28)-COLUMN($E$5),1),$E35),0)</f>
        <v>0</v>
      </c>
      <c r="X35" s="250">
        <f>IF(X$6=$C35,IF(INDEX('Surface DEET'!$Q$9:$W$38,COLUMN(X28)-COLUMN($E$5),1)&gt;0,INDEX('Surface DEET'!$Q$9:$W$38,COLUMN(X28)-COLUMN($E$5),1),$E35),0)</f>
        <v>0</v>
      </c>
      <c r="Y35" s="250">
        <f>IF(Y$6=$C35,IF(INDEX('Surface DEET'!$Q$9:$W$38,COLUMN(Y28)-COLUMN($E$5),1)&gt;0,INDEX('Surface DEET'!$Q$9:$W$38,COLUMN(Y28)-COLUMN($E$5),1),$E35),0)</f>
        <v>0</v>
      </c>
      <c r="Z35" s="250">
        <f>IF(Z$6=$C35,IF(INDEX('Surface DEET'!$Q$9:$W$38,COLUMN(Z28)-COLUMN($E$5),1)&gt;0,INDEX('Surface DEET'!$Q$9:$W$38,COLUMN(Z28)-COLUMN($E$5),1),$E35),0)</f>
        <v>0</v>
      </c>
      <c r="AA35" s="250">
        <f>IF(AA$6=$C35,IF(INDEX('Surface DEET'!$Q$9:$W$38,COLUMN(AA28)-COLUMN($E$5),1)&gt;0,INDEX('Surface DEET'!$Q$9:$W$38,COLUMN(AA28)-COLUMN($E$5),1),$E35),0)</f>
        <v>0</v>
      </c>
      <c r="AB35" s="250">
        <f>IF(AB$6=$C35,IF(INDEX('Surface DEET'!$Q$9:$W$38,COLUMN(AB28)-COLUMN($E$5),1)&gt;0,INDEX('Surface DEET'!$Q$9:$W$38,COLUMN(AB28)-COLUMN($E$5),1),$E35),0)</f>
        <v>0</v>
      </c>
      <c r="AC35" s="250">
        <f>IF(AC$6=$C35,IF(INDEX('Surface DEET'!$Q$9:$W$38,COLUMN(AC28)-COLUMN($E$5),1)&gt;0,INDEX('Surface DEET'!$Q$9:$W$38,COLUMN(AC28)-COLUMN($E$5),1),$E35),0)</f>
        <v>0</v>
      </c>
      <c r="AD35" s="250">
        <f>IF(AD$6=$C35,IF(INDEX('Surface DEET'!$Q$9:$W$38,COLUMN(AD28)-COLUMN($E$5),1)&gt;0,INDEX('Surface DEET'!$Q$9:$W$38,COLUMN(AD28)-COLUMN($E$5),1),$E35),0)</f>
        <v>0</v>
      </c>
      <c r="AE35" s="250">
        <f>IF(AE$6=$C35,IF(INDEX('Surface DEET'!$Q$9:$W$38,COLUMN(AE28)-COLUMN($E$5),1)&gt;0,INDEX('Surface DEET'!$Q$9:$W$38,COLUMN(AE28)-COLUMN($E$5),1),$E35),0)</f>
        <v>0</v>
      </c>
      <c r="AF35" s="250">
        <f>IF(AF$6=$C35,IF(INDEX('Surface DEET'!$Q$9:$W$38,COLUMN(AF28)-COLUMN($E$5),1)&gt;0,INDEX('Surface DEET'!$Q$9:$W$38,COLUMN(AF28)-COLUMN($E$5),1),$E35),0)</f>
        <v>0</v>
      </c>
      <c r="AG35" s="250">
        <f>IF(AG$6=$C35,IF(INDEX('Surface DEET'!$Q$9:$W$38,COLUMN(AG28)-COLUMN($E$5),1)&gt;0,INDEX('Surface DEET'!$Q$9:$W$38,COLUMN(AG28)-COLUMN($E$5),1),$E35),0)</f>
        <v>0</v>
      </c>
      <c r="AH35" s="250">
        <f>IF(AH$6=$C35,IF(INDEX('Surface DEET'!$Q$9:$W$38,COLUMN(AH28)-COLUMN($E$5),1)&gt;0,INDEX('Surface DEET'!$Q$9:$W$38,COLUMN(AH28)-COLUMN($E$5),1),$E35),0)</f>
        <v>0</v>
      </c>
      <c r="AI35" s="250">
        <f>IF(AI$6=$C35,IF(INDEX('Surface DEET'!$Q$9:$W$38,COLUMN(AI28)-COLUMN($E$5),1)&gt;0,INDEX('Surface DEET'!$Q$9:$W$38,COLUMN(AI28)-COLUMN($E$5),1),$E35),0)</f>
        <v>0</v>
      </c>
    </row>
    <row r="36" spans="1:35">
      <c r="A36" s="692"/>
      <c r="B36" s="250" t="s">
        <v>540</v>
      </c>
      <c r="C36" s="30" t="s">
        <v>589</v>
      </c>
      <c r="D36" s="296" t="s">
        <v>590</v>
      </c>
      <c r="E36" s="250">
        <v>20</v>
      </c>
      <c r="F36" s="250">
        <f>IF(F$6=$C36,IF(INDEX('Surface DEET'!$Q$9:$W$38,COLUMN(F29)-COLUMN($E$5),4)&gt;0,INDEX('Surface DEET'!$Q$9:$W$38,COLUMN(F29)-COLUMN($E$5),4),$E36),0)</f>
        <v>0</v>
      </c>
      <c r="G36" s="250">
        <f>IF(G$6=$C36,IF(INDEX('Surface DEET'!$Q$9:$W$38,COLUMN(G29)-COLUMN($E$5),4)&gt;0,INDEX('Surface DEET'!$Q$9:$W$38,COLUMN(G29)-COLUMN($E$5),4),$E36),0)</f>
        <v>0</v>
      </c>
      <c r="H36" s="250">
        <f>IF(H$6=$C36,IF(INDEX('Surface DEET'!$Q$9:$W$38,COLUMN(H29)-COLUMN($E$5),4)&gt;0,INDEX('Surface DEET'!$Q$9:$W$38,COLUMN(H29)-COLUMN($E$5),4),$E36),0)</f>
        <v>0</v>
      </c>
      <c r="I36" s="250">
        <f>IF(I$6=$C36,IF(INDEX('Surface DEET'!$Q$9:$W$38,COLUMN(I29)-COLUMN($E$5),4)&gt;0,INDEX('Surface DEET'!$Q$9:$W$38,COLUMN(I29)-COLUMN($E$5),4),$E36),0)</f>
        <v>0</v>
      </c>
      <c r="J36" s="250">
        <f>IF(J$6=$C36,IF(INDEX('Surface DEET'!$Q$9:$W$38,COLUMN(J29)-COLUMN($E$5),4)&gt;0,INDEX('Surface DEET'!$Q$9:$W$38,COLUMN(J29)-COLUMN($E$5),4),$E36),0)</f>
        <v>0</v>
      </c>
      <c r="K36" s="250">
        <f>IF(K$6=$C36,IF(INDEX('Surface DEET'!$Q$9:$W$38,COLUMN(K29)-COLUMN($E$5),4)&gt;0,INDEX('Surface DEET'!$Q$9:$W$38,COLUMN(K29)-COLUMN($E$5),4),$E36),0)</f>
        <v>0</v>
      </c>
      <c r="L36" s="250">
        <f>IF(L$6=$C36,IF(INDEX('Surface DEET'!$Q$9:$W$38,COLUMN(L29)-COLUMN($E$5),4)&gt;0,INDEX('Surface DEET'!$Q$9:$W$38,COLUMN(L29)-COLUMN($E$5),4),$E36),0)</f>
        <v>0</v>
      </c>
      <c r="M36" s="250">
        <f>IF(M$6=$C36,IF(INDEX('Surface DEET'!$Q$9:$W$38,COLUMN(M29)-COLUMN($E$5),4)&gt;0,INDEX('Surface DEET'!$Q$9:$W$38,COLUMN(M29)-COLUMN($E$5),4),$E36),0)</f>
        <v>0</v>
      </c>
      <c r="N36" s="250">
        <f>IF(N$6=$C36,IF(INDEX('Surface DEET'!$Q$9:$W$38,COLUMN(N29)-COLUMN($E$5),4)&gt;0,INDEX('Surface DEET'!$Q$9:$W$38,COLUMN(N29)-COLUMN($E$5),4),$E36),0)</f>
        <v>0</v>
      </c>
      <c r="O36" s="250">
        <f>IF(O$6=$C36,IF(INDEX('Surface DEET'!$Q$9:$W$38,COLUMN(O29)-COLUMN($E$5),4)&gt;0,INDEX('Surface DEET'!$Q$9:$W$38,COLUMN(O29)-COLUMN($E$5),4),$E36),0)</f>
        <v>0</v>
      </c>
      <c r="P36" s="250">
        <f>IF(P$6=$C36,IF(INDEX('Surface DEET'!$Q$9:$W$38,COLUMN(P29)-COLUMN($E$5),4)&gt;0,INDEX('Surface DEET'!$Q$9:$W$38,COLUMN(P29)-COLUMN($E$5),4),$E36),0)</f>
        <v>0</v>
      </c>
      <c r="Q36" s="250">
        <f>IF(Q$6=$C36,IF(INDEX('Surface DEET'!$Q$9:$W$38,COLUMN(Q29)-COLUMN($E$5),4)&gt;0,INDEX('Surface DEET'!$Q$9:$W$38,COLUMN(Q29)-COLUMN($E$5),4),$E36),0)</f>
        <v>0</v>
      </c>
      <c r="R36" s="250">
        <f>IF(R$6=$C36,IF(INDEX('Surface DEET'!$Q$9:$W$38,COLUMN(R29)-COLUMN($E$5),4)&gt;0,INDEX('Surface DEET'!$Q$9:$W$38,COLUMN(R29)-COLUMN($E$5),4),$E36),0)</f>
        <v>0</v>
      </c>
      <c r="S36" s="250">
        <f>IF(S$6=$C36,IF(INDEX('Surface DEET'!$Q$9:$W$38,COLUMN(S29)-COLUMN($E$5),4)&gt;0,INDEX('Surface DEET'!$Q$9:$W$38,COLUMN(S29)-COLUMN($E$5),4),$E36),0)</f>
        <v>0</v>
      </c>
      <c r="T36" s="250">
        <f>IF(T$6=$C36,IF(INDEX('Surface DEET'!$Q$9:$W$38,COLUMN(T29)-COLUMN($E$5),4)&gt;0,INDEX('Surface DEET'!$Q$9:$W$38,COLUMN(T29)-COLUMN($E$5),4),$E36),0)</f>
        <v>0</v>
      </c>
      <c r="U36" s="250">
        <f>IF(U$6=$C36,IF(INDEX('Surface DEET'!$Q$9:$W$38,COLUMN(U29)-COLUMN($E$5),4)&gt;0,INDEX('Surface DEET'!$Q$9:$W$38,COLUMN(U29)-COLUMN($E$5),4),$E36),0)</f>
        <v>0</v>
      </c>
      <c r="V36" s="250">
        <f>IF(V$6=$C36,IF(INDEX('Surface DEET'!$Q$9:$W$38,COLUMN(V29)-COLUMN($E$5),4)&gt;0,INDEX('Surface DEET'!$Q$9:$W$38,COLUMN(V29)-COLUMN($E$5),4),$E36),0)</f>
        <v>0</v>
      </c>
      <c r="W36" s="250">
        <f>IF(W$6=$C36,IF(INDEX('Surface DEET'!$Q$9:$W$38,COLUMN(W29)-COLUMN($E$5),4)&gt;0,INDEX('Surface DEET'!$Q$9:$W$38,COLUMN(W29)-COLUMN($E$5),4),$E36),0)</f>
        <v>0</v>
      </c>
      <c r="X36" s="250">
        <f>IF(X$6=$C36,IF(INDEX('Surface DEET'!$Q$9:$W$38,COLUMN(X29)-COLUMN($E$5),4)&gt;0,INDEX('Surface DEET'!$Q$9:$W$38,COLUMN(X29)-COLUMN($E$5),4),$E36),0)</f>
        <v>0</v>
      </c>
      <c r="Y36" s="250">
        <f>IF(Y$6=$C36,IF(INDEX('Surface DEET'!$Q$9:$W$38,COLUMN(Y29)-COLUMN($E$5),4)&gt;0,INDEX('Surface DEET'!$Q$9:$W$38,COLUMN(Y29)-COLUMN($E$5),4),$E36),0)</f>
        <v>0</v>
      </c>
      <c r="Z36" s="250">
        <f>IF(Z$6=$C36,IF(INDEX('Surface DEET'!$Q$9:$W$38,COLUMN(Z29)-COLUMN($E$5),4)&gt;0,INDEX('Surface DEET'!$Q$9:$W$38,COLUMN(Z29)-COLUMN($E$5),4),$E36),0)</f>
        <v>0</v>
      </c>
      <c r="AA36" s="250">
        <f>IF(AA$6=$C36,IF(INDEX('Surface DEET'!$Q$9:$W$38,COLUMN(AA29)-COLUMN($E$5),4)&gt;0,INDEX('Surface DEET'!$Q$9:$W$38,COLUMN(AA29)-COLUMN($E$5),4),$E36),0)</f>
        <v>0</v>
      </c>
      <c r="AB36" s="250">
        <f>IF(AB$6=$C36,IF(INDEX('Surface DEET'!$Q$9:$W$38,COLUMN(AB29)-COLUMN($E$5),4)&gt;0,INDEX('Surface DEET'!$Q$9:$W$38,COLUMN(AB29)-COLUMN($E$5),4),$E36),0)</f>
        <v>0</v>
      </c>
      <c r="AC36" s="250">
        <f>IF(AC$6=$C36,IF(INDEX('Surface DEET'!$Q$9:$W$38,COLUMN(AC29)-COLUMN($E$5),4)&gt;0,INDEX('Surface DEET'!$Q$9:$W$38,COLUMN(AC29)-COLUMN($E$5),4),$E36),0)</f>
        <v>0</v>
      </c>
      <c r="AD36" s="250">
        <f>IF(AD$6=$C36,IF(INDEX('Surface DEET'!$Q$9:$W$38,COLUMN(AD29)-COLUMN($E$5),4)&gt;0,INDEX('Surface DEET'!$Q$9:$W$38,COLUMN(AD29)-COLUMN($E$5),4),$E36),0)</f>
        <v>0</v>
      </c>
      <c r="AE36" s="250">
        <f>IF(AE$6=$C36,IF(INDEX('Surface DEET'!$Q$9:$W$38,COLUMN(AE29)-COLUMN($E$5),4)&gt;0,INDEX('Surface DEET'!$Q$9:$W$38,COLUMN(AE29)-COLUMN($E$5),4),$E36),0)</f>
        <v>0</v>
      </c>
      <c r="AF36" s="250">
        <f>IF(AF$6=$C36,IF(INDEX('Surface DEET'!$Q$9:$W$38,COLUMN(AF29)-COLUMN($E$5),4)&gt;0,INDEX('Surface DEET'!$Q$9:$W$38,COLUMN(AF29)-COLUMN($E$5),4),$E36),0)</f>
        <v>0</v>
      </c>
      <c r="AG36" s="250">
        <f>IF(AG$6=$C36,IF(INDEX('Surface DEET'!$Q$9:$W$38,COLUMN(AG29)-COLUMN($E$5),4)&gt;0,INDEX('Surface DEET'!$Q$9:$W$38,COLUMN(AG29)-COLUMN($E$5),4),$E36),0)</f>
        <v>0</v>
      </c>
      <c r="AH36" s="250">
        <f>IF(AH$6=$C36,IF(INDEX('Surface DEET'!$Q$9:$W$38,COLUMN(AH29)-COLUMN($E$5),4)&gt;0,INDEX('Surface DEET'!$Q$9:$W$38,COLUMN(AH29)-COLUMN($E$5),4),$E36),0)</f>
        <v>0</v>
      </c>
      <c r="AI36" s="250">
        <f>IF(AI$6=$C36,IF(INDEX('Surface DEET'!$Q$9:$W$38,COLUMN(AI29)-COLUMN($E$5),4)&gt;0,INDEX('Surface DEET'!$Q$9:$W$38,COLUMN(AI29)-COLUMN($E$5),4),$E36),0)</f>
        <v>0</v>
      </c>
    </row>
    <row r="37" spans="1:35">
      <c r="A37" s="692"/>
      <c r="B37" s="250" t="s">
        <v>543</v>
      </c>
      <c r="C37" s="30" t="s">
        <v>589</v>
      </c>
      <c r="D37" s="297" t="s">
        <v>591</v>
      </c>
      <c r="E37" s="250">
        <v>90</v>
      </c>
      <c r="F37" s="250">
        <f>IF(F$6=$C37,IF(INDEX('Surface DEET'!$Q$9:$W$38,COLUMN(F30)-COLUMN($E$5),7)&gt;0,INDEX('Surface DEET'!$Q$9:$W$38,COLUMN(F30)-COLUMN($E$5),7),$E37),0)</f>
        <v>0</v>
      </c>
      <c r="G37" s="250">
        <f>IF(G$6=$C37,IF(INDEX('Surface DEET'!$Q$9:$W$38,COLUMN(G30)-COLUMN($E$5),7)&gt;0,INDEX('Surface DEET'!$Q$9:$W$38,COLUMN(G30)-COLUMN($E$5),7),$E37),0)</f>
        <v>0</v>
      </c>
      <c r="H37" s="250">
        <f>IF(H$6=$C37,IF(INDEX('Surface DEET'!$Q$9:$W$38,COLUMN(H30)-COLUMN($E$5),7)&gt;0,INDEX('Surface DEET'!$Q$9:$W$38,COLUMN(H30)-COLUMN($E$5),7),$E37),0)</f>
        <v>0</v>
      </c>
      <c r="I37" s="250">
        <f>IF(I$6=$C37,IF(INDEX('Surface DEET'!$Q$9:$W$38,COLUMN(I30)-COLUMN($E$5),7)&gt;0,INDEX('Surface DEET'!$Q$9:$W$38,COLUMN(I30)-COLUMN($E$5),7),$E37),0)</f>
        <v>0</v>
      </c>
      <c r="J37" s="250">
        <f>IF(J$6=$C37,IF(INDEX('Surface DEET'!$Q$9:$W$38,COLUMN(J30)-COLUMN($E$5),7)&gt;0,INDEX('Surface DEET'!$Q$9:$W$38,COLUMN(J30)-COLUMN($E$5),7),$E37),0)</f>
        <v>0</v>
      </c>
      <c r="K37" s="250">
        <f>IF(K$6=$C37,IF(INDEX('Surface DEET'!$Q$9:$W$38,COLUMN(K30)-COLUMN($E$5),7)&gt;0,INDEX('Surface DEET'!$Q$9:$W$38,COLUMN(K30)-COLUMN($E$5),7),$E37),0)</f>
        <v>0</v>
      </c>
      <c r="L37" s="250">
        <f>IF(L$6=$C37,IF(INDEX('Surface DEET'!$Q$9:$W$38,COLUMN(L30)-COLUMN($E$5),7)&gt;0,INDEX('Surface DEET'!$Q$9:$W$38,COLUMN(L30)-COLUMN($E$5),7),$E37),0)</f>
        <v>0</v>
      </c>
      <c r="M37" s="250">
        <f>IF(M$6=$C37,IF(INDEX('Surface DEET'!$Q$9:$W$38,COLUMN(M30)-COLUMN($E$5),7)&gt;0,INDEX('Surface DEET'!$Q$9:$W$38,COLUMN(M30)-COLUMN($E$5),7),$E37),0)</f>
        <v>0</v>
      </c>
      <c r="N37" s="250">
        <f>IF(N$6=$C37,IF(INDEX('Surface DEET'!$Q$9:$W$38,COLUMN(N30)-COLUMN($E$5),7)&gt;0,INDEX('Surface DEET'!$Q$9:$W$38,COLUMN(N30)-COLUMN($E$5),7),$E37),0)</f>
        <v>0</v>
      </c>
      <c r="O37" s="250">
        <f>IF(O$6=$C37,IF(INDEX('Surface DEET'!$Q$9:$W$38,COLUMN(O30)-COLUMN($E$5),7)&gt;0,INDEX('Surface DEET'!$Q$9:$W$38,COLUMN(O30)-COLUMN($E$5),7),$E37),0)</f>
        <v>0</v>
      </c>
      <c r="P37" s="250">
        <f>IF(P$6=$C37,IF(INDEX('Surface DEET'!$Q$9:$W$38,COLUMN(P30)-COLUMN($E$5),7)&gt;0,INDEX('Surface DEET'!$Q$9:$W$38,COLUMN(P30)-COLUMN($E$5),7),$E37),0)</f>
        <v>0</v>
      </c>
      <c r="Q37" s="250">
        <f>IF(Q$6=$C37,IF(INDEX('Surface DEET'!$Q$9:$W$38,COLUMN(Q30)-COLUMN($E$5),7)&gt;0,INDEX('Surface DEET'!$Q$9:$W$38,COLUMN(Q30)-COLUMN($E$5),7),$E37),0)</f>
        <v>0</v>
      </c>
      <c r="R37" s="250">
        <f>IF(R$6=$C37,IF(INDEX('Surface DEET'!$Q$9:$W$38,COLUMN(R30)-COLUMN($E$5),7)&gt;0,INDEX('Surface DEET'!$Q$9:$W$38,COLUMN(R30)-COLUMN($E$5),7),$E37),0)</f>
        <v>0</v>
      </c>
      <c r="S37" s="250">
        <f>IF(S$6=$C37,IF(INDEX('Surface DEET'!$Q$9:$W$38,COLUMN(S30)-COLUMN($E$5),7)&gt;0,INDEX('Surface DEET'!$Q$9:$W$38,COLUMN(S30)-COLUMN($E$5),7),$E37),0)</f>
        <v>0</v>
      </c>
      <c r="T37" s="250">
        <f>IF(T$6=$C37,IF(INDEX('Surface DEET'!$Q$9:$W$38,COLUMN(T30)-COLUMN($E$5),7)&gt;0,INDEX('Surface DEET'!$Q$9:$W$38,COLUMN(T30)-COLUMN($E$5),7),$E37),0)</f>
        <v>0</v>
      </c>
      <c r="U37" s="250">
        <f>IF(U$6=$C37,IF(INDEX('Surface DEET'!$Q$9:$W$38,COLUMN(U30)-COLUMN($E$5),7)&gt;0,INDEX('Surface DEET'!$Q$9:$W$38,COLUMN(U30)-COLUMN($E$5),7),$E37),0)</f>
        <v>0</v>
      </c>
      <c r="V37" s="250">
        <f>IF(V$6=$C37,IF(INDEX('Surface DEET'!$Q$9:$W$38,COLUMN(V30)-COLUMN($E$5),7)&gt;0,INDEX('Surface DEET'!$Q$9:$W$38,COLUMN(V30)-COLUMN($E$5),7),$E37),0)</f>
        <v>0</v>
      </c>
      <c r="W37" s="250">
        <f>IF(W$6=$C37,IF(INDEX('Surface DEET'!$Q$9:$W$38,COLUMN(W30)-COLUMN($E$5),7)&gt;0,INDEX('Surface DEET'!$Q$9:$W$38,COLUMN(W30)-COLUMN($E$5),7),$E37),0)</f>
        <v>0</v>
      </c>
      <c r="X37" s="250">
        <f>IF(X$6=$C37,IF(INDEX('Surface DEET'!$Q$9:$W$38,COLUMN(X30)-COLUMN($E$5),7)&gt;0,INDEX('Surface DEET'!$Q$9:$W$38,COLUMN(X30)-COLUMN($E$5),7),$E37),0)</f>
        <v>0</v>
      </c>
      <c r="Y37" s="250">
        <f>IF(Y$6=$C37,IF(INDEX('Surface DEET'!$Q$9:$W$38,COLUMN(Y30)-COLUMN($E$5),7)&gt;0,INDEX('Surface DEET'!$Q$9:$W$38,COLUMN(Y30)-COLUMN($E$5),7),$E37),0)</f>
        <v>0</v>
      </c>
      <c r="Z37" s="250">
        <f>IF(Z$6=$C37,IF(INDEX('Surface DEET'!$Q$9:$W$38,COLUMN(Z30)-COLUMN($E$5),7)&gt;0,INDEX('Surface DEET'!$Q$9:$W$38,COLUMN(Z30)-COLUMN($E$5),7),$E37),0)</f>
        <v>0</v>
      </c>
      <c r="AA37" s="250">
        <f>IF(AA$6=$C37,IF(INDEX('Surface DEET'!$Q$9:$W$38,COLUMN(AA30)-COLUMN($E$5),7)&gt;0,INDEX('Surface DEET'!$Q$9:$W$38,COLUMN(AA30)-COLUMN($E$5),7),$E37),0)</f>
        <v>0</v>
      </c>
      <c r="AB37" s="250">
        <f>IF(AB$6=$C37,IF(INDEX('Surface DEET'!$Q$9:$W$38,COLUMN(AB30)-COLUMN($E$5),7)&gt;0,INDEX('Surface DEET'!$Q$9:$W$38,COLUMN(AB30)-COLUMN($E$5),7),$E37),0)</f>
        <v>0</v>
      </c>
      <c r="AC37" s="250">
        <f>IF(AC$6=$C37,IF(INDEX('Surface DEET'!$Q$9:$W$38,COLUMN(AC30)-COLUMN($E$5),7)&gt;0,INDEX('Surface DEET'!$Q$9:$W$38,COLUMN(AC30)-COLUMN($E$5),7),$E37),0)</f>
        <v>0</v>
      </c>
      <c r="AD37" s="250">
        <f>IF(AD$6=$C37,IF(INDEX('Surface DEET'!$Q$9:$W$38,COLUMN(AD30)-COLUMN($E$5),7)&gt;0,INDEX('Surface DEET'!$Q$9:$W$38,COLUMN(AD30)-COLUMN($E$5),7),$E37),0)</f>
        <v>0</v>
      </c>
      <c r="AE37" s="250">
        <f>IF(AE$6=$C37,IF(INDEX('Surface DEET'!$Q$9:$W$38,COLUMN(AE30)-COLUMN($E$5),7)&gt;0,INDEX('Surface DEET'!$Q$9:$W$38,COLUMN(AE30)-COLUMN($E$5),7),$E37),0)</f>
        <v>0</v>
      </c>
      <c r="AF37" s="250">
        <f>IF(AF$6=$C37,IF(INDEX('Surface DEET'!$Q$9:$W$38,COLUMN(AF30)-COLUMN($E$5),7)&gt;0,INDEX('Surface DEET'!$Q$9:$W$38,COLUMN(AF30)-COLUMN($E$5),7),$E37),0)</f>
        <v>0</v>
      </c>
      <c r="AG37" s="250">
        <f>IF(AG$6=$C37,IF(INDEX('Surface DEET'!$Q$9:$W$38,COLUMN(AG30)-COLUMN($E$5),7)&gt;0,INDEX('Surface DEET'!$Q$9:$W$38,COLUMN(AG30)-COLUMN($E$5),7),$E37),0)</f>
        <v>0</v>
      </c>
      <c r="AH37" s="250">
        <f>IF(AH$6=$C37,IF(INDEX('Surface DEET'!$Q$9:$W$38,COLUMN(AH30)-COLUMN($E$5),7)&gt;0,INDEX('Surface DEET'!$Q$9:$W$38,COLUMN(AH30)-COLUMN($E$5),7),$E37),0)</f>
        <v>0</v>
      </c>
      <c r="AI37" s="250">
        <f>IF(AI$6=$C37,IF(INDEX('Surface DEET'!$Q$9:$W$38,COLUMN(AI30)-COLUMN($E$5),7)&gt;0,INDEX('Surface DEET'!$Q$9:$W$38,COLUMN(AI30)-COLUMN($E$5),7),$E37),0)</f>
        <v>0</v>
      </c>
    </row>
    <row r="38" spans="1:35">
      <c r="A38" s="692"/>
      <c r="B38" s="250" t="s">
        <v>533</v>
      </c>
      <c r="C38" s="30" t="s">
        <v>589</v>
      </c>
      <c r="D38" s="250" t="s">
        <v>533</v>
      </c>
      <c r="F38" s="250">
        <f>IFERROR($E$32*(F35/$E$35)*($E$34*(F37/$E$37)*($E$36/F36)+(1-$E$34))+0.28*$E$31*(F35-$E$35)/$E$35,0)</f>
        <v>0</v>
      </c>
      <c r="G38" s="250">
        <f t="shared" ref="G38:AI38" si="3">IFERROR($E$32*(G35/$E$35)*($E$34*(G37/$E$37)*($E$36/G36)+(1-$E$34))+0.28*$E$31*(G35-$E$35)/$E$35,0)</f>
        <v>0</v>
      </c>
      <c r="H38" s="250">
        <f t="shared" si="3"/>
        <v>0</v>
      </c>
      <c r="I38" s="250">
        <f t="shared" si="3"/>
        <v>0</v>
      </c>
      <c r="J38" s="250">
        <f t="shared" si="3"/>
        <v>0</v>
      </c>
      <c r="K38" s="250">
        <f t="shared" si="3"/>
        <v>0</v>
      </c>
      <c r="L38" s="250">
        <f t="shared" si="3"/>
        <v>0</v>
      </c>
      <c r="M38" s="250">
        <f t="shared" si="3"/>
        <v>0</v>
      </c>
      <c r="N38" s="250">
        <f t="shared" si="3"/>
        <v>0</v>
      </c>
      <c r="O38" s="250">
        <f t="shared" si="3"/>
        <v>0</v>
      </c>
      <c r="P38" s="250">
        <f t="shared" si="3"/>
        <v>0</v>
      </c>
      <c r="Q38" s="250">
        <f t="shared" si="3"/>
        <v>0</v>
      </c>
      <c r="R38" s="250">
        <f t="shared" si="3"/>
        <v>0</v>
      </c>
      <c r="S38" s="250">
        <f t="shared" si="3"/>
        <v>0</v>
      </c>
      <c r="T38" s="250">
        <f t="shared" si="3"/>
        <v>0</v>
      </c>
      <c r="U38" s="250">
        <f t="shared" si="3"/>
        <v>0</v>
      </c>
      <c r="V38" s="250">
        <f t="shared" si="3"/>
        <v>0</v>
      </c>
      <c r="W38" s="250">
        <f t="shared" si="3"/>
        <v>0</v>
      </c>
      <c r="X38" s="250">
        <f t="shared" si="3"/>
        <v>0</v>
      </c>
      <c r="Y38" s="250">
        <f t="shared" si="3"/>
        <v>0</v>
      </c>
      <c r="Z38" s="250">
        <f t="shared" si="3"/>
        <v>0</v>
      </c>
      <c r="AA38" s="250">
        <f t="shared" si="3"/>
        <v>0</v>
      </c>
      <c r="AB38" s="250">
        <f t="shared" si="3"/>
        <v>0</v>
      </c>
      <c r="AC38" s="250">
        <f t="shared" si="3"/>
        <v>0</v>
      </c>
      <c r="AD38" s="250">
        <f t="shared" si="3"/>
        <v>0</v>
      </c>
      <c r="AE38" s="250">
        <f t="shared" si="3"/>
        <v>0</v>
      </c>
      <c r="AF38" s="250">
        <f t="shared" si="3"/>
        <v>0</v>
      </c>
      <c r="AG38" s="250">
        <f t="shared" si="3"/>
        <v>0</v>
      </c>
      <c r="AH38" s="250">
        <f t="shared" si="3"/>
        <v>0</v>
      </c>
      <c r="AI38" s="250">
        <f t="shared" si="3"/>
        <v>0</v>
      </c>
    </row>
    <row r="39" spans="1:35">
      <c r="A39" s="692" t="s">
        <v>592</v>
      </c>
      <c r="B39" s="88" t="s">
        <v>294</v>
      </c>
      <c r="C39" s="30" t="s">
        <v>592</v>
      </c>
      <c r="D39" s="88" t="s">
        <v>294</v>
      </c>
      <c r="E39" s="250">
        <f t="array" ref="E39">INDEX(CABS_CVC!$C$3:$O$894,MATCH(1, (CABS_CVC!$A$3:$A$894=Calculs_CABS!C39)*(CABS_CVC!$B$3:$B$894=Calculs_CABS!$D$2),0),MATCH(Calculs_CABS!$D$1,Liste_CABS!$B$3:$B$15,0))</f>
        <v>60</v>
      </c>
    </row>
    <row r="40" spans="1:35">
      <c r="A40" s="692"/>
      <c r="B40" s="250" t="s">
        <v>534</v>
      </c>
      <c r="C40" s="30" t="s">
        <v>592</v>
      </c>
      <c r="D40" s="250" t="s">
        <v>534</v>
      </c>
      <c r="E40" s="250">
        <v>84</v>
      </c>
    </row>
    <row r="41" spans="1:35">
      <c r="A41" s="692"/>
      <c r="B41" s="250" t="s">
        <v>535</v>
      </c>
      <c r="C41" s="30" t="s">
        <v>592</v>
      </c>
      <c r="D41" s="250" t="s">
        <v>535</v>
      </c>
      <c r="E41" s="250">
        <f>E39+E40</f>
        <v>144</v>
      </c>
    </row>
    <row r="42" spans="1:35">
      <c r="A42" s="692"/>
      <c r="B42" s="250" t="s">
        <v>536</v>
      </c>
      <c r="C42" s="30" t="s">
        <v>592</v>
      </c>
      <c r="D42" s="250" t="s">
        <v>536</v>
      </c>
      <c r="E42" s="250">
        <v>0.67</v>
      </c>
    </row>
    <row r="43" spans="1:35">
      <c r="A43" s="692"/>
      <c r="B43" s="250" t="s">
        <v>537</v>
      </c>
      <c r="C43" s="30" t="s">
        <v>592</v>
      </c>
      <c r="D43" s="296" t="s">
        <v>583</v>
      </c>
      <c r="E43" s="250">
        <v>8760</v>
      </c>
      <c r="F43" s="250">
        <f>IF(F$6=$C43,IF(INDEX('Surface DEET'!$Q$9:$W$38,COLUMN(F36)-COLUMN($E$5),1)&gt;0,INDEX('Surface DEET'!$Q$9:$W$38,COLUMN(F36)-COLUMN($E$5),1),$E43),0)</f>
        <v>0</v>
      </c>
      <c r="G43" s="250">
        <f>IF(G$6=$C43,IF(INDEX('Surface DEET'!$Q$9:$W$38,COLUMN(G36)-COLUMN($E$5),1)&gt;0,INDEX('Surface DEET'!$Q$9:$W$38,COLUMN(G36)-COLUMN($E$5),1),$E43),0)</f>
        <v>0</v>
      </c>
      <c r="H43" s="250">
        <f>IF(H$6=$C43,IF(INDEX('Surface DEET'!$Q$9:$W$38,COLUMN(H36)-COLUMN($E$5),1)&gt;0,INDEX('Surface DEET'!$Q$9:$W$38,COLUMN(H36)-COLUMN($E$5),1),$E43),0)</f>
        <v>0</v>
      </c>
      <c r="I43" s="250">
        <f>IF(I$6=$C43,IF(INDEX('Surface DEET'!$Q$9:$W$38,COLUMN(I36)-COLUMN($E$5),1)&gt;0,INDEX('Surface DEET'!$Q$9:$W$38,COLUMN(I36)-COLUMN($E$5),1),$E43),0)</f>
        <v>0</v>
      </c>
      <c r="J43" s="250">
        <f>IF(J$6=$C43,IF(INDEX('Surface DEET'!$Q$9:$W$38,COLUMN(J36)-COLUMN($E$5),1)&gt;0,INDEX('Surface DEET'!$Q$9:$W$38,COLUMN(J36)-COLUMN($E$5),1),$E43),0)</f>
        <v>0</v>
      </c>
      <c r="K43" s="250">
        <f>IF(K$6=$C43,IF(INDEX('Surface DEET'!$Q$9:$W$38,COLUMN(K36)-COLUMN($E$5),1)&gt;0,INDEX('Surface DEET'!$Q$9:$W$38,COLUMN(K36)-COLUMN($E$5),1),$E43),0)</f>
        <v>0</v>
      </c>
      <c r="L43" s="250">
        <f>IF(L$6=$C43,IF(INDEX('Surface DEET'!$Q$9:$W$38,COLUMN(L36)-COLUMN($E$5),1)&gt;0,INDEX('Surface DEET'!$Q$9:$W$38,COLUMN(L36)-COLUMN($E$5),1),$E43),0)</f>
        <v>0</v>
      </c>
      <c r="M43" s="250">
        <f>IF(M$6=$C43,IF(INDEX('Surface DEET'!$Q$9:$W$38,COLUMN(M36)-COLUMN($E$5),1)&gt;0,INDEX('Surface DEET'!$Q$9:$W$38,COLUMN(M36)-COLUMN($E$5),1),$E43),0)</f>
        <v>0</v>
      </c>
      <c r="N43" s="250">
        <f>IF(N$6=$C43,IF(INDEX('Surface DEET'!$Q$9:$W$38,COLUMN(N36)-COLUMN($E$5),1)&gt;0,INDEX('Surface DEET'!$Q$9:$W$38,COLUMN(N36)-COLUMN($E$5),1),$E43),0)</f>
        <v>0</v>
      </c>
      <c r="O43" s="250">
        <f>IF(O$6=$C43,IF(INDEX('Surface DEET'!$Q$9:$W$38,COLUMN(O36)-COLUMN($E$5),1)&gt;0,INDEX('Surface DEET'!$Q$9:$W$38,COLUMN(O36)-COLUMN($E$5),1),$E43),0)</f>
        <v>0</v>
      </c>
      <c r="P43" s="250">
        <f>IF(P$6=$C43,IF(INDEX('Surface DEET'!$Q$9:$W$38,COLUMN(P36)-COLUMN($E$5),1)&gt;0,INDEX('Surface DEET'!$Q$9:$W$38,COLUMN(P36)-COLUMN($E$5),1),$E43),0)</f>
        <v>0</v>
      </c>
      <c r="Q43" s="250">
        <f>IF(Q$6=$C43,IF(INDEX('Surface DEET'!$Q$9:$W$38,COLUMN(Q36)-COLUMN($E$5),1)&gt;0,INDEX('Surface DEET'!$Q$9:$W$38,COLUMN(Q36)-COLUMN($E$5),1),$E43),0)</f>
        <v>0</v>
      </c>
      <c r="R43" s="250">
        <f>IF(R$6=$C43,IF(INDEX('Surface DEET'!$Q$9:$W$38,COLUMN(R36)-COLUMN($E$5),1)&gt;0,INDEX('Surface DEET'!$Q$9:$W$38,COLUMN(R36)-COLUMN($E$5),1),$E43),0)</f>
        <v>0</v>
      </c>
      <c r="S43" s="250">
        <f>IF(S$6=$C43,IF(INDEX('Surface DEET'!$Q$9:$W$38,COLUMN(S36)-COLUMN($E$5),1)&gt;0,INDEX('Surface DEET'!$Q$9:$W$38,COLUMN(S36)-COLUMN($E$5),1),$E43),0)</f>
        <v>0</v>
      </c>
      <c r="T43" s="250">
        <f>IF(T$6=$C43,IF(INDEX('Surface DEET'!$Q$9:$W$38,COLUMN(T36)-COLUMN($E$5),1)&gt;0,INDEX('Surface DEET'!$Q$9:$W$38,COLUMN(T36)-COLUMN($E$5),1),$E43),0)</f>
        <v>0</v>
      </c>
      <c r="U43" s="250">
        <f>IF(U$6=$C43,IF(INDEX('Surface DEET'!$Q$9:$W$38,COLUMN(U36)-COLUMN($E$5),1)&gt;0,INDEX('Surface DEET'!$Q$9:$W$38,COLUMN(U36)-COLUMN($E$5),1),$E43),0)</f>
        <v>0</v>
      </c>
      <c r="V43" s="250">
        <f>IF(V$6=$C43,IF(INDEX('Surface DEET'!$Q$9:$W$38,COLUMN(V36)-COLUMN($E$5),1)&gt;0,INDEX('Surface DEET'!$Q$9:$W$38,COLUMN(V36)-COLUMN($E$5),1),$E43),0)</f>
        <v>0</v>
      </c>
      <c r="W43" s="250">
        <f>IF(W$6=$C43,IF(INDEX('Surface DEET'!$Q$9:$W$38,COLUMN(W36)-COLUMN($E$5),1)&gt;0,INDEX('Surface DEET'!$Q$9:$W$38,COLUMN(W36)-COLUMN($E$5),1),$E43),0)</f>
        <v>0</v>
      </c>
      <c r="X43" s="250">
        <f>IF(X$6=$C43,IF(INDEX('Surface DEET'!$Q$9:$W$38,COLUMN(X36)-COLUMN($E$5),1)&gt;0,INDEX('Surface DEET'!$Q$9:$W$38,COLUMN(X36)-COLUMN($E$5),1),$E43),0)</f>
        <v>0</v>
      </c>
      <c r="Y43" s="250">
        <f>IF(Y$6=$C43,IF(INDEX('Surface DEET'!$Q$9:$W$38,COLUMN(Y36)-COLUMN($E$5),1)&gt;0,INDEX('Surface DEET'!$Q$9:$W$38,COLUMN(Y36)-COLUMN($E$5),1),$E43),0)</f>
        <v>0</v>
      </c>
      <c r="Z43" s="250">
        <f>IF(Z$6=$C43,IF(INDEX('Surface DEET'!$Q$9:$W$38,COLUMN(Z36)-COLUMN($E$5),1)&gt;0,INDEX('Surface DEET'!$Q$9:$W$38,COLUMN(Z36)-COLUMN($E$5),1),$E43),0)</f>
        <v>0</v>
      </c>
      <c r="AA43" s="250">
        <f>IF(AA$6=$C43,IF(INDEX('Surface DEET'!$Q$9:$W$38,COLUMN(AA36)-COLUMN($E$5),1)&gt;0,INDEX('Surface DEET'!$Q$9:$W$38,COLUMN(AA36)-COLUMN($E$5),1),$E43),0)</f>
        <v>0</v>
      </c>
      <c r="AB43" s="250">
        <f>IF(AB$6=$C43,IF(INDEX('Surface DEET'!$Q$9:$W$38,COLUMN(AB36)-COLUMN($E$5),1)&gt;0,INDEX('Surface DEET'!$Q$9:$W$38,COLUMN(AB36)-COLUMN($E$5),1),$E43),0)</f>
        <v>0</v>
      </c>
      <c r="AC43" s="250">
        <f>IF(AC$6=$C43,IF(INDEX('Surface DEET'!$Q$9:$W$38,COLUMN(AC36)-COLUMN($E$5),1)&gt;0,INDEX('Surface DEET'!$Q$9:$W$38,COLUMN(AC36)-COLUMN($E$5),1),$E43),0)</f>
        <v>0</v>
      </c>
      <c r="AD43" s="250">
        <f>IF(AD$6=$C43,IF(INDEX('Surface DEET'!$Q$9:$W$38,COLUMN(AD36)-COLUMN($E$5),1)&gt;0,INDEX('Surface DEET'!$Q$9:$W$38,COLUMN(AD36)-COLUMN($E$5),1),$E43),0)</f>
        <v>0</v>
      </c>
      <c r="AE43" s="250">
        <f>IF(AE$6=$C43,IF(INDEX('Surface DEET'!$Q$9:$W$38,COLUMN(AE36)-COLUMN($E$5),1)&gt;0,INDEX('Surface DEET'!$Q$9:$W$38,COLUMN(AE36)-COLUMN($E$5),1),$E43),0)</f>
        <v>0</v>
      </c>
      <c r="AF43" s="250">
        <f>IF(AF$6=$C43,IF(INDEX('Surface DEET'!$Q$9:$W$38,COLUMN(AF36)-COLUMN($E$5),1)&gt;0,INDEX('Surface DEET'!$Q$9:$W$38,COLUMN(AF36)-COLUMN($E$5),1),$E43),0)</f>
        <v>0</v>
      </c>
      <c r="AG43" s="250">
        <f>IF(AG$6=$C43,IF(INDEX('Surface DEET'!$Q$9:$W$38,COLUMN(AG36)-COLUMN($E$5),1)&gt;0,INDEX('Surface DEET'!$Q$9:$W$38,COLUMN(AG36)-COLUMN($E$5),1),$E43),0)</f>
        <v>0</v>
      </c>
      <c r="AH43" s="250">
        <f>IF(AH$6=$C43,IF(INDEX('Surface DEET'!$Q$9:$W$38,COLUMN(AH36)-COLUMN($E$5),1)&gt;0,INDEX('Surface DEET'!$Q$9:$W$38,COLUMN(AH36)-COLUMN($E$5),1),$E43),0)</f>
        <v>0</v>
      </c>
      <c r="AI43" s="250">
        <f>IF(AI$6=$C43,IF(INDEX('Surface DEET'!$Q$9:$W$38,COLUMN(AI36)-COLUMN($E$5),1)&gt;0,INDEX('Surface DEET'!$Q$9:$W$38,COLUMN(AI36)-COLUMN($E$5),1),$E43),0)</f>
        <v>0</v>
      </c>
    </row>
    <row r="44" spans="1:35">
      <c r="A44" s="692"/>
      <c r="B44" s="250" t="s">
        <v>540</v>
      </c>
      <c r="C44" s="30" t="s">
        <v>592</v>
      </c>
      <c r="D44" s="296" t="s">
        <v>590</v>
      </c>
      <c r="E44" s="250">
        <v>23</v>
      </c>
      <c r="F44" s="250">
        <f>IF(F$6=$C44,IF(INDEX('Surface DEET'!$Q$9:$W$38,COLUMN(F37)-COLUMN($E$5),4)&gt;0,INDEX('Surface DEET'!$Q$9:$W$38,COLUMN(F37)-COLUMN($E$5),4),$E44),0)</f>
        <v>0</v>
      </c>
      <c r="G44" s="250">
        <f>IF(G$6=$C44,IF(INDEX('Surface DEET'!$Q$9:$W$38,COLUMN(G37)-COLUMN($E$5),4)&gt;0,INDEX('Surface DEET'!$Q$9:$W$38,COLUMN(G37)-COLUMN($E$5),4),$E44),0)</f>
        <v>0</v>
      </c>
      <c r="H44" s="250">
        <f>IF(H$6=$C44,IF(INDEX('Surface DEET'!$Q$9:$W$38,COLUMN(H37)-COLUMN($E$5),4)&gt;0,INDEX('Surface DEET'!$Q$9:$W$38,COLUMN(H37)-COLUMN($E$5),4),$E44),0)</f>
        <v>0</v>
      </c>
      <c r="I44" s="250">
        <f>IF(I$6=$C44,IF(INDEX('Surface DEET'!$Q$9:$W$38,COLUMN(I37)-COLUMN($E$5),4)&gt;0,INDEX('Surface DEET'!$Q$9:$W$38,COLUMN(I37)-COLUMN($E$5),4),$E44),0)</f>
        <v>0</v>
      </c>
      <c r="J44" s="250">
        <f>IF(J$6=$C44,IF(INDEX('Surface DEET'!$Q$9:$W$38,COLUMN(J37)-COLUMN($E$5),4)&gt;0,INDEX('Surface DEET'!$Q$9:$W$38,COLUMN(J37)-COLUMN($E$5),4),$E44),0)</f>
        <v>0</v>
      </c>
      <c r="K44" s="250">
        <f>IF(K$6=$C44,IF(INDEX('Surface DEET'!$Q$9:$W$38,COLUMN(K37)-COLUMN($E$5),4)&gt;0,INDEX('Surface DEET'!$Q$9:$W$38,COLUMN(K37)-COLUMN($E$5),4),$E44),0)</f>
        <v>0</v>
      </c>
      <c r="L44" s="250">
        <f>IF(L$6=$C44,IF(INDEX('Surface DEET'!$Q$9:$W$38,COLUMN(L37)-COLUMN($E$5),4)&gt;0,INDEX('Surface DEET'!$Q$9:$W$38,COLUMN(L37)-COLUMN($E$5),4),$E44),0)</f>
        <v>0</v>
      </c>
      <c r="M44" s="250">
        <f>IF(M$6=$C44,IF(INDEX('Surface DEET'!$Q$9:$W$38,COLUMN(M37)-COLUMN($E$5),4)&gt;0,INDEX('Surface DEET'!$Q$9:$W$38,COLUMN(M37)-COLUMN($E$5),4),$E44),0)</f>
        <v>0</v>
      </c>
      <c r="N44" s="250">
        <f>IF(N$6=$C44,IF(INDEX('Surface DEET'!$Q$9:$W$38,COLUMN(N37)-COLUMN($E$5),4)&gt;0,INDEX('Surface DEET'!$Q$9:$W$38,COLUMN(N37)-COLUMN($E$5),4),$E44),0)</f>
        <v>0</v>
      </c>
      <c r="O44" s="250">
        <f>IF(O$6=$C44,IF(INDEX('Surface DEET'!$Q$9:$W$38,COLUMN(O37)-COLUMN($E$5),4)&gt;0,INDEX('Surface DEET'!$Q$9:$W$38,COLUMN(O37)-COLUMN($E$5),4),$E44),0)</f>
        <v>0</v>
      </c>
      <c r="P44" s="250">
        <f>IF(P$6=$C44,IF(INDEX('Surface DEET'!$Q$9:$W$38,COLUMN(P37)-COLUMN($E$5),4)&gt;0,INDEX('Surface DEET'!$Q$9:$W$38,COLUMN(P37)-COLUMN($E$5),4),$E44),0)</f>
        <v>0</v>
      </c>
      <c r="Q44" s="250">
        <f>IF(Q$6=$C44,IF(INDEX('Surface DEET'!$Q$9:$W$38,COLUMN(Q37)-COLUMN($E$5),4)&gt;0,INDEX('Surface DEET'!$Q$9:$W$38,COLUMN(Q37)-COLUMN($E$5),4),$E44),0)</f>
        <v>0</v>
      </c>
      <c r="R44" s="250">
        <f>IF(R$6=$C44,IF(INDEX('Surface DEET'!$Q$9:$W$38,COLUMN(R37)-COLUMN($E$5),4)&gt;0,INDEX('Surface DEET'!$Q$9:$W$38,COLUMN(R37)-COLUMN($E$5),4),$E44),0)</f>
        <v>0</v>
      </c>
      <c r="S44" s="250">
        <f>IF(S$6=$C44,IF(INDEX('Surface DEET'!$Q$9:$W$38,COLUMN(S37)-COLUMN($E$5),4)&gt;0,INDEX('Surface DEET'!$Q$9:$W$38,COLUMN(S37)-COLUMN($E$5),4),$E44),0)</f>
        <v>0</v>
      </c>
      <c r="T44" s="250">
        <f>IF(T$6=$C44,IF(INDEX('Surface DEET'!$Q$9:$W$38,COLUMN(T37)-COLUMN($E$5),4)&gt;0,INDEX('Surface DEET'!$Q$9:$W$38,COLUMN(T37)-COLUMN($E$5),4),$E44),0)</f>
        <v>0</v>
      </c>
      <c r="U44" s="250">
        <f>IF(U$6=$C44,IF(INDEX('Surface DEET'!$Q$9:$W$38,COLUMN(U37)-COLUMN($E$5),4)&gt;0,INDEX('Surface DEET'!$Q$9:$W$38,COLUMN(U37)-COLUMN($E$5),4),$E44),0)</f>
        <v>0</v>
      </c>
      <c r="V44" s="250">
        <f>IF(V$6=$C44,IF(INDEX('Surface DEET'!$Q$9:$W$38,COLUMN(V37)-COLUMN($E$5),4)&gt;0,INDEX('Surface DEET'!$Q$9:$W$38,COLUMN(V37)-COLUMN($E$5),4),$E44),0)</f>
        <v>0</v>
      </c>
      <c r="W44" s="250">
        <f>IF(W$6=$C44,IF(INDEX('Surface DEET'!$Q$9:$W$38,COLUMN(W37)-COLUMN($E$5),4)&gt;0,INDEX('Surface DEET'!$Q$9:$W$38,COLUMN(W37)-COLUMN($E$5),4),$E44),0)</f>
        <v>0</v>
      </c>
      <c r="X44" s="250">
        <f>IF(X$6=$C44,IF(INDEX('Surface DEET'!$Q$9:$W$38,COLUMN(X37)-COLUMN($E$5),4)&gt;0,INDEX('Surface DEET'!$Q$9:$W$38,COLUMN(X37)-COLUMN($E$5),4),$E44),0)</f>
        <v>0</v>
      </c>
      <c r="Y44" s="250">
        <f>IF(Y$6=$C44,IF(INDEX('Surface DEET'!$Q$9:$W$38,COLUMN(Y37)-COLUMN($E$5),4)&gt;0,INDEX('Surface DEET'!$Q$9:$W$38,COLUMN(Y37)-COLUMN($E$5),4),$E44),0)</f>
        <v>0</v>
      </c>
      <c r="Z44" s="250">
        <f>IF(Z$6=$C44,IF(INDEX('Surface DEET'!$Q$9:$W$38,COLUMN(Z37)-COLUMN($E$5),4)&gt;0,INDEX('Surface DEET'!$Q$9:$W$38,COLUMN(Z37)-COLUMN($E$5),4),$E44),0)</f>
        <v>0</v>
      </c>
      <c r="AA44" s="250">
        <f>IF(AA$6=$C44,IF(INDEX('Surface DEET'!$Q$9:$W$38,COLUMN(AA37)-COLUMN($E$5),4)&gt;0,INDEX('Surface DEET'!$Q$9:$W$38,COLUMN(AA37)-COLUMN($E$5),4),$E44),0)</f>
        <v>0</v>
      </c>
      <c r="AB44" s="250">
        <f>IF(AB$6=$C44,IF(INDEX('Surface DEET'!$Q$9:$W$38,COLUMN(AB37)-COLUMN($E$5),4)&gt;0,INDEX('Surface DEET'!$Q$9:$W$38,COLUMN(AB37)-COLUMN($E$5),4),$E44),0)</f>
        <v>0</v>
      </c>
      <c r="AC44" s="250">
        <f>IF(AC$6=$C44,IF(INDEX('Surface DEET'!$Q$9:$W$38,COLUMN(AC37)-COLUMN($E$5),4)&gt;0,INDEX('Surface DEET'!$Q$9:$W$38,COLUMN(AC37)-COLUMN($E$5),4),$E44),0)</f>
        <v>0</v>
      </c>
      <c r="AD44" s="250">
        <f>IF(AD$6=$C44,IF(INDEX('Surface DEET'!$Q$9:$W$38,COLUMN(AD37)-COLUMN($E$5),4)&gt;0,INDEX('Surface DEET'!$Q$9:$W$38,COLUMN(AD37)-COLUMN($E$5),4),$E44),0)</f>
        <v>0</v>
      </c>
      <c r="AE44" s="250">
        <f>IF(AE$6=$C44,IF(INDEX('Surface DEET'!$Q$9:$W$38,COLUMN(AE37)-COLUMN($E$5),4)&gt;0,INDEX('Surface DEET'!$Q$9:$W$38,COLUMN(AE37)-COLUMN($E$5),4),$E44),0)</f>
        <v>0</v>
      </c>
      <c r="AF44" s="250">
        <f>IF(AF$6=$C44,IF(INDEX('Surface DEET'!$Q$9:$W$38,COLUMN(AF37)-COLUMN($E$5),4)&gt;0,INDEX('Surface DEET'!$Q$9:$W$38,COLUMN(AF37)-COLUMN($E$5),4),$E44),0)</f>
        <v>0</v>
      </c>
      <c r="AG44" s="250">
        <f>IF(AG$6=$C44,IF(INDEX('Surface DEET'!$Q$9:$W$38,COLUMN(AG37)-COLUMN($E$5),4)&gt;0,INDEX('Surface DEET'!$Q$9:$W$38,COLUMN(AG37)-COLUMN($E$5),4),$E44),0)</f>
        <v>0</v>
      </c>
      <c r="AH44" s="250">
        <f>IF(AH$6=$C44,IF(INDEX('Surface DEET'!$Q$9:$W$38,COLUMN(AH37)-COLUMN($E$5),4)&gt;0,INDEX('Surface DEET'!$Q$9:$W$38,COLUMN(AH37)-COLUMN($E$5),4),$E44),0)</f>
        <v>0</v>
      </c>
      <c r="AI44" s="250">
        <f>IF(AI$6=$C44,IF(INDEX('Surface DEET'!$Q$9:$W$38,COLUMN(AI37)-COLUMN($E$5),4)&gt;0,INDEX('Surface DEET'!$Q$9:$W$38,COLUMN(AI37)-COLUMN($E$5),4),$E44),0)</f>
        <v>0</v>
      </c>
    </row>
    <row r="45" spans="1:35">
      <c r="A45" s="692"/>
      <c r="B45" s="250" t="s">
        <v>543</v>
      </c>
      <c r="C45" s="30" t="s">
        <v>592</v>
      </c>
      <c r="D45" s="297"/>
    </row>
    <row r="46" spans="1:35">
      <c r="A46" s="692"/>
      <c r="B46" s="250" t="s">
        <v>533</v>
      </c>
      <c r="C46" s="30" t="s">
        <v>592</v>
      </c>
      <c r="D46" s="250" t="s">
        <v>533</v>
      </c>
      <c r="F46" s="657">
        <f t="shared" ref="F46:AI46" si="4">IFERROR($E$40*(F43/$E$43)*(($E$42*($E$44/F44))+(1-$E$42))+0.28*$E$39*(F43-$E$43)/$E$43,0)</f>
        <v>0</v>
      </c>
      <c r="G46" s="657">
        <f t="shared" si="4"/>
        <v>0</v>
      </c>
      <c r="H46" s="657">
        <f t="shared" si="4"/>
        <v>0</v>
      </c>
      <c r="I46" s="657">
        <f t="shared" si="4"/>
        <v>0</v>
      </c>
      <c r="J46" s="250">
        <f>IFERROR($E$40*(J43/$E$43)*(($E$42*($E$44/J44))+(1-$E$42))+0.28*$E$39*(J43-$E$43)/$E$43,0)</f>
        <v>0</v>
      </c>
      <c r="K46" s="657">
        <f t="shared" si="4"/>
        <v>0</v>
      </c>
      <c r="L46" s="657">
        <f t="shared" si="4"/>
        <v>0</v>
      </c>
      <c r="M46" s="657">
        <f t="shared" si="4"/>
        <v>0</v>
      </c>
      <c r="N46" s="657">
        <f t="shared" si="4"/>
        <v>0</v>
      </c>
      <c r="O46" s="657">
        <f t="shared" si="4"/>
        <v>0</v>
      </c>
      <c r="P46" s="657">
        <f t="shared" si="4"/>
        <v>0</v>
      </c>
      <c r="Q46" s="657">
        <f t="shared" si="4"/>
        <v>0</v>
      </c>
      <c r="R46" s="657">
        <f t="shared" si="4"/>
        <v>0</v>
      </c>
      <c r="S46" s="657">
        <f t="shared" si="4"/>
        <v>0</v>
      </c>
      <c r="T46" s="657">
        <f t="shared" si="4"/>
        <v>0</v>
      </c>
      <c r="U46" s="657">
        <f t="shared" si="4"/>
        <v>0</v>
      </c>
      <c r="V46" s="657">
        <f t="shared" si="4"/>
        <v>0</v>
      </c>
      <c r="W46" s="657">
        <f t="shared" si="4"/>
        <v>0</v>
      </c>
      <c r="X46" s="657">
        <f t="shared" si="4"/>
        <v>0</v>
      </c>
      <c r="Y46" s="657">
        <f t="shared" si="4"/>
        <v>0</v>
      </c>
      <c r="Z46" s="657">
        <f t="shared" si="4"/>
        <v>0</v>
      </c>
      <c r="AA46" s="657">
        <f t="shared" si="4"/>
        <v>0</v>
      </c>
      <c r="AB46" s="657">
        <f t="shared" si="4"/>
        <v>0</v>
      </c>
      <c r="AC46" s="657">
        <f t="shared" si="4"/>
        <v>0</v>
      </c>
      <c r="AD46" s="657">
        <f t="shared" si="4"/>
        <v>0</v>
      </c>
      <c r="AE46" s="657">
        <f t="shared" si="4"/>
        <v>0</v>
      </c>
      <c r="AF46" s="657">
        <f t="shared" si="4"/>
        <v>0</v>
      </c>
      <c r="AG46" s="657">
        <f t="shared" si="4"/>
        <v>0</v>
      </c>
      <c r="AH46" s="657">
        <f t="shared" si="4"/>
        <v>0</v>
      </c>
      <c r="AI46" s="657">
        <f t="shared" si="4"/>
        <v>0</v>
      </c>
    </row>
    <row r="47" spans="1:35">
      <c r="A47" s="692" t="s">
        <v>593</v>
      </c>
      <c r="B47" s="88" t="s">
        <v>294</v>
      </c>
      <c r="C47" s="30" t="s">
        <v>593</v>
      </c>
      <c r="D47" s="88" t="s">
        <v>294</v>
      </c>
      <c r="E47" s="250">
        <f t="array" ref="E47">INDEX(CABS_CVC!$C$3:$O$894,MATCH(1, (CABS_CVC!$A$3:$A$894=Calculs_CABS!C47)*(CABS_CVC!$B$3:$B$894=Calculs_CABS!$D$2),0),MATCH(Calculs_CABS!$D$1,Liste_CABS!$B$3:$B$15,0))</f>
        <v>66</v>
      </c>
    </row>
    <row r="48" spans="1:35">
      <c r="A48" s="692"/>
      <c r="B48" s="250" t="s">
        <v>534</v>
      </c>
      <c r="C48" s="30" t="s">
        <v>593</v>
      </c>
      <c r="D48" s="250" t="s">
        <v>534</v>
      </c>
      <c r="E48" s="250">
        <v>73</v>
      </c>
    </row>
    <row r="49" spans="1:35">
      <c r="A49" s="692"/>
      <c r="B49" s="250" t="s">
        <v>535</v>
      </c>
      <c r="C49" s="30" t="s">
        <v>593</v>
      </c>
      <c r="D49" s="250" t="s">
        <v>535</v>
      </c>
      <c r="E49" s="250">
        <f>E47+E48</f>
        <v>139</v>
      </c>
    </row>
    <row r="50" spans="1:35">
      <c r="A50" s="692"/>
      <c r="B50" s="250" t="s">
        <v>536</v>
      </c>
      <c r="C50" s="30" t="s">
        <v>593</v>
      </c>
      <c r="D50" s="250" t="s">
        <v>536</v>
      </c>
      <c r="E50" s="250">
        <v>0.74</v>
      </c>
    </row>
    <row r="51" spans="1:35">
      <c r="A51" s="692"/>
      <c r="B51" s="250" t="s">
        <v>537</v>
      </c>
      <c r="C51" s="30" t="s">
        <v>593</v>
      </c>
      <c r="D51" s="296" t="s">
        <v>583</v>
      </c>
      <c r="E51" s="250">
        <v>8760</v>
      </c>
      <c r="F51" s="250">
        <f>IF(F$6=$C51,IF(INDEX('Surface DEET'!$Q$9:$W$38,COLUMN(F44)-COLUMN($E$5),1)&gt;0,INDEX('Surface DEET'!$Q$9:$W$38,COLUMN(F44)-COLUMN($E$5),1),$E51),0)</f>
        <v>0</v>
      </c>
      <c r="G51" s="250">
        <f>IF(G$6=$C51,IF(INDEX('Surface DEET'!$Q$9:$W$38,COLUMN(G44)-COLUMN($E$5),1)&gt;0,INDEX('Surface DEET'!$Q$9:$W$38,COLUMN(G44)-COLUMN($E$5),1),$E51),0)</f>
        <v>0</v>
      </c>
      <c r="H51" s="250">
        <f>IF(H$6=$C51,IF(INDEX('Surface DEET'!$Q$9:$W$38,COLUMN(H44)-COLUMN($E$5),1)&gt;0,INDEX('Surface DEET'!$Q$9:$W$38,COLUMN(H44)-COLUMN($E$5),1),$E51),0)</f>
        <v>0</v>
      </c>
      <c r="I51" s="250">
        <f>IF(I$6=$C51,IF(INDEX('Surface DEET'!$Q$9:$W$38,COLUMN(I44)-COLUMN($E$5),1)&gt;0,INDEX('Surface DEET'!$Q$9:$W$38,COLUMN(I44)-COLUMN($E$5),1),$E51),0)</f>
        <v>0</v>
      </c>
      <c r="J51" s="250">
        <f>IF(J$6=$C51,IF(INDEX('Surface DEET'!$Q$9:$W$38,COLUMN(J44)-COLUMN($E$5),1)&gt;0,INDEX('Surface DEET'!$Q$9:$W$38,COLUMN(J44)-COLUMN($E$5),1),$E51),0)</f>
        <v>0</v>
      </c>
      <c r="K51" s="250">
        <f>IF(K$6=$C51,IF(INDEX('Surface DEET'!$Q$9:$W$38,COLUMN(K44)-COLUMN($E$5),1)&gt;0,INDEX('Surface DEET'!$Q$9:$W$38,COLUMN(K44)-COLUMN($E$5),1),$E51),0)</f>
        <v>0</v>
      </c>
      <c r="L51" s="250">
        <f>IF(L$6=$C51,IF(INDEX('Surface DEET'!$Q$9:$W$38,COLUMN(L44)-COLUMN($E$5),1)&gt;0,INDEX('Surface DEET'!$Q$9:$W$38,COLUMN(L44)-COLUMN($E$5),1),$E51),0)</f>
        <v>0</v>
      </c>
      <c r="M51" s="250">
        <f>IF(M$6=$C51,IF(INDEX('Surface DEET'!$Q$9:$W$38,COLUMN(M44)-COLUMN($E$5),1)&gt;0,INDEX('Surface DEET'!$Q$9:$W$38,COLUMN(M44)-COLUMN($E$5),1),$E51),0)</f>
        <v>0</v>
      </c>
      <c r="N51" s="250">
        <f>IF(N$6=$C51,IF(INDEX('Surface DEET'!$Q$9:$W$38,COLUMN(N44)-COLUMN($E$5),1)&gt;0,INDEX('Surface DEET'!$Q$9:$W$38,COLUMN(N44)-COLUMN($E$5),1),$E51),0)</f>
        <v>0</v>
      </c>
      <c r="O51" s="250">
        <f>IF(O$6=$C51,IF(INDEX('Surface DEET'!$Q$9:$W$38,COLUMN(O44)-COLUMN($E$5),1)&gt;0,INDEX('Surface DEET'!$Q$9:$W$38,COLUMN(O44)-COLUMN($E$5),1),$E51),0)</f>
        <v>0</v>
      </c>
      <c r="P51" s="250">
        <f>IF(P$6=$C51,IF(INDEX('Surface DEET'!$Q$9:$W$38,COLUMN(P44)-COLUMN($E$5),1)&gt;0,INDEX('Surface DEET'!$Q$9:$W$38,COLUMN(P44)-COLUMN($E$5),1),$E51),0)</f>
        <v>0</v>
      </c>
      <c r="Q51" s="250">
        <f>IF(Q$6=$C51,IF(INDEX('Surface DEET'!$Q$9:$W$38,COLUMN(Q44)-COLUMN($E$5),1)&gt;0,INDEX('Surface DEET'!$Q$9:$W$38,COLUMN(Q44)-COLUMN($E$5),1),$E51),0)</f>
        <v>0</v>
      </c>
      <c r="R51" s="250">
        <f>IF(R$6=$C51,IF(INDEX('Surface DEET'!$Q$9:$W$38,COLUMN(R44)-COLUMN($E$5),1)&gt;0,INDEX('Surface DEET'!$Q$9:$W$38,COLUMN(R44)-COLUMN($E$5),1),$E51),0)</f>
        <v>0</v>
      </c>
      <c r="S51" s="250">
        <f>IF(S$6=$C51,IF(INDEX('Surface DEET'!$Q$9:$W$38,COLUMN(S44)-COLUMN($E$5),1)&gt;0,INDEX('Surface DEET'!$Q$9:$W$38,COLUMN(S44)-COLUMN($E$5),1),$E51),0)</f>
        <v>0</v>
      </c>
      <c r="T51" s="250">
        <f>IF(T$6=$C51,IF(INDEX('Surface DEET'!$Q$9:$W$38,COLUMN(T44)-COLUMN($E$5),1)&gt;0,INDEX('Surface DEET'!$Q$9:$W$38,COLUMN(T44)-COLUMN($E$5),1),$E51),0)</f>
        <v>0</v>
      </c>
      <c r="U51" s="250">
        <f>IF(U$6=$C51,IF(INDEX('Surface DEET'!$Q$9:$W$38,COLUMN(U44)-COLUMN($E$5),1)&gt;0,INDEX('Surface DEET'!$Q$9:$W$38,COLUMN(U44)-COLUMN($E$5),1),$E51),0)</f>
        <v>0</v>
      </c>
      <c r="V51" s="250">
        <f>IF(V$6=$C51,IF(INDEX('Surface DEET'!$Q$9:$W$38,COLUMN(V44)-COLUMN($E$5),1)&gt;0,INDEX('Surface DEET'!$Q$9:$W$38,COLUMN(V44)-COLUMN($E$5),1),$E51),0)</f>
        <v>0</v>
      </c>
      <c r="W51" s="250">
        <f>IF(W$6=$C51,IF(INDEX('Surface DEET'!$Q$9:$W$38,COLUMN(W44)-COLUMN($E$5),1)&gt;0,INDEX('Surface DEET'!$Q$9:$W$38,COLUMN(W44)-COLUMN($E$5),1),$E51),0)</f>
        <v>0</v>
      </c>
      <c r="X51" s="250">
        <f>IF(X$6=$C51,IF(INDEX('Surface DEET'!$Q$9:$W$38,COLUMN(X44)-COLUMN($E$5),1)&gt;0,INDEX('Surface DEET'!$Q$9:$W$38,COLUMN(X44)-COLUMN($E$5),1),$E51),0)</f>
        <v>0</v>
      </c>
      <c r="Y51" s="250">
        <f>IF(Y$6=$C51,IF(INDEX('Surface DEET'!$Q$9:$W$38,COLUMN(Y44)-COLUMN($E$5),1)&gt;0,INDEX('Surface DEET'!$Q$9:$W$38,COLUMN(Y44)-COLUMN($E$5),1),$E51),0)</f>
        <v>0</v>
      </c>
      <c r="Z51" s="250">
        <f>IF(Z$6=$C51,IF(INDEX('Surface DEET'!$Q$9:$W$38,COLUMN(Z44)-COLUMN($E$5),1)&gt;0,INDEX('Surface DEET'!$Q$9:$W$38,COLUMN(Z44)-COLUMN($E$5),1),$E51),0)</f>
        <v>0</v>
      </c>
      <c r="AA51" s="250">
        <f>IF(AA$6=$C51,IF(INDEX('Surface DEET'!$Q$9:$W$38,COLUMN(AA44)-COLUMN($E$5),1)&gt;0,INDEX('Surface DEET'!$Q$9:$W$38,COLUMN(AA44)-COLUMN($E$5),1),$E51),0)</f>
        <v>0</v>
      </c>
      <c r="AB51" s="250">
        <f>IF(AB$6=$C51,IF(INDEX('Surface DEET'!$Q$9:$W$38,COLUMN(AB44)-COLUMN($E$5),1)&gt;0,INDEX('Surface DEET'!$Q$9:$W$38,COLUMN(AB44)-COLUMN($E$5),1),$E51),0)</f>
        <v>0</v>
      </c>
      <c r="AC51" s="250">
        <f>IF(AC$6=$C51,IF(INDEX('Surface DEET'!$Q$9:$W$38,COLUMN(AC44)-COLUMN($E$5),1)&gt;0,INDEX('Surface DEET'!$Q$9:$W$38,COLUMN(AC44)-COLUMN($E$5),1),$E51),0)</f>
        <v>0</v>
      </c>
      <c r="AD51" s="250">
        <f>IF(AD$6=$C51,IF(INDEX('Surface DEET'!$Q$9:$W$38,COLUMN(AD44)-COLUMN($E$5),1)&gt;0,INDEX('Surface DEET'!$Q$9:$W$38,COLUMN(AD44)-COLUMN($E$5),1),$E51),0)</f>
        <v>0</v>
      </c>
      <c r="AE51" s="250">
        <f>IF(AE$6=$C51,IF(INDEX('Surface DEET'!$Q$9:$W$38,COLUMN(AE44)-COLUMN($E$5),1)&gt;0,INDEX('Surface DEET'!$Q$9:$W$38,COLUMN(AE44)-COLUMN($E$5),1),$E51),0)</f>
        <v>0</v>
      </c>
      <c r="AF51" s="250">
        <f>IF(AF$6=$C51,IF(INDEX('Surface DEET'!$Q$9:$W$38,COLUMN(AF44)-COLUMN($E$5),1)&gt;0,INDEX('Surface DEET'!$Q$9:$W$38,COLUMN(AF44)-COLUMN($E$5),1),$E51),0)</f>
        <v>0</v>
      </c>
      <c r="AG51" s="250">
        <f>IF(AG$6=$C51,IF(INDEX('Surface DEET'!$Q$9:$W$38,COLUMN(AG44)-COLUMN($E$5),1)&gt;0,INDEX('Surface DEET'!$Q$9:$W$38,COLUMN(AG44)-COLUMN($E$5),1),$E51),0)</f>
        <v>0</v>
      </c>
      <c r="AH51" s="250">
        <f>IF(AH$6=$C51,IF(INDEX('Surface DEET'!$Q$9:$W$38,COLUMN(AH44)-COLUMN($E$5),1)&gt;0,INDEX('Surface DEET'!$Q$9:$W$38,COLUMN(AH44)-COLUMN($E$5),1),$E51),0)</f>
        <v>0</v>
      </c>
      <c r="AI51" s="250">
        <f>IF(AI$6=$C51,IF(INDEX('Surface DEET'!$Q$9:$W$38,COLUMN(AI44)-COLUMN($E$5),1)&gt;0,INDEX('Surface DEET'!$Q$9:$W$38,COLUMN(AI44)-COLUMN($E$5),1),$E51),0)</f>
        <v>0</v>
      </c>
    </row>
    <row r="52" spans="1:35">
      <c r="A52" s="692"/>
      <c r="B52" s="250" t="s">
        <v>540</v>
      </c>
      <c r="C52" s="30" t="s">
        <v>593</v>
      </c>
      <c r="D52" s="298" t="s">
        <v>594</v>
      </c>
      <c r="E52" s="298">
        <v>23</v>
      </c>
      <c r="F52" s="250">
        <f>IF(F$6=$C52,IF(INDEX('Surface DEET'!$Q$9:$W$38,COLUMN(F45)-COLUMN($E$5),4)&gt;0,INDEX('Surface DEET'!$Q$9:$W$38,COLUMN(F45)-COLUMN($E$5),4),$E52),0)</f>
        <v>0</v>
      </c>
      <c r="G52" s="250">
        <f>IF(G$6=$C52,IF(INDEX('Surface DEET'!$Q$9:$W$38,COLUMN(G45)-COLUMN($E$5),4)&gt;0,INDEX('Surface DEET'!$Q$9:$W$38,COLUMN(G45)-COLUMN($E$5),4),$E52),0)</f>
        <v>0</v>
      </c>
      <c r="H52" s="250">
        <f>IF(H$6=$C52,IF(INDEX('Surface DEET'!$Q$9:$W$38,COLUMN(H45)-COLUMN($E$5),4)&gt;0,INDEX('Surface DEET'!$Q$9:$W$38,COLUMN(H45)-COLUMN($E$5),4),$E52),0)</f>
        <v>0</v>
      </c>
      <c r="I52" s="250">
        <f>IF(I$6=$C52,IF(INDEX('Surface DEET'!$Q$9:$W$38,COLUMN(I45)-COLUMN($E$5),4)&gt;0,INDEX('Surface DEET'!$Q$9:$W$38,COLUMN(I45)-COLUMN($E$5),4),$E52),0)</f>
        <v>0</v>
      </c>
      <c r="J52" s="250">
        <f>IF(J$6=$C52,IF(INDEX('Surface DEET'!$Q$9:$W$38,COLUMN(J45)-COLUMN($E$5),4)&gt;0,INDEX('Surface DEET'!$Q$9:$W$38,COLUMN(J45)-COLUMN($E$5),4),$E52),0)</f>
        <v>0</v>
      </c>
      <c r="K52" s="250">
        <f>IF(K$6=$C52,IF(INDEX('Surface DEET'!$Q$9:$W$38,COLUMN(K45)-COLUMN($E$5),4)&gt;0,INDEX('Surface DEET'!$Q$9:$W$38,COLUMN(K45)-COLUMN($E$5),4),$E52),0)</f>
        <v>0</v>
      </c>
      <c r="L52" s="250">
        <f>IF(L$6=$C52,IF(INDEX('Surface DEET'!$Q$9:$W$38,COLUMN(L45)-COLUMN($E$5),4)&gt;0,INDEX('Surface DEET'!$Q$9:$W$38,COLUMN(L45)-COLUMN($E$5),4),$E52),0)</f>
        <v>0</v>
      </c>
      <c r="M52" s="250">
        <f>IF(M$6=$C52,IF(INDEX('Surface DEET'!$Q$9:$W$38,COLUMN(M45)-COLUMN($E$5),4)&gt;0,INDEX('Surface DEET'!$Q$9:$W$38,COLUMN(M45)-COLUMN($E$5),4),$E52),0)</f>
        <v>0</v>
      </c>
      <c r="N52" s="250">
        <f>IF(N$6=$C52,IF(INDEX('Surface DEET'!$Q$9:$W$38,COLUMN(N45)-COLUMN($E$5),4)&gt;0,INDEX('Surface DEET'!$Q$9:$W$38,COLUMN(N45)-COLUMN($E$5),4),$E52),0)</f>
        <v>0</v>
      </c>
      <c r="O52" s="250">
        <f>IF(O$6=$C52,IF(INDEX('Surface DEET'!$Q$9:$W$38,COLUMN(O45)-COLUMN($E$5),4)&gt;0,INDEX('Surface DEET'!$Q$9:$W$38,COLUMN(O45)-COLUMN($E$5),4),$E52),0)</f>
        <v>0</v>
      </c>
      <c r="P52" s="250">
        <f>IF(P$6=$C52,IF(INDEX('Surface DEET'!$Q$9:$W$38,COLUMN(P45)-COLUMN($E$5),4)&gt;0,INDEX('Surface DEET'!$Q$9:$W$38,COLUMN(P45)-COLUMN($E$5),4),$E52),0)</f>
        <v>0</v>
      </c>
      <c r="Q52" s="250">
        <f>IF(Q$6=$C52,IF(INDEX('Surface DEET'!$Q$9:$W$38,COLUMN(Q45)-COLUMN($E$5),4)&gt;0,INDEX('Surface DEET'!$Q$9:$W$38,COLUMN(Q45)-COLUMN($E$5),4),$E52),0)</f>
        <v>0</v>
      </c>
      <c r="R52" s="250">
        <f>IF(R$6=$C52,IF(INDEX('Surface DEET'!$Q$9:$W$38,COLUMN(R45)-COLUMN($E$5),4)&gt;0,INDEX('Surface DEET'!$Q$9:$W$38,COLUMN(R45)-COLUMN($E$5),4),$E52),0)</f>
        <v>0</v>
      </c>
      <c r="S52" s="250">
        <f>IF(S$6=$C52,IF(INDEX('Surface DEET'!$Q$9:$W$38,COLUMN(S45)-COLUMN($E$5),4)&gt;0,INDEX('Surface DEET'!$Q$9:$W$38,COLUMN(S45)-COLUMN($E$5),4),$E52),0)</f>
        <v>0</v>
      </c>
      <c r="T52" s="250">
        <f>IF(T$6=$C52,IF(INDEX('Surface DEET'!$Q$9:$W$38,COLUMN(T45)-COLUMN($E$5),4)&gt;0,INDEX('Surface DEET'!$Q$9:$W$38,COLUMN(T45)-COLUMN($E$5),4),$E52),0)</f>
        <v>0</v>
      </c>
      <c r="U52" s="250">
        <f>IF(U$6=$C52,IF(INDEX('Surface DEET'!$Q$9:$W$38,COLUMN(U45)-COLUMN($E$5),4)&gt;0,INDEX('Surface DEET'!$Q$9:$W$38,COLUMN(U45)-COLUMN($E$5),4),$E52),0)</f>
        <v>0</v>
      </c>
      <c r="V52" s="250">
        <f>IF(V$6=$C52,IF(INDEX('Surface DEET'!$Q$9:$W$38,COLUMN(V45)-COLUMN($E$5),4)&gt;0,INDEX('Surface DEET'!$Q$9:$W$38,COLUMN(V45)-COLUMN($E$5),4),$E52),0)</f>
        <v>0</v>
      </c>
      <c r="W52" s="250">
        <f>IF(W$6=$C52,IF(INDEX('Surface DEET'!$Q$9:$W$38,COLUMN(W45)-COLUMN($E$5),4)&gt;0,INDEX('Surface DEET'!$Q$9:$W$38,COLUMN(W45)-COLUMN($E$5),4),$E52),0)</f>
        <v>0</v>
      </c>
      <c r="X52" s="250">
        <f>IF(X$6=$C52,IF(INDEX('Surface DEET'!$Q$9:$W$38,COLUMN(X45)-COLUMN($E$5),4)&gt;0,INDEX('Surface DEET'!$Q$9:$W$38,COLUMN(X45)-COLUMN($E$5),4),$E52),0)</f>
        <v>0</v>
      </c>
      <c r="Y52" s="250">
        <f>IF(Y$6=$C52,IF(INDEX('Surface DEET'!$Q$9:$W$38,COLUMN(Y45)-COLUMN($E$5),4)&gt;0,INDEX('Surface DEET'!$Q$9:$W$38,COLUMN(Y45)-COLUMN($E$5),4),$E52),0)</f>
        <v>0</v>
      </c>
      <c r="Z52" s="250">
        <f>IF(Z$6=$C52,IF(INDEX('Surface DEET'!$Q$9:$W$38,COLUMN(Z45)-COLUMN($E$5),4)&gt;0,INDEX('Surface DEET'!$Q$9:$W$38,COLUMN(Z45)-COLUMN($E$5),4),$E52),0)</f>
        <v>0</v>
      </c>
      <c r="AA52" s="250">
        <f>IF(AA$6=$C52,IF(INDEX('Surface DEET'!$Q$9:$W$38,COLUMN(AA45)-COLUMN($E$5),4)&gt;0,INDEX('Surface DEET'!$Q$9:$W$38,COLUMN(AA45)-COLUMN($E$5),4),$E52),0)</f>
        <v>0</v>
      </c>
      <c r="AB52" s="250">
        <f>IF(AB$6=$C52,IF(INDEX('Surface DEET'!$Q$9:$W$38,COLUMN(AB45)-COLUMN($E$5),4)&gt;0,INDEX('Surface DEET'!$Q$9:$W$38,COLUMN(AB45)-COLUMN($E$5),4),$E52),0)</f>
        <v>0</v>
      </c>
      <c r="AC52" s="250">
        <f>IF(AC$6=$C52,IF(INDEX('Surface DEET'!$Q$9:$W$38,COLUMN(AC45)-COLUMN($E$5),4)&gt;0,INDEX('Surface DEET'!$Q$9:$W$38,COLUMN(AC45)-COLUMN($E$5),4),$E52),0)</f>
        <v>0</v>
      </c>
      <c r="AD52" s="250">
        <f>IF(AD$6=$C52,IF(INDEX('Surface DEET'!$Q$9:$W$38,COLUMN(AD45)-COLUMN($E$5),4)&gt;0,INDEX('Surface DEET'!$Q$9:$W$38,COLUMN(AD45)-COLUMN($E$5),4),$E52),0)</f>
        <v>0</v>
      </c>
      <c r="AE52" s="250">
        <f>IF(AE$6=$C52,IF(INDEX('Surface DEET'!$Q$9:$W$38,COLUMN(AE45)-COLUMN($E$5),4)&gt;0,INDEX('Surface DEET'!$Q$9:$W$38,COLUMN(AE45)-COLUMN($E$5),4),$E52),0)</f>
        <v>0</v>
      </c>
      <c r="AF52" s="250">
        <f>IF(AF$6=$C52,IF(INDEX('Surface DEET'!$Q$9:$W$38,COLUMN(AF45)-COLUMN($E$5),4)&gt;0,INDEX('Surface DEET'!$Q$9:$W$38,COLUMN(AF45)-COLUMN($E$5),4),$E52),0)</f>
        <v>0</v>
      </c>
      <c r="AG52" s="250">
        <f>IF(AG$6=$C52,IF(INDEX('Surface DEET'!$Q$9:$W$38,COLUMN(AG45)-COLUMN($E$5),4)&gt;0,INDEX('Surface DEET'!$Q$9:$W$38,COLUMN(AG45)-COLUMN($E$5),4),$E52),0)</f>
        <v>0</v>
      </c>
      <c r="AH52" s="250">
        <f>IF(AH$6=$C52,IF(INDEX('Surface DEET'!$Q$9:$W$38,COLUMN(AH45)-COLUMN($E$5),4)&gt;0,INDEX('Surface DEET'!$Q$9:$W$38,COLUMN(AH45)-COLUMN($E$5),4),$E52),0)</f>
        <v>0</v>
      </c>
      <c r="AI52" s="250">
        <f>IF(AI$6=$C52,IF(INDEX('Surface DEET'!$Q$9:$W$38,COLUMN(AI45)-COLUMN($E$5),4)&gt;0,INDEX('Surface DEET'!$Q$9:$W$38,COLUMN(AI45)-COLUMN($E$5),4),$E52),0)</f>
        <v>0</v>
      </c>
    </row>
    <row r="53" spans="1:35">
      <c r="A53" s="692"/>
      <c r="B53" s="250" t="s">
        <v>533</v>
      </c>
      <c r="C53" s="30" t="s">
        <v>593</v>
      </c>
      <c r="D53" s="250" t="s">
        <v>533</v>
      </c>
      <c r="F53" s="250">
        <f>IFERROR($E$48*(F51/$E$51)*(($E$50*($E$52/F52))+(1-$E$50))+0.28*$E$47*(F51-$E$51)/$E$51,0)</f>
        <v>0</v>
      </c>
      <c r="G53" s="250">
        <f t="shared" ref="G53:AI53" si="5">IFERROR($E$48*(G51/$E$51)*(($E$50*($E$52/G52))+(1-$E$50))+0.28*$E$47*(G51-$E$51)/$E$51,0)</f>
        <v>0</v>
      </c>
      <c r="H53" s="250">
        <f t="shared" si="5"/>
        <v>0</v>
      </c>
      <c r="I53" s="250">
        <f t="shared" si="5"/>
        <v>0</v>
      </c>
      <c r="J53" s="250">
        <f t="shared" si="5"/>
        <v>0</v>
      </c>
      <c r="K53" s="250">
        <f t="shared" si="5"/>
        <v>0</v>
      </c>
      <c r="L53" s="250">
        <f t="shared" si="5"/>
        <v>0</v>
      </c>
      <c r="M53" s="250">
        <f t="shared" si="5"/>
        <v>0</v>
      </c>
      <c r="N53" s="250">
        <f t="shared" si="5"/>
        <v>0</v>
      </c>
      <c r="O53" s="250">
        <f t="shared" si="5"/>
        <v>0</v>
      </c>
      <c r="P53" s="250">
        <f t="shared" si="5"/>
        <v>0</v>
      </c>
      <c r="Q53" s="250">
        <f t="shared" si="5"/>
        <v>0</v>
      </c>
      <c r="R53" s="250">
        <f t="shared" si="5"/>
        <v>0</v>
      </c>
      <c r="S53" s="250">
        <f t="shared" si="5"/>
        <v>0</v>
      </c>
      <c r="T53" s="250">
        <f t="shared" si="5"/>
        <v>0</v>
      </c>
      <c r="U53" s="250">
        <f t="shared" si="5"/>
        <v>0</v>
      </c>
      <c r="V53" s="250">
        <f t="shared" si="5"/>
        <v>0</v>
      </c>
      <c r="W53" s="250">
        <f t="shared" si="5"/>
        <v>0</v>
      </c>
      <c r="X53" s="250">
        <f t="shared" si="5"/>
        <v>0</v>
      </c>
      <c r="Y53" s="250">
        <f t="shared" si="5"/>
        <v>0</v>
      </c>
      <c r="Z53" s="250">
        <f t="shared" si="5"/>
        <v>0</v>
      </c>
      <c r="AA53" s="250">
        <f t="shared" si="5"/>
        <v>0</v>
      </c>
      <c r="AB53" s="250">
        <f t="shared" si="5"/>
        <v>0</v>
      </c>
      <c r="AC53" s="250">
        <f t="shared" si="5"/>
        <v>0</v>
      </c>
      <c r="AD53" s="250">
        <f t="shared" si="5"/>
        <v>0</v>
      </c>
      <c r="AE53" s="250">
        <f t="shared" si="5"/>
        <v>0</v>
      </c>
      <c r="AF53" s="250">
        <f t="shared" si="5"/>
        <v>0</v>
      </c>
      <c r="AG53" s="250">
        <f t="shared" si="5"/>
        <v>0</v>
      </c>
      <c r="AH53" s="250">
        <f t="shared" si="5"/>
        <v>0</v>
      </c>
      <c r="AI53" s="250">
        <f t="shared" si="5"/>
        <v>0</v>
      </c>
    </row>
    <row r="54" spans="1:35">
      <c r="A54" s="691" t="s">
        <v>595</v>
      </c>
      <c r="B54" s="88" t="s">
        <v>294</v>
      </c>
      <c r="C54" s="30" t="s">
        <v>596</v>
      </c>
      <c r="D54" s="88" t="s">
        <v>294</v>
      </c>
      <c r="E54" s="250">
        <f t="array" ref="E54">INDEX(CABS_CVC!$C$3:$O$894,MATCH(1, (CABS_CVC!$A$3:$A$894=Calculs_CABS!C54)*(CABS_CVC!$B$3:$B$894=Calculs_CABS!$D$2),0),MATCH(Calculs_CABS!$D$1,Liste_CABS!$B$3:$B$15,0))</f>
        <v>64</v>
      </c>
    </row>
    <row r="55" spans="1:35">
      <c r="A55" s="691"/>
      <c r="B55" s="250" t="s">
        <v>534</v>
      </c>
      <c r="C55" s="30" t="s">
        <v>596</v>
      </c>
      <c r="D55" s="250" t="s">
        <v>534</v>
      </c>
      <c r="E55" s="299">
        <v>363</v>
      </c>
    </row>
    <row r="56" spans="1:35">
      <c r="A56" s="691"/>
      <c r="B56" s="250" t="s">
        <v>535</v>
      </c>
      <c r="C56" s="30" t="s">
        <v>596</v>
      </c>
      <c r="D56" s="250" t="s">
        <v>535</v>
      </c>
      <c r="E56" s="250">
        <f>E54+E55</f>
        <v>427</v>
      </c>
    </row>
    <row r="57" spans="1:35">
      <c r="A57" s="691"/>
      <c r="B57" s="250" t="s">
        <v>536</v>
      </c>
      <c r="C57" s="30" t="s">
        <v>596</v>
      </c>
      <c r="D57" s="250" t="s">
        <v>536</v>
      </c>
      <c r="E57" s="296">
        <v>0.95</v>
      </c>
    </row>
    <row r="58" spans="1:35">
      <c r="A58" s="691"/>
      <c r="B58" s="250" t="s">
        <v>537</v>
      </c>
      <c r="C58" s="30" t="s">
        <v>596</v>
      </c>
      <c r="D58" s="250" t="s">
        <v>597</v>
      </c>
      <c r="E58" s="296">
        <v>2900</v>
      </c>
      <c r="F58" s="250">
        <f>IF(F$6=$C58,IF(INDEX('Surface DEET'!$Q$9:$W$38,COLUMN(F51)-COLUMN($E$5),1)&gt;0,INDEX('Surface DEET'!$Q$9:$W$38,COLUMN(F51)-COLUMN($E$5),1),$E58),0)</f>
        <v>0</v>
      </c>
      <c r="G58" s="250">
        <f>IF(G$6=$C58,IF(INDEX('Surface DEET'!$Q$9:$W$38,COLUMN(G51)-COLUMN($E$5),1)&gt;0,INDEX('Surface DEET'!$Q$9:$W$38,COLUMN(G51)-COLUMN($E$5),1),$E58),0)</f>
        <v>0</v>
      </c>
      <c r="H58" s="250">
        <f>IF(H$6=$C58,IF(INDEX('Surface DEET'!$Q$9:$W$38,COLUMN(H51)-COLUMN($E$5),1)&gt;0,INDEX('Surface DEET'!$Q$9:$W$38,COLUMN(H51)-COLUMN($E$5),1),$E58),0)</f>
        <v>0</v>
      </c>
      <c r="I58" s="250">
        <f>IF(I$6=$C58,IF(INDEX('Surface DEET'!$Q$9:$W$38,COLUMN(I51)-COLUMN($E$5),1)&gt;0,INDEX('Surface DEET'!$Q$9:$W$38,COLUMN(I51)-COLUMN($E$5),1),$E58),0)</f>
        <v>0</v>
      </c>
      <c r="J58" s="250">
        <f>IF(J$6=$C58,IF(INDEX('Surface DEET'!$Q$9:$W$38,COLUMN(J51)-COLUMN($E$5),1)&gt;0,INDEX('Surface DEET'!$Q$9:$W$38,COLUMN(J51)-COLUMN($E$5),1),$E58),0)</f>
        <v>0</v>
      </c>
      <c r="K58" s="250">
        <f>IF(K$6=$C58,IF(INDEX('Surface DEET'!$Q$9:$W$38,COLUMN(K51)-COLUMN($E$5),1)&gt;0,INDEX('Surface DEET'!$Q$9:$W$38,COLUMN(K51)-COLUMN($E$5),1),$E58),0)</f>
        <v>0</v>
      </c>
      <c r="L58" s="250">
        <f>IF(L$6=$C58,IF(INDEX('Surface DEET'!$Q$9:$W$38,COLUMN(L51)-COLUMN($E$5),1)&gt;0,INDEX('Surface DEET'!$Q$9:$W$38,COLUMN(L51)-COLUMN($E$5),1),$E58),0)</f>
        <v>0</v>
      </c>
      <c r="M58" s="250">
        <f>IF(M$6=$C58,IF(INDEX('Surface DEET'!$Q$9:$W$38,COLUMN(M51)-COLUMN($E$5),1)&gt;0,INDEX('Surface DEET'!$Q$9:$W$38,COLUMN(M51)-COLUMN($E$5),1),$E58),0)</f>
        <v>0</v>
      </c>
      <c r="N58" s="250">
        <f>IF(N$6=$C58,IF(INDEX('Surface DEET'!$Q$9:$W$38,COLUMN(N51)-COLUMN($E$5),1)&gt;0,INDEX('Surface DEET'!$Q$9:$W$38,COLUMN(N51)-COLUMN($E$5),1),$E58),0)</f>
        <v>0</v>
      </c>
      <c r="O58" s="250">
        <f>IF(O$6=$C58,IF(INDEX('Surface DEET'!$Q$9:$W$38,COLUMN(O51)-COLUMN($E$5),1)&gt;0,INDEX('Surface DEET'!$Q$9:$W$38,COLUMN(O51)-COLUMN($E$5),1),$E58),0)</f>
        <v>0</v>
      </c>
      <c r="P58" s="250">
        <f>IF(P$6=$C58,IF(INDEX('Surface DEET'!$Q$9:$W$38,COLUMN(P51)-COLUMN($E$5),1)&gt;0,INDEX('Surface DEET'!$Q$9:$W$38,COLUMN(P51)-COLUMN($E$5),1),$E58),0)</f>
        <v>0</v>
      </c>
      <c r="Q58" s="250">
        <f>IF(Q$6=$C58,IF(INDEX('Surface DEET'!$Q$9:$W$38,COLUMN(Q51)-COLUMN($E$5),1)&gt;0,INDEX('Surface DEET'!$Q$9:$W$38,COLUMN(Q51)-COLUMN($E$5),1),$E58),0)</f>
        <v>0</v>
      </c>
      <c r="R58" s="250">
        <f>IF(R$6=$C58,IF(INDEX('Surface DEET'!$Q$9:$W$38,COLUMN(R51)-COLUMN($E$5),1)&gt;0,INDEX('Surface DEET'!$Q$9:$W$38,COLUMN(R51)-COLUMN($E$5),1),$E58),0)</f>
        <v>0</v>
      </c>
      <c r="S58" s="250">
        <f>IF(S$6=$C58,IF(INDEX('Surface DEET'!$Q$9:$W$38,COLUMN(S51)-COLUMN($E$5),1)&gt;0,INDEX('Surface DEET'!$Q$9:$W$38,COLUMN(S51)-COLUMN($E$5),1),$E58),0)</f>
        <v>0</v>
      </c>
      <c r="T58" s="250">
        <f>IF(T$6=$C58,IF(INDEX('Surface DEET'!$Q$9:$W$38,COLUMN(T51)-COLUMN($E$5),1)&gt;0,INDEX('Surface DEET'!$Q$9:$W$38,COLUMN(T51)-COLUMN($E$5),1),$E58),0)</f>
        <v>0</v>
      </c>
      <c r="U58" s="250">
        <f>IF(U$6=$C58,IF(INDEX('Surface DEET'!$Q$9:$W$38,COLUMN(U51)-COLUMN($E$5),1)&gt;0,INDEX('Surface DEET'!$Q$9:$W$38,COLUMN(U51)-COLUMN($E$5),1),$E58),0)</f>
        <v>0</v>
      </c>
      <c r="V58" s="250">
        <f>IF(V$6=$C58,IF(INDEX('Surface DEET'!$Q$9:$W$38,COLUMN(V51)-COLUMN($E$5),1)&gt;0,INDEX('Surface DEET'!$Q$9:$W$38,COLUMN(V51)-COLUMN($E$5),1),$E58),0)</f>
        <v>0</v>
      </c>
      <c r="W58" s="250">
        <f>IF(W$6=$C58,IF(INDEX('Surface DEET'!$Q$9:$W$38,COLUMN(W51)-COLUMN($E$5),1)&gt;0,INDEX('Surface DEET'!$Q$9:$W$38,COLUMN(W51)-COLUMN($E$5),1),$E58),0)</f>
        <v>0</v>
      </c>
      <c r="X58" s="250">
        <f>IF(X$6=$C58,IF(INDEX('Surface DEET'!$Q$9:$W$38,COLUMN(X51)-COLUMN($E$5),1)&gt;0,INDEX('Surface DEET'!$Q$9:$W$38,COLUMN(X51)-COLUMN($E$5),1),$E58),0)</f>
        <v>0</v>
      </c>
      <c r="Y58" s="250">
        <f>IF(Y$6=$C58,IF(INDEX('Surface DEET'!$Q$9:$W$38,COLUMN(Y51)-COLUMN($E$5),1)&gt;0,INDEX('Surface DEET'!$Q$9:$W$38,COLUMN(Y51)-COLUMN($E$5),1),$E58),0)</f>
        <v>0</v>
      </c>
      <c r="Z58" s="250">
        <f>IF(Z$6=$C58,IF(INDEX('Surface DEET'!$Q$9:$W$38,COLUMN(Z51)-COLUMN($E$5),1)&gt;0,INDEX('Surface DEET'!$Q$9:$W$38,COLUMN(Z51)-COLUMN($E$5),1),$E58),0)</f>
        <v>0</v>
      </c>
      <c r="AA58" s="250">
        <f>IF(AA$6=$C58,IF(INDEX('Surface DEET'!$Q$9:$W$38,COLUMN(AA51)-COLUMN($E$5),1)&gt;0,INDEX('Surface DEET'!$Q$9:$W$38,COLUMN(AA51)-COLUMN($E$5),1),$E58),0)</f>
        <v>0</v>
      </c>
      <c r="AB58" s="250">
        <f>IF(AB$6=$C58,IF(INDEX('Surface DEET'!$Q$9:$W$38,COLUMN(AB51)-COLUMN($E$5),1)&gt;0,INDEX('Surface DEET'!$Q$9:$W$38,COLUMN(AB51)-COLUMN($E$5),1),$E58),0)</f>
        <v>0</v>
      </c>
      <c r="AC58" s="250">
        <f>IF(AC$6=$C58,IF(INDEX('Surface DEET'!$Q$9:$W$38,COLUMN(AC51)-COLUMN($E$5),1)&gt;0,INDEX('Surface DEET'!$Q$9:$W$38,COLUMN(AC51)-COLUMN($E$5),1),$E58),0)</f>
        <v>0</v>
      </c>
      <c r="AD58" s="250">
        <f>IF(AD$6=$C58,IF(INDEX('Surface DEET'!$Q$9:$W$38,COLUMN(AD51)-COLUMN($E$5),1)&gt;0,INDEX('Surface DEET'!$Q$9:$W$38,COLUMN(AD51)-COLUMN($E$5),1),$E58),0)</f>
        <v>0</v>
      </c>
      <c r="AE58" s="250">
        <f>IF(AE$6=$C58,IF(INDEX('Surface DEET'!$Q$9:$W$38,COLUMN(AE51)-COLUMN($E$5),1)&gt;0,INDEX('Surface DEET'!$Q$9:$W$38,COLUMN(AE51)-COLUMN($E$5),1),$E58),0)</f>
        <v>0</v>
      </c>
      <c r="AF58" s="250">
        <f>IF(AF$6=$C58,IF(INDEX('Surface DEET'!$Q$9:$W$38,COLUMN(AF51)-COLUMN($E$5),1)&gt;0,INDEX('Surface DEET'!$Q$9:$W$38,COLUMN(AF51)-COLUMN($E$5),1),$E58),0)</f>
        <v>0</v>
      </c>
      <c r="AG58" s="250">
        <f>IF(AG$6=$C58,IF(INDEX('Surface DEET'!$Q$9:$W$38,COLUMN(AG51)-COLUMN($E$5),1)&gt;0,INDEX('Surface DEET'!$Q$9:$W$38,COLUMN(AG51)-COLUMN($E$5),1),$E58),0)</f>
        <v>0</v>
      </c>
      <c r="AH58" s="250">
        <f>IF(AH$6=$C58,IF(INDEX('Surface DEET'!$Q$9:$W$38,COLUMN(AH51)-COLUMN($E$5),1)&gt;0,INDEX('Surface DEET'!$Q$9:$W$38,COLUMN(AH51)-COLUMN($E$5),1),$E58),0)</f>
        <v>0</v>
      </c>
      <c r="AI58" s="250">
        <f>IF(AI$6=$C58,IF(INDEX('Surface DEET'!$Q$9:$W$38,COLUMN(AI51)-COLUMN($E$5),1)&gt;0,INDEX('Surface DEET'!$Q$9:$W$38,COLUMN(AI51)-COLUMN($E$5),1),$E58),0)</f>
        <v>0</v>
      </c>
    </row>
    <row r="59" spans="1:35">
      <c r="A59" s="691"/>
      <c r="B59" s="250" t="s">
        <v>540</v>
      </c>
      <c r="C59" s="30" t="s">
        <v>596</v>
      </c>
      <c r="D59" s="250" t="s">
        <v>598</v>
      </c>
      <c r="E59" s="296">
        <v>80</v>
      </c>
      <c r="F59" s="250">
        <f>IF(F$6=$C59,IF(INDEX('Surface DEET'!$Q$9:$W$38,COLUMN(F52)-COLUMN($E$5),4)&gt;0,INDEX('Surface DEET'!$Q$9:$W$38,COLUMN(F52)-COLUMN($E$5),4),$E59),0)</f>
        <v>0</v>
      </c>
      <c r="G59" s="250">
        <f>IF(G$6=$C59,IF(INDEX('Surface DEET'!$Q$9:$W$38,COLUMN(G52)-COLUMN($E$5),4)&gt;0,INDEX('Surface DEET'!$Q$9:$W$38,COLUMN(G52)-COLUMN($E$5),4),$E59),0)</f>
        <v>0</v>
      </c>
      <c r="H59" s="250">
        <f>IF(H$6=$C59,IF(INDEX('Surface DEET'!$Q$9:$W$38,COLUMN(H52)-COLUMN($E$5),4)&gt;0,INDEX('Surface DEET'!$Q$9:$W$38,COLUMN(H52)-COLUMN($E$5),4),$E59),0)</f>
        <v>0</v>
      </c>
      <c r="I59" s="250">
        <f>IF(I$6=$C59,IF(INDEX('Surface DEET'!$Q$9:$W$38,COLUMN(I52)-COLUMN($E$5),4)&gt;0,INDEX('Surface DEET'!$Q$9:$W$38,COLUMN(I52)-COLUMN($E$5),4),$E59),0)</f>
        <v>0</v>
      </c>
      <c r="J59" s="250">
        <f>IF(J$6=$C59,IF(INDEX('Surface DEET'!$Q$9:$W$38,COLUMN(J52)-COLUMN($E$5),4)&gt;0,INDEX('Surface DEET'!$Q$9:$W$38,COLUMN(J52)-COLUMN($E$5),4),$E59),0)</f>
        <v>0</v>
      </c>
      <c r="K59" s="250">
        <f>IF(K$6=$C59,IF(INDEX('Surface DEET'!$Q$9:$W$38,COLUMN(K52)-COLUMN($E$5),4)&gt;0,INDEX('Surface DEET'!$Q$9:$W$38,COLUMN(K52)-COLUMN($E$5),4),$E59),0)</f>
        <v>0</v>
      </c>
      <c r="L59" s="250">
        <f>IF(L$6=$C59,IF(INDEX('Surface DEET'!$Q$9:$W$38,COLUMN(L52)-COLUMN($E$5),4)&gt;0,INDEX('Surface DEET'!$Q$9:$W$38,COLUMN(L52)-COLUMN($E$5),4),$E59),0)</f>
        <v>0</v>
      </c>
      <c r="M59" s="250">
        <f>IF(M$6=$C59,IF(INDEX('Surface DEET'!$Q$9:$W$38,COLUMN(M52)-COLUMN($E$5),4)&gt;0,INDEX('Surface DEET'!$Q$9:$W$38,COLUMN(M52)-COLUMN($E$5),4),$E59),0)</f>
        <v>0</v>
      </c>
      <c r="N59" s="250">
        <f>IF(N$6=$C59,IF(INDEX('Surface DEET'!$Q$9:$W$38,COLUMN(N52)-COLUMN($E$5),4)&gt;0,INDEX('Surface DEET'!$Q$9:$W$38,COLUMN(N52)-COLUMN($E$5),4),$E59),0)</f>
        <v>0</v>
      </c>
      <c r="O59" s="250">
        <f>IF(O$6=$C59,IF(INDEX('Surface DEET'!$Q$9:$W$38,COLUMN(O52)-COLUMN($E$5),4)&gt;0,INDEX('Surface DEET'!$Q$9:$W$38,COLUMN(O52)-COLUMN($E$5),4),$E59),0)</f>
        <v>0</v>
      </c>
      <c r="P59" s="250">
        <f>IF(P$6=$C59,IF(INDEX('Surface DEET'!$Q$9:$W$38,COLUMN(P52)-COLUMN($E$5),4)&gt;0,INDEX('Surface DEET'!$Q$9:$W$38,COLUMN(P52)-COLUMN($E$5),4),$E59),0)</f>
        <v>0</v>
      </c>
      <c r="Q59" s="250">
        <f>IF(Q$6=$C59,IF(INDEX('Surface DEET'!$Q$9:$W$38,COLUMN(Q52)-COLUMN($E$5),4)&gt;0,INDEX('Surface DEET'!$Q$9:$W$38,COLUMN(Q52)-COLUMN($E$5),4),$E59),0)</f>
        <v>0</v>
      </c>
      <c r="R59" s="250">
        <f>IF(R$6=$C59,IF(INDEX('Surface DEET'!$Q$9:$W$38,COLUMN(R52)-COLUMN($E$5),4)&gt;0,INDEX('Surface DEET'!$Q$9:$W$38,COLUMN(R52)-COLUMN($E$5),4),$E59),0)</f>
        <v>0</v>
      </c>
      <c r="S59" s="250">
        <f>IF(S$6=$C59,IF(INDEX('Surface DEET'!$Q$9:$W$38,COLUMN(S52)-COLUMN($E$5),4)&gt;0,INDEX('Surface DEET'!$Q$9:$W$38,COLUMN(S52)-COLUMN($E$5),4),$E59),0)</f>
        <v>0</v>
      </c>
      <c r="T59" s="250">
        <f>IF(T$6=$C59,IF(INDEX('Surface DEET'!$Q$9:$W$38,COLUMN(T52)-COLUMN($E$5),4)&gt;0,INDEX('Surface DEET'!$Q$9:$W$38,COLUMN(T52)-COLUMN($E$5),4),$E59),0)</f>
        <v>0</v>
      </c>
      <c r="U59" s="250">
        <f>IF(U$6=$C59,IF(INDEX('Surface DEET'!$Q$9:$W$38,COLUMN(U52)-COLUMN($E$5),4)&gt;0,INDEX('Surface DEET'!$Q$9:$W$38,COLUMN(U52)-COLUMN($E$5),4),$E59),0)</f>
        <v>0</v>
      </c>
      <c r="V59" s="250">
        <f>IF(V$6=$C59,IF(INDEX('Surface DEET'!$Q$9:$W$38,COLUMN(V52)-COLUMN($E$5),4)&gt;0,INDEX('Surface DEET'!$Q$9:$W$38,COLUMN(V52)-COLUMN($E$5),4),$E59),0)</f>
        <v>0</v>
      </c>
      <c r="W59" s="250">
        <f>IF(W$6=$C59,IF(INDEX('Surface DEET'!$Q$9:$W$38,COLUMN(W52)-COLUMN($E$5),4)&gt;0,INDEX('Surface DEET'!$Q$9:$W$38,COLUMN(W52)-COLUMN($E$5),4),$E59),0)</f>
        <v>0</v>
      </c>
      <c r="X59" s="250">
        <f>IF(X$6=$C59,IF(INDEX('Surface DEET'!$Q$9:$W$38,COLUMN(X52)-COLUMN($E$5),4)&gt;0,INDEX('Surface DEET'!$Q$9:$W$38,COLUMN(X52)-COLUMN($E$5),4),$E59),0)</f>
        <v>0</v>
      </c>
      <c r="Y59" s="250">
        <f>IF(Y$6=$C59,IF(INDEX('Surface DEET'!$Q$9:$W$38,COLUMN(Y52)-COLUMN($E$5),4)&gt;0,INDEX('Surface DEET'!$Q$9:$W$38,COLUMN(Y52)-COLUMN($E$5),4),$E59),0)</f>
        <v>0</v>
      </c>
      <c r="Z59" s="250">
        <f>IF(Z$6=$C59,IF(INDEX('Surface DEET'!$Q$9:$W$38,COLUMN(Z52)-COLUMN($E$5),4)&gt;0,INDEX('Surface DEET'!$Q$9:$W$38,COLUMN(Z52)-COLUMN($E$5),4),$E59),0)</f>
        <v>0</v>
      </c>
      <c r="AA59" s="250">
        <f>IF(AA$6=$C59,IF(INDEX('Surface DEET'!$Q$9:$W$38,COLUMN(AA52)-COLUMN($E$5),4)&gt;0,INDEX('Surface DEET'!$Q$9:$W$38,COLUMN(AA52)-COLUMN($E$5),4),$E59),0)</f>
        <v>0</v>
      </c>
      <c r="AB59" s="250">
        <f>IF(AB$6=$C59,IF(INDEX('Surface DEET'!$Q$9:$W$38,COLUMN(AB52)-COLUMN($E$5),4)&gt;0,INDEX('Surface DEET'!$Q$9:$W$38,COLUMN(AB52)-COLUMN($E$5),4),$E59),0)</f>
        <v>0</v>
      </c>
      <c r="AC59" s="250">
        <f>IF(AC$6=$C59,IF(INDEX('Surface DEET'!$Q$9:$W$38,COLUMN(AC52)-COLUMN($E$5),4)&gt;0,INDEX('Surface DEET'!$Q$9:$W$38,COLUMN(AC52)-COLUMN($E$5),4),$E59),0)</f>
        <v>0</v>
      </c>
      <c r="AD59" s="250">
        <f>IF(AD$6=$C59,IF(INDEX('Surface DEET'!$Q$9:$W$38,COLUMN(AD52)-COLUMN($E$5),4)&gt;0,INDEX('Surface DEET'!$Q$9:$W$38,COLUMN(AD52)-COLUMN($E$5),4),$E59),0)</f>
        <v>0</v>
      </c>
      <c r="AE59" s="250">
        <f>IF(AE$6=$C59,IF(INDEX('Surface DEET'!$Q$9:$W$38,COLUMN(AE52)-COLUMN($E$5),4)&gt;0,INDEX('Surface DEET'!$Q$9:$W$38,COLUMN(AE52)-COLUMN($E$5),4),$E59),0)</f>
        <v>0</v>
      </c>
      <c r="AF59" s="250">
        <f>IF(AF$6=$C59,IF(INDEX('Surface DEET'!$Q$9:$W$38,COLUMN(AF52)-COLUMN($E$5),4)&gt;0,INDEX('Surface DEET'!$Q$9:$W$38,COLUMN(AF52)-COLUMN($E$5),4),$E59),0)</f>
        <v>0</v>
      </c>
      <c r="AG59" s="250">
        <f>IF(AG$6=$C59,IF(INDEX('Surface DEET'!$Q$9:$W$38,COLUMN(AG52)-COLUMN($E$5),4)&gt;0,INDEX('Surface DEET'!$Q$9:$W$38,COLUMN(AG52)-COLUMN($E$5),4),$E59),0)</f>
        <v>0</v>
      </c>
      <c r="AH59" s="250">
        <f>IF(AH$6=$C59,IF(INDEX('Surface DEET'!$Q$9:$W$38,COLUMN(AH52)-COLUMN($E$5),4)&gt;0,INDEX('Surface DEET'!$Q$9:$W$38,COLUMN(AH52)-COLUMN($E$5),4),$E59),0)</f>
        <v>0</v>
      </c>
      <c r="AI59" s="250">
        <f>IF(AI$6=$C59,IF(INDEX('Surface DEET'!$Q$9:$W$38,COLUMN(AI52)-COLUMN($E$5),4)&gt;0,INDEX('Surface DEET'!$Q$9:$W$38,COLUMN(AI52)-COLUMN($E$5),4),$E59),0)</f>
        <v>0</v>
      </c>
    </row>
    <row r="60" spans="1:35">
      <c r="A60" s="691"/>
      <c r="B60" s="250" t="s">
        <v>533</v>
      </c>
      <c r="C60" s="30" t="s">
        <v>596</v>
      </c>
      <c r="D60" s="250" t="s">
        <v>533</v>
      </c>
      <c r="F60" s="250">
        <f>IFERROR($E$55*($E$57*(F59/$E$59)+(1-$E$57)*(F58/$E$58))+0.28*$E$54*(F58-$E$58)/$E$58,0)</f>
        <v>-17.920000000000002</v>
      </c>
      <c r="G60" s="250">
        <f t="shared" ref="G60:AI60" si="6">IFERROR($E$55*($E$57*(G59/$E$59)+(1-$E$57)*(G58/$E$58))+0.28*$E$54*(G58-$E$58)/$E$58,0)</f>
        <v>-17.920000000000002</v>
      </c>
      <c r="H60" s="250">
        <f t="shared" si="6"/>
        <v>-17.920000000000002</v>
      </c>
      <c r="I60" s="250">
        <f t="shared" si="6"/>
        <v>-17.920000000000002</v>
      </c>
      <c r="J60" s="250">
        <f t="shared" si="6"/>
        <v>-17.920000000000002</v>
      </c>
      <c r="K60" s="250">
        <f t="shared" si="6"/>
        <v>-17.920000000000002</v>
      </c>
      <c r="L60" s="250">
        <f t="shared" si="6"/>
        <v>-17.920000000000002</v>
      </c>
      <c r="M60" s="250">
        <f t="shared" si="6"/>
        <v>-17.920000000000002</v>
      </c>
      <c r="N60" s="250">
        <f t="shared" si="6"/>
        <v>-17.920000000000002</v>
      </c>
      <c r="O60" s="250">
        <f t="shared" si="6"/>
        <v>-17.920000000000002</v>
      </c>
      <c r="P60" s="250">
        <f t="shared" si="6"/>
        <v>-17.920000000000002</v>
      </c>
      <c r="Q60" s="250">
        <f t="shared" si="6"/>
        <v>-17.920000000000002</v>
      </c>
      <c r="R60" s="250">
        <f t="shared" si="6"/>
        <v>-17.920000000000002</v>
      </c>
      <c r="S60" s="250">
        <f t="shared" si="6"/>
        <v>-17.920000000000002</v>
      </c>
      <c r="T60" s="250">
        <f t="shared" si="6"/>
        <v>-17.920000000000002</v>
      </c>
      <c r="U60" s="250">
        <f t="shared" si="6"/>
        <v>-17.920000000000002</v>
      </c>
      <c r="V60" s="250">
        <f t="shared" si="6"/>
        <v>-17.920000000000002</v>
      </c>
      <c r="W60" s="250">
        <f t="shared" si="6"/>
        <v>-17.920000000000002</v>
      </c>
      <c r="X60" s="250">
        <f t="shared" si="6"/>
        <v>-17.920000000000002</v>
      </c>
      <c r="Y60" s="250">
        <f t="shared" si="6"/>
        <v>-17.920000000000002</v>
      </c>
      <c r="Z60" s="250">
        <f t="shared" si="6"/>
        <v>-17.920000000000002</v>
      </c>
      <c r="AA60" s="250">
        <f t="shared" si="6"/>
        <v>-17.920000000000002</v>
      </c>
      <c r="AB60" s="250">
        <f t="shared" si="6"/>
        <v>-17.920000000000002</v>
      </c>
      <c r="AC60" s="250">
        <f t="shared" si="6"/>
        <v>-17.920000000000002</v>
      </c>
      <c r="AD60" s="250">
        <f t="shared" si="6"/>
        <v>-17.920000000000002</v>
      </c>
      <c r="AE60" s="250">
        <f t="shared" si="6"/>
        <v>-17.920000000000002</v>
      </c>
      <c r="AF60" s="250">
        <f t="shared" si="6"/>
        <v>-17.920000000000002</v>
      </c>
      <c r="AG60" s="250">
        <f t="shared" si="6"/>
        <v>-17.920000000000002</v>
      </c>
      <c r="AH60" s="250">
        <f t="shared" si="6"/>
        <v>-17.920000000000002</v>
      </c>
      <c r="AI60" s="250">
        <f t="shared" si="6"/>
        <v>-17.920000000000002</v>
      </c>
    </row>
    <row r="61" spans="1:35">
      <c r="A61" s="691" t="s">
        <v>599</v>
      </c>
      <c r="B61" s="88" t="s">
        <v>294</v>
      </c>
      <c r="C61" s="30" t="s">
        <v>599</v>
      </c>
      <c r="D61" s="88" t="s">
        <v>294</v>
      </c>
      <c r="E61" s="250">
        <f t="array" ref="E61">INDEX(CABS_CVC!$C$3:$O$870,MATCH(1, (CABS_CVC!$A$3:$A$870=Calculs_CABS!C61)*(CABS_CVC!$B$3:$B$870=Calculs_CABS!$D$2),0),MATCH(Calculs_CABS!$D$1,Liste_CABS!$B$3:$B$15,0))</f>
        <v>51</v>
      </c>
    </row>
    <row r="62" spans="1:35">
      <c r="A62" s="691"/>
      <c r="B62" s="250" t="s">
        <v>534</v>
      </c>
      <c r="C62" s="30" t="s">
        <v>599</v>
      </c>
      <c r="D62" s="250" t="s">
        <v>534</v>
      </c>
      <c r="E62" s="299">
        <v>365</v>
      </c>
    </row>
    <row r="63" spans="1:35">
      <c r="A63" s="691"/>
      <c r="B63" s="250" t="s">
        <v>535</v>
      </c>
      <c r="C63" s="30" t="s">
        <v>599</v>
      </c>
      <c r="D63" s="250" t="s">
        <v>535</v>
      </c>
      <c r="E63" s="250">
        <f>E61+E62</f>
        <v>416</v>
      </c>
    </row>
    <row r="64" spans="1:35">
      <c r="A64" s="691"/>
      <c r="B64" s="250" t="s">
        <v>536</v>
      </c>
      <c r="C64" s="30" t="s">
        <v>599</v>
      </c>
      <c r="D64" s="250" t="s">
        <v>536</v>
      </c>
      <c r="E64" s="250">
        <v>0.96</v>
      </c>
    </row>
    <row r="65" spans="1:35">
      <c r="A65" s="691"/>
      <c r="B65" s="250" t="s">
        <v>537</v>
      </c>
      <c r="C65" s="30" t="s">
        <v>599</v>
      </c>
      <c r="D65" s="296" t="s">
        <v>600</v>
      </c>
      <c r="E65" s="300">
        <v>2190</v>
      </c>
      <c r="F65" s="250">
        <f>IF(F$6=$C65,IF(INDEX('Surface DEET'!$Q$9:$W$38,COLUMN(F58)-COLUMN($E$5),1)&gt;0,INDEX('Surface DEET'!$Q$9:$W$38,COLUMN(F58)-COLUMN($E$5),1),$E65),0)</f>
        <v>0</v>
      </c>
      <c r="G65" s="250">
        <f>IF(G$6=$C65,IF(INDEX('Surface DEET'!$Q$9:$W$38,COLUMN(G58)-COLUMN($E$5),1)&gt;0,INDEX('Surface DEET'!$Q$9:$W$38,COLUMN(G58)-COLUMN($E$5),1),$E65),0)</f>
        <v>0</v>
      </c>
      <c r="H65" s="250">
        <f>IF(H$6=$C65,IF(INDEX('Surface DEET'!$Q$9:$W$38,COLUMN(H58)-COLUMN($E$5),1)&gt;0,INDEX('Surface DEET'!$Q$9:$W$38,COLUMN(H58)-COLUMN($E$5),1),$E65),0)</f>
        <v>0</v>
      </c>
      <c r="I65" s="250">
        <f>IF(I$6=$C65,IF(INDEX('Surface DEET'!$Q$9:$W$38,COLUMN(I58)-COLUMN($E$5),1)&gt;0,INDEX('Surface DEET'!$Q$9:$W$38,COLUMN(I58)-COLUMN($E$5),1),$E65),0)</f>
        <v>0</v>
      </c>
      <c r="J65" s="250">
        <f>IF(J$6=$C65,IF(INDEX('Surface DEET'!$Q$9:$W$38,COLUMN(J58)-COLUMN($E$5),1)&gt;0,INDEX('Surface DEET'!$Q$9:$W$38,COLUMN(J58)-COLUMN($E$5),1),$E65),0)</f>
        <v>0</v>
      </c>
      <c r="K65" s="250">
        <f>IF(K$6=$C65,IF(INDEX('Surface DEET'!$Q$9:$W$38,COLUMN(K58)-COLUMN($E$5),1)&gt;0,INDEX('Surface DEET'!$Q$9:$W$38,COLUMN(K58)-COLUMN($E$5),1),$E65),0)</f>
        <v>0</v>
      </c>
      <c r="L65" s="250">
        <f>IF(L$6=$C65,IF(INDEX('Surface DEET'!$Q$9:$W$38,COLUMN(L58)-COLUMN($E$5),1)&gt;0,INDEX('Surface DEET'!$Q$9:$W$38,COLUMN(L58)-COLUMN($E$5),1),$E65),0)</f>
        <v>0</v>
      </c>
      <c r="M65" s="250">
        <f>IF(M$6=$C65,IF(INDEX('Surface DEET'!$Q$9:$W$38,COLUMN(M58)-COLUMN($E$5),1)&gt;0,INDEX('Surface DEET'!$Q$9:$W$38,COLUMN(M58)-COLUMN($E$5),1),$E65),0)</f>
        <v>0</v>
      </c>
      <c r="N65" s="250">
        <f>IF(N$6=$C65,IF(INDEX('Surface DEET'!$Q$9:$W$38,COLUMN(N58)-COLUMN($E$5),1)&gt;0,INDEX('Surface DEET'!$Q$9:$W$38,COLUMN(N58)-COLUMN($E$5),1),$E65),0)</f>
        <v>0</v>
      </c>
      <c r="O65" s="250">
        <f>IF(O$6=$C65,IF(INDEX('Surface DEET'!$Q$9:$W$38,COLUMN(O58)-COLUMN($E$5),1)&gt;0,INDEX('Surface DEET'!$Q$9:$W$38,COLUMN(O58)-COLUMN($E$5),1),$E65),0)</f>
        <v>0</v>
      </c>
      <c r="P65" s="250">
        <f>IF(P$6=$C65,IF(INDEX('Surface DEET'!$Q$9:$W$38,COLUMN(P58)-COLUMN($E$5),1)&gt;0,INDEX('Surface DEET'!$Q$9:$W$38,COLUMN(P58)-COLUMN($E$5),1),$E65),0)</f>
        <v>0</v>
      </c>
      <c r="Q65" s="250">
        <f>IF(Q$6=$C65,IF(INDEX('Surface DEET'!$Q$9:$W$38,COLUMN(Q58)-COLUMN($E$5),1)&gt;0,INDEX('Surface DEET'!$Q$9:$W$38,COLUMN(Q58)-COLUMN($E$5),1),$E65),0)</f>
        <v>0</v>
      </c>
      <c r="R65" s="250">
        <f>IF(R$6=$C65,IF(INDEX('Surface DEET'!$Q$9:$W$38,COLUMN(R58)-COLUMN($E$5),1)&gt;0,INDEX('Surface DEET'!$Q$9:$W$38,COLUMN(R58)-COLUMN($E$5),1),$E65),0)</f>
        <v>0</v>
      </c>
      <c r="S65" s="250">
        <f>IF(S$6=$C65,IF(INDEX('Surface DEET'!$Q$9:$W$38,COLUMN(S58)-COLUMN($E$5),1)&gt;0,INDEX('Surface DEET'!$Q$9:$W$38,COLUMN(S58)-COLUMN($E$5),1),$E65),0)</f>
        <v>0</v>
      </c>
      <c r="T65" s="250">
        <f>IF(T$6=$C65,IF(INDEX('Surface DEET'!$Q$9:$W$38,COLUMN(T58)-COLUMN($E$5),1)&gt;0,INDEX('Surface DEET'!$Q$9:$W$38,COLUMN(T58)-COLUMN($E$5),1),$E65),0)</f>
        <v>0</v>
      </c>
      <c r="U65" s="250">
        <f>IF(U$6=$C65,IF(INDEX('Surface DEET'!$Q$9:$W$38,COLUMN(U58)-COLUMN($E$5),1)&gt;0,INDEX('Surface DEET'!$Q$9:$W$38,COLUMN(U58)-COLUMN($E$5),1),$E65),0)</f>
        <v>0</v>
      </c>
      <c r="V65" s="250">
        <f>IF(V$6=$C65,IF(INDEX('Surface DEET'!$Q$9:$W$38,COLUMN(V58)-COLUMN($E$5),1)&gt;0,INDEX('Surface DEET'!$Q$9:$W$38,COLUMN(V58)-COLUMN($E$5),1),$E65),0)</f>
        <v>0</v>
      </c>
      <c r="W65" s="250">
        <f>IF(W$6=$C65,IF(INDEX('Surface DEET'!$Q$9:$W$38,COLUMN(W58)-COLUMN($E$5),1)&gt;0,INDEX('Surface DEET'!$Q$9:$W$38,COLUMN(W58)-COLUMN($E$5),1),$E65),0)</f>
        <v>0</v>
      </c>
      <c r="X65" s="250">
        <f>IF(X$6=$C65,IF(INDEX('Surface DEET'!$Q$9:$W$38,COLUMN(X58)-COLUMN($E$5),1)&gt;0,INDEX('Surface DEET'!$Q$9:$W$38,COLUMN(X58)-COLUMN($E$5),1),$E65),0)</f>
        <v>0</v>
      </c>
      <c r="Y65" s="250">
        <f>IF(Y$6=$C65,IF(INDEX('Surface DEET'!$Q$9:$W$38,COLUMN(Y58)-COLUMN($E$5),1)&gt;0,INDEX('Surface DEET'!$Q$9:$W$38,COLUMN(Y58)-COLUMN($E$5),1),$E65),0)</f>
        <v>0</v>
      </c>
      <c r="Z65" s="250">
        <f>IF(Z$6=$C65,IF(INDEX('Surface DEET'!$Q$9:$W$38,COLUMN(Z58)-COLUMN($E$5),1)&gt;0,INDEX('Surface DEET'!$Q$9:$W$38,COLUMN(Z58)-COLUMN($E$5),1),$E65),0)</f>
        <v>0</v>
      </c>
      <c r="AA65" s="250">
        <f>IF(AA$6=$C65,IF(INDEX('Surface DEET'!$Q$9:$W$38,COLUMN(AA58)-COLUMN($E$5),1)&gt;0,INDEX('Surface DEET'!$Q$9:$W$38,COLUMN(AA58)-COLUMN($E$5),1),$E65),0)</f>
        <v>0</v>
      </c>
      <c r="AB65" s="250">
        <f>IF(AB$6=$C65,IF(INDEX('Surface DEET'!$Q$9:$W$38,COLUMN(AB58)-COLUMN($E$5),1)&gt;0,INDEX('Surface DEET'!$Q$9:$W$38,COLUMN(AB58)-COLUMN($E$5),1),$E65),0)</f>
        <v>0</v>
      </c>
      <c r="AC65" s="250">
        <f>IF(AC$6=$C65,IF(INDEX('Surface DEET'!$Q$9:$W$38,COLUMN(AC58)-COLUMN($E$5),1)&gt;0,INDEX('Surface DEET'!$Q$9:$W$38,COLUMN(AC58)-COLUMN($E$5),1),$E65),0)</f>
        <v>0</v>
      </c>
      <c r="AD65" s="250">
        <f>IF(AD$6=$C65,IF(INDEX('Surface DEET'!$Q$9:$W$38,COLUMN(AD58)-COLUMN($E$5),1)&gt;0,INDEX('Surface DEET'!$Q$9:$W$38,COLUMN(AD58)-COLUMN($E$5),1),$E65),0)</f>
        <v>0</v>
      </c>
      <c r="AE65" s="250">
        <f>IF(AE$6=$C65,IF(INDEX('Surface DEET'!$Q$9:$W$38,COLUMN(AE58)-COLUMN($E$5),1)&gt;0,INDEX('Surface DEET'!$Q$9:$W$38,COLUMN(AE58)-COLUMN($E$5),1),$E65),0)</f>
        <v>0</v>
      </c>
      <c r="AF65" s="250">
        <f>IF(AF$6=$C65,IF(INDEX('Surface DEET'!$Q$9:$W$38,COLUMN(AF58)-COLUMN($E$5),1)&gt;0,INDEX('Surface DEET'!$Q$9:$W$38,COLUMN(AF58)-COLUMN($E$5),1),$E65),0)</f>
        <v>0</v>
      </c>
      <c r="AG65" s="250">
        <f>IF(AG$6=$C65,IF(INDEX('Surface DEET'!$Q$9:$W$38,COLUMN(AG58)-COLUMN($E$5),1)&gt;0,INDEX('Surface DEET'!$Q$9:$W$38,COLUMN(AG58)-COLUMN($E$5),1),$E65),0)</f>
        <v>0</v>
      </c>
      <c r="AH65" s="250">
        <f>IF(AH$6=$C65,IF(INDEX('Surface DEET'!$Q$9:$W$38,COLUMN(AH58)-COLUMN($E$5),1)&gt;0,INDEX('Surface DEET'!$Q$9:$W$38,COLUMN(AH58)-COLUMN($E$5),1),$E65),0)</f>
        <v>0</v>
      </c>
      <c r="AI65" s="250">
        <f>IF(AI$6=$C65,IF(INDEX('Surface DEET'!$Q$9:$W$38,COLUMN(AI58)-COLUMN($E$5),1)&gt;0,INDEX('Surface DEET'!$Q$9:$W$38,COLUMN(AI58)-COLUMN($E$5),1),$E65),0)</f>
        <v>0</v>
      </c>
    </row>
    <row r="66" spans="1:35">
      <c r="A66" s="691"/>
      <c r="B66" s="250" t="s">
        <v>540</v>
      </c>
      <c r="C66" s="30" t="s">
        <v>599</v>
      </c>
      <c r="D66" s="296" t="s">
        <v>601</v>
      </c>
      <c r="E66" s="299">
        <v>16</v>
      </c>
      <c r="F66" s="250">
        <f>IF(F$6=$C66,IF(INDEX('Surface DEET'!$Q$9:$W$38,COLUMN(F59)-COLUMN($E$5),4)&gt;0,INDEX('Surface DEET'!$Q$9:$W$38,COLUMN(F59)-COLUMN($E$5),4),$E66),0)</f>
        <v>0</v>
      </c>
      <c r="G66" s="250">
        <f>IF(G$6=$C66,IF(INDEX('Surface DEET'!$Q$9:$W$38,COLUMN(G59)-COLUMN($E$5),4)&gt;0,INDEX('Surface DEET'!$Q$9:$W$38,COLUMN(G59)-COLUMN($E$5),4),$E66),0)</f>
        <v>0</v>
      </c>
      <c r="H66" s="250">
        <f>IF(H$6=$C66,IF(INDEX('Surface DEET'!$Q$9:$W$38,COLUMN(H59)-COLUMN($E$5),4)&gt;0,INDEX('Surface DEET'!$Q$9:$W$38,COLUMN(H59)-COLUMN($E$5),4),$E66),0)</f>
        <v>0</v>
      </c>
      <c r="I66" s="250">
        <f>IF(I$6=$C66,IF(INDEX('Surface DEET'!$Q$9:$W$38,COLUMN(I59)-COLUMN($E$5),4)&gt;0,INDEX('Surface DEET'!$Q$9:$W$38,COLUMN(I59)-COLUMN($E$5),4),$E66),0)</f>
        <v>0</v>
      </c>
      <c r="J66" s="250">
        <f>IF(J$6=$C66,IF(INDEX('Surface DEET'!$Q$9:$W$38,COLUMN(J59)-COLUMN($E$5),4)&gt;0,INDEX('Surface DEET'!$Q$9:$W$38,COLUMN(J59)-COLUMN($E$5),4),$E66),0)</f>
        <v>0</v>
      </c>
      <c r="K66" s="250">
        <f>IF(K$6=$C66,IF(INDEX('Surface DEET'!$Q$9:$W$38,COLUMN(K59)-COLUMN($E$5),4)&gt;0,INDEX('Surface DEET'!$Q$9:$W$38,COLUMN(K59)-COLUMN($E$5),4),$E66),0)</f>
        <v>0</v>
      </c>
      <c r="L66" s="250">
        <f>IF(L$6=$C66,IF(INDEX('Surface DEET'!$Q$9:$W$38,COLUMN(L59)-COLUMN($E$5),4)&gt;0,INDEX('Surface DEET'!$Q$9:$W$38,COLUMN(L59)-COLUMN($E$5),4),$E66),0)</f>
        <v>0</v>
      </c>
      <c r="M66" s="250">
        <f>IF(M$6=$C66,IF(INDEX('Surface DEET'!$Q$9:$W$38,COLUMN(M59)-COLUMN($E$5),4)&gt;0,INDEX('Surface DEET'!$Q$9:$W$38,COLUMN(M59)-COLUMN($E$5),4),$E66),0)</f>
        <v>0</v>
      </c>
      <c r="N66" s="250">
        <f>IF(N$6=$C66,IF(INDEX('Surface DEET'!$Q$9:$W$38,COLUMN(N59)-COLUMN($E$5),4)&gt;0,INDEX('Surface DEET'!$Q$9:$W$38,COLUMN(N59)-COLUMN($E$5),4),$E66),0)</f>
        <v>0</v>
      </c>
      <c r="O66" s="250">
        <f>IF(O$6=$C66,IF(INDEX('Surface DEET'!$Q$9:$W$38,COLUMN(O59)-COLUMN($E$5),4)&gt;0,INDEX('Surface DEET'!$Q$9:$W$38,COLUMN(O59)-COLUMN($E$5),4),$E66),0)</f>
        <v>0</v>
      </c>
      <c r="P66" s="250">
        <f>IF(P$6=$C66,IF(INDEX('Surface DEET'!$Q$9:$W$38,COLUMN(P59)-COLUMN($E$5),4)&gt;0,INDEX('Surface DEET'!$Q$9:$W$38,COLUMN(P59)-COLUMN($E$5),4),$E66),0)</f>
        <v>0</v>
      </c>
      <c r="Q66" s="250">
        <f>IF(Q$6=$C66,IF(INDEX('Surface DEET'!$Q$9:$W$38,COLUMN(Q59)-COLUMN($E$5),4)&gt;0,INDEX('Surface DEET'!$Q$9:$W$38,COLUMN(Q59)-COLUMN($E$5),4),$E66),0)</f>
        <v>0</v>
      </c>
      <c r="R66" s="250">
        <f>IF(R$6=$C66,IF(INDEX('Surface DEET'!$Q$9:$W$38,COLUMN(R59)-COLUMN($E$5),4)&gt;0,INDEX('Surface DEET'!$Q$9:$W$38,COLUMN(R59)-COLUMN($E$5),4),$E66),0)</f>
        <v>0</v>
      </c>
      <c r="S66" s="250">
        <f>IF(S$6=$C66,IF(INDEX('Surface DEET'!$Q$9:$W$38,COLUMN(S59)-COLUMN($E$5),4)&gt;0,INDEX('Surface DEET'!$Q$9:$W$38,COLUMN(S59)-COLUMN($E$5),4),$E66),0)</f>
        <v>0</v>
      </c>
      <c r="T66" s="250">
        <f>IF(T$6=$C66,IF(INDEX('Surface DEET'!$Q$9:$W$38,COLUMN(T59)-COLUMN($E$5),4)&gt;0,INDEX('Surface DEET'!$Q$9:$W$38,COLUMN(T59)-COLUMN($E$5),4),$E66),0)</f>
        <v>0</v>
      </c>
      <c r="U66" s="250">
        <f>IF(U$6=$C66,IF(INDEX('Surface DEET'!$Q$9:$W$38,COLUMN(U59)-COLUMN($E$5),4)&gt;0,INDEX('Surface DEET'!$Q$9:$W$38,COLUMN(U59)-COLUMN($E$5),4),$E66),0)</f>
        <v>0</v>
      </c>
      <c r="V66" s="250">
        <f>IF(V$6=$C66,IF(INDEX('Surface DEET'!$Q$9:$W$38,COLUMN(V59)-COLUMN($E$5),4)&gt;0,INDEX('Surface DEET'!$Q$9:$W$38,COLUMN(V59)-COLUMN($E$5),4),$E66),0)</f>
        <v>0</v>
      </c>
      <c r="W66" s="250">
        <f>IF(W$6=$C66,IF(INDEX('Surface DEET'!$Q$9:$W$38,COLUMN(W59)-COLUMN($E$5),4)&gt;0,INDEX('Surface DEET'!$Q$9:$W$38,COLUMN(W59)-COLUMN($E$5),4),$E66),0)</f>
        <v>0</v>
      </c>
      <c r="X66" s="250">
        <f>IF(X$6=$C66,IF(INDEX('Surface DEET'!$Q$9:$W$38,COLUMN(X59)-COLUMN($E$5),4)&gt;0,INDEX('Surface DEET'!$Q$9:$W$38,COLUMN(X59)-COLUMN($E$5),4),$E66),0)</f>
        <v>0</v>
      </c>
      <c r="Y66" s="250">
        <f>IF(Y$6=$C66,IF(INDEX('Surface DEET'!$Q$9:$W$38,COLUMN(Y59)-COLUMN($E$5),4)&gt;0,INDEX('Surface DEET'!$Q$9:$W$38,COLUMN(Y59)-COLUMN($E$5),4),$E66),0)</f>
        <v>0</v>
      </c>
      <c r="Z66" s="250">
        <f>IF(Z$6=$C66,IF(INDEX('Surface DEET'!$Q$9:$W$38,COLUMN(Z59)-COLUMN($E$5),4)&gt;0,INDEX('Surface DEET'!$Q$9:$W$38,COLUMN(Z59)-COLUMN($E$5),4),$E66),0)</f>
        <v>0</v>
      </c>
      <c r="AA66" s="250">
        <f>IF(AA$6=$C66,IF(INDEX('Surface DEET'!$Q$9:$W$38,COLUMN(AA59)-COLUMN($E$5),4)&gt;0,INDEX('Surface DEET'!$Q$9:$W$38,COLUMN(AA59)-COLUMN($E$5),4),$E66),0)</f>
        <v>0</v>
      </c>
      <c r="AB66" s="250">
        <f>IF(AB$6=$C66,IF(INDEX('Surface DEET'!$Q$9:$W$38,COLUMN(AB59)-COLUMN($E$5),4)&gt;0,INDEX('Surface DEET'!$Q$9:$W$38,COLUMN(AB59)-COLUMN($E$5),4),$E66),0)</f>
        <v>0</v>
      </c>
      <c r="AC66" s="250">
        <f>IF(AC$6=$C66,IF(INDEX('Surface DEET'!$Q$9:$W$38,COLUMN(AC59)-COLUMN($E$5),4)&gt;0,INDEX('Surface DEET'!$Q$9:$W$38,COLUMN(AC59)-COLUMN($E$5),4),$E66),0)</f>
        <v>0</v>
      </c>
      <c r="AD66" s="250">
        <f>IF(AD$6=$C66,IF(INDEX('Surface DEET'!$Q$9:$W$38,COLUMN(AD59)-COLUMN($E$5),4)&gt;0,INDEX('Surface DEET'!$Q$9:$W$38,COLUMN(AD59)-COLUMN($E$5),4),$E66),0)</f>
        <v>0</v>
      </c>
      <c r="AE66" s="250">
        <f>IF(AE$6=$C66,IF(INDEX('Surface DEET'!$Q$9:$W$38,COLUMN(AE59)-COLUMN($E$5),4)&gt;0,INDEX('Surface DEET'!$Q$9:$W$38,COLUMN(AE59)-COLUMN($E$5),4),$E66),0)</f>
        <v>0</v>
      </c>
      <c r="AF66" s="250">
        <f>IF(AF$6=$C66,IF(INDEX('Surface DEET'!$Q$9:$W$38,COLUMN(AF59)-COLUMN($E$5),4)&gt;0,INDEX('Surface DEET'!$Q$9:$W$38,COLUMN(AF59)-COLUMN($E$5),4),$E66),0)</f>
        <v>0</v>
      </c>
      <c r="AG66" s="250">
        <f>IF(AG$6=$C66,IF(INDEX('Surface DEET'!$Q$9:$W$38,COLUMN(AG59)-COLUMN($E$5),4)&gt;0,INDEX('Surface DEET'!$Q$9:$W$38,COLUMN(AG59)-COLUMN($E$5),4),$E66),0)</f>
        <v>0</v>
      </c>
      <c r="AH66" s="250">
        <f>IF(AH$6=$C66,IF(INDEX('Surface DEET'!$Q$9:$W$38,COLUMN(AH59)-COLUMN($E$5),4)&gt;0,INDEX('Surface DEET'!$Q$9:$W$38,COLUMN(AH59)-COLUMN($E$5),4),$E66),0)</f>
        <v>0</v>
      </c>
      <c r="AI66" s="250">
        <f>IF(AI$6=$C66,IF(INDEX('Surface DEET'!$Q$9:$W$38,COLUMN(AI59)-COLUMN($E$5),4)&gt;0,INDEX('Surface DEET'!$Q$9:$W$38,COLUMN(AI59)-COLUMN($E$5),4),$E66),0)</f>
        <v>0</v>
      </c>
    </row>
    <row r="67" spans="1:35">
      <c r="A67" s="691"/>
      <c r="B67" s="250" t="s">
        <v>543</v>
      </c>
      <c r="C67" s="30" t="s">
        <v>599</v>
      </c>
      <c r="D67" s="296"/>
      <c r="E67" s="299"/>
    </row>
    <row r="68" spans="1:35">
      <c r="A68" s="691"/>
      <c r="B68" s="250" t="s">
        <v>602</v>
      </c>
      <c r="C68" s="30" t="s">
        <v>599</v>
      </c>
      <c r="D68" s="296" t="s">
        <v>603</v>
      </c>
      <c r="E68" s="299">
        <v>701</v>
      </c>
    </row>
    <row r="69" spans="1:35">
      <c r="A69" s="691"/>
      <c r="B69" s="250" t="s">
        <v>604</v>
      </c>
      <c r="C69" s="30" t="s">
        <v>599</v>
      </c>
      <c r="D69" s="296" t="s">
        <v>605</v>
      </c>
      <c r="E69" s="299">
        <v>6.3</v>
      </c>
    </row>
    <row r="70" spans="1:35" ht="15.75" customHeight="1">
      <c r="A70" s="691"/>
      <c r="B70" s="250" t="s">
        <v>606</v>
      </c>
      <c r="C70" s="30" t="s">
        <v>599</v>
      </c>
      <c r="D70" s="296" t="s">
        <v>607</v>
      </c>
      <c r="E70" s="299">
        <v>118</v>
      </c>
    </row>
    <row r="71" spans="1:35" ht="15.75" customHeight="1">
      <c r="A71" s="88"/>
      <c r="B71" s="250" t="s">
        <v>533</v>
      </c>
      <c r="C71" s="30" t="s">
        <v>599</v>
      </c>
      <c r="D71" s="250" t="s">
        <v>533</v>
      </c>
      <c r="F71" s="250">
        <f>IFERROR($E$62*(F65/$E$65)*($E$64*(F66/100*$E$68+(1-F66/100)*$E$69)/$E$70+(1-$E$64))+0.28*$E$61*(F65-$E$65)/$E$65,0)</f>
        <v>-14.280000000000001</v>
      </c>
      <c r="G71" s="250">
        <f t="shared" ref="G71:AI71" si="7">IFERROR($E$62*(G65/$E$65)*($E$64*(G66/100*$E$68+(1-G66/100)*$E$69)/$E$70+(1-$E$64))+0.28*$E$61*(G65-$E$65)/$E$65,0)</f>
        <v>-14.280000000000001</v>
      </c>
      <c r="H71" s="250">
        <f t="shared" si="7"/>
        <v>-14.280000000000001</v>
      </c>
      <c r="I71" s="250">
        <f t="shared" si="7"/>
        <v>-14.280000000000001</v>
      </c>
      <c r="J71" s="250">
        <f t="shared" si="7"/>
        <v>-14.280000000000001</v>
      </c>
      <c r="K71" s="250">
        <f t="shared" si="7"/>
        <v>-14.280000000000001</v>
      </c>
      <c r="L71" s="250">
        <f t="shared" si="7"/>
        <v>-14.280000000000001</v>
      </c>
      <c r="M71" s="250">
        <f t="shared" si="7"/>
        <v>-14.280000000000001</v>
      </c>
      <c r="N71" s="250">
        <f t="shared" si="7"/>
        <v>-14.280000000000001</v>
      </c>
      <c r="O71" s="250">
        <f t="shared" si="7"/>
        <v>-14.280000000000001</v>
      </c>
      <c r="P71" s="250">
        <f t="shared" si="7"/>
        <v>-14.280000000000001</v>
      </c>
      <c r="Q71" s="250">
        <f t="shared" si="7"/>
        <v>-14.280000000000001</v>
      </c>
      <c r="R71" s="250">
        <f t="shared" si="7"/>
        <v>-14.280000000000001</v>
      </c>
      <c r="S71" s="250">
        <f t="shared" si="7"/>
        <v>-14.280000000000001</v>
      </c>
      <c r="T71" s="250">
        <f t="shared" si="7"/>
        <v>-14.280000000000001</v>
      </c>
      <c r="U71" s="250">
        <f t="shared" si="7"/>
        <v>-14.280000000000001</v>
      </c>
      <c r="V71" s="250">
        <f t="shared" si="7"/>
        <v>-14.280000000000001</v>
      </c>
      <c r="W71" s="250">
        <f t="shared" si="7"/>
        <v>-14.280000000000001</v>
      </c>
      <c r="X71" s="250">
        <f t="shared" si="7"/>
        <v>-14.280000000000001</v>
      </c>
      <c r="Y71" s="250">
        <f t="shared" si="7"/>
        <v>-14.280000000000001</v>
      </c>
      <c r="Z71" s="250">
        <f t="shared" si="7"/>
        <v>-14.280000000000001</v>
      </c>
      <c r="AA71" s="250">
        <f t="shared" si="7"/>
        <v>-14.280000000000001</v>
      </c>
      <c r="AB71" s="250">
        <f t="shared" si="7"/>
        <v>-14.280000000000001</v>
      </c>
      <c r="AC71" s="250">
        <f t="shared" si="7"/>
        <v>-14.280000000000001</v>
      </c>
      <c r="AD71" s="250">
        <f t="shared" si="7"/>
        <v>-14.280000000000001</v>
      </c>
      <c r="AE71" s="250">
        <f t="shared" si="7"/>
        <v>-14.280000000000001</v>
      </c>
      <c r="AF71" s="250">
        <f t="shared" si="7"/>
        <v>-14.280000000000001</v>
      </c>
      <c r="AG71" s="250">
        <f t="shared" si="7"/>
        <v>-14.280000000000001</v>
      </c>
      <c r="AH71" s="250">
        <f t="shared" si="7"/>
        <v>-14.280000000000001</v>
      </c>
      <c r="AI71" s="250">
        <f t="shared" si="7"/>
        <v>-14.280000000000001</v>
      </c>
    </row>
    <row r="72" spans="1:35">
      <c r="A72" s="692" t="s">
        <v>608</v>
      </c>
      <c r="B72" s="88" t="s">
        <v>294</v>
      </c>
      <c r="C72" s="30" t="s">
        <v>608</v>
      </c>
      <c r="D72" s="88" t="s">
        <v>294</v>
      </c>
      <c r="E72" s="250">
        <f t="array" ref="E72">INDEX(CABS_CVC!$C$3:$O$894,MATCH(1, (CABS_CVC!$A$3:$A$894=Calculs_CABS!C72)*(CABS_CVC!$B$3:$B$894=Calculs_CABS!$D$2),0),MATCH(Calculs_CABS!$D$1,Liste_CABS!$B$3:$B$15,0))</f>
        <v>60</v>
      </c>
    </row>
    <row r="73" spans="1:35">
      <c r="A73" s="692"/>
      <c r="B73" s="250" t="s">
        <v>534</v>
      </c>
      <c r="C73" s="30" t="s">
        <v>608</v>
      </c>
      <c r="D73" s="250" t="s">
        <v>534</v>
      </c>
      <c r="E73" s="299">
        <v>20</v>
      </c>
    </row>
    <row r="74" spans="1:35">
      <c r="A74" s="692"/>
      <c r="B74" s="250" t="s">
        <v>535</v>
      </c>
      <c r="C74" s="30" t="s">
        <v>608</v>
      </c>
      <c r="D74" s="250" t="s">
        <v>535</v>
      </c>
      <c r="E74" s="250">
        <f>E72+E73</f>
        <v>80</v>
      </c>
    </row>
    <row r="75" spans="1:35">
      <c r="A75" s="692"/>
      <c r="B75" s="250" t="s">
        <v>536</v>
      </c>
      <c r="C75" s="30" t="s">
        <v>608</v>
      </c>
      <c r="D75" s="250" t="s">
        <v>536</v>
      </c>
      <c r="E75" s="250">
        <v>0</v>
      </c>
    </row>
    <row r="76" spans="1:35">
      <c r="A76" s="692"/>
      <c r="B76" s="250" t="s">
        <v>537</v>
      </c>
      <c r="C76" s="30" t="s">
        <v>608</v>
      </c>
      <c r="D76" s="296" t="s">
        <v>583</v>
      </c>
      <c r="E76" s="250">
        <v>8760</v>
      </c>
      <c r="F76" s="250">
        <f>IF(F$6=$C76,IF(INDEX('Surface DEET'!$Q$9:$W$38,COLUMN(F69)-COLUMN($E$5),1)&gt;0,INDEX('Surface DEET'!$Q$9:$W$38,COLUMN(F69)-COLUMN($E$5),1),$E76),0)</f>
        <v>0</v>
      </c>
      <c r="G76" s="250">
        <f>IF(G$6=$C76,IF(INDEX('Surface DEET'!$Q$9:$W$38,COLUMN(G69)-COLUMN($E$5),1)&gt;0,INDEX('Surface DEET'!$Q$9:$W$38,COLUMN(G69)-COLUMN($E$5),1),$E76),0)</f>
        <v>0</v>
      </c>
      <c r="H76" s="250">
        <f>IF(H$6=$C76,IF(INDEX('Surface DEET'!$Q$9:$W$38,COLUMN(H69)-COLUMN($E$5),1)&gt;0,INDEX('Surface DEET'!$Q$9:$W$38,COLUMN(H69)-COLUMN($E$5),1),$E76),0)</f>
        <v>0</v>
      </c>
      <c r="I76" s="250">
        <f>IF(I$6=$C76,IF(INDEX('Surface DEET'!$Q$9:$W$38,COLUMN(I69)-COLUMN($E$5),1)&gt;0,INDEX('Surface DEET'!$Q$9:$W$38,COLUMN(I69)-COLUMN($E$5),1),$E76),0)</f>
        <v>0</v>
      </c>
      <c r="J76" s="250">
        <f>IF(J$6=$C76,IF(INDEX('Surface DEET'!$Q$9:$W$38,COLUMN(J69)-COLUMN($E$5),1)&gt;0,INDEX('Surface DEET'!$Q$9:$W$38,COLUMN(J69)-COLUMN($E$5),1),$E76),0)</f>
        <v>0</v>
      </c>
      <c r="K76" s="250">
        <f>IF(K$6=$C76,IF(INDEX('Surface DEET'!$Q$9:$W$38,COLUMN(K69)-COLUMN($E$5),1)&gt;0,INDEX('Surface DEET'!$Q$9:$W$38,COLUMN(K69)-COLUMN($E$5),1),$E76),0)</f>
        <v>0</v>
      </c>
      <c r="L76" s="250">
        <f>IF(L$6=$C76,IF(INDEX('Surface DEET'!$Q$9:$W$38,COLUMN(L69)-COLUMN($E$5),1)&gt;0,INDEX('Surface DEET'!$Q$9:$W$38,COLUMN(L69)-COLUMN($E$5),1),$E76),0)</f>
        <v>0</v>
      </c>
      <c r="M76" s="250">
        <f>IF(M$6=$C76,IF(INDEX('Surface DEET'!$Q$9:$W$38,COLUMN(M69)-COLUMN($E$5),1)&gt;0,INDEX('Surface DEET'!$Q$9:$W$38,COLUMN(M69)-COLUMN($E$5),1),$E76),0)</f>
        <v>0</v>
      </c>
      <c r="N76" s="250">
        <f>IF(N$6=$C76,IF(INDEX('Surface DEET'!$Q$9:$W$38,COLUMN(N69)-COLUMN($E$5),1)&gt;0,INDEX('Surface DEET'!$Q$9:$W$38,COLUMN(N69)-COLUMN($E$5),1),$E76),0)</f>
        <v>0</v>
      </c>
      <c r="O76" s="250">
        <f>IF(O$6=$C76,IF(INDEX('Surface DEET'!$Q$9:$W$38,COLUMN(O69)-COLUMN($E$5),1)&gt;0,INDEX('Surface DEET'!$Q$9:$W$38,COLUMN(O69)-COLUMN($E$5),1),$E76),0)</f>
        <v>0</v>
      </c>
      <c r="P76" s="250">
        <f>IF(P$6=$C76,IF(INDEX('Surface DEET'!$Q$9:$W$38,COLUMN(P69)-COLUMN($E$5),1)&gt;0,INDEX('Surface DEET'!$Q$9:$W$38,COLUMN(P69)-COLUMN($E$5),1),$E76),0)</f>
        <v>0</v>
      </c>
      <c r="Q76" s="250">
        <f>IF(Q$6=$C76,IF(INDEX('Surface DEET'!$Q$9:$W$38,COLUMN(Q69)-COLUMN($E$5),1)&gt;0,INDEX('Surface DEET'!$Q$9:$W$38,COLUMN(Q69)-COLUMN($E$5),1),$E76),0)</f>
        <v>0</v>
      </c>
      <c r="R76" s="250">
        <f>IF(R$6=$C76,IF(INDEX('Surface DEET'!$Q$9:$W$38,COLUMN(R69)-COLUMN($E$5),1)&gt;0,INDEX('Surface DEET'!$Q$9:$W$38,COLUMN(R69)-COLUMN($E$5),1),$E76),0)</f>
        <v>0</v>
      </c>
      <c r="S76" s="250">
        <f>IF(S$6=$C76,IF(INDEX('Surface DEET'!$Q$9:$W$38,COLUMN(S69)-COLUMN($E$5),1)&gt;0,INDEX('Surface DEET'!$Q$9:$W$38,COLUMN(S69)-COLUMN($E$5),1),$E76),0)</f>
        <v>0</v>
      </c>
      <c r="T76" s="250">
        <f>IF(T$6=$C76,IF(INDEX('Surface DEET'!$Q$9:$W$38,COLUMN(T69)-COLUMN($E$5),1)&gt;0,INDEX('Surface DEET'!$Q$9:$W$38,COLUMN(T69)-COLUMN($E$5),1),$E76),0)</f>
        <v>0</v>
      </c>
      <c r="U76" s="250">
        <f>IF(U$6=$C76,IF(INDEX('Surface DEET'!$Q$9:$W$38,COLUMN(U69)-COLUMN($E$5),1)&gt;0,INDEX('Surface DEET'!$Q$9:$W$38,COLUMN(U69)-COLUMN($E$5),1),$E76),0)</f>
        <v>0</v>
      </c>
      <c r="V76" s="250">
        <f>IF(V$6=$C76,IF(INDEX('Surface DEET'!$Q$9:$W$38,COLUMN(V69)-COLUMN($E$5),1)&gt;0,INDEX('Surface DEET'!$Q$9:$W$38,COLUMN(V69)-COLUMN($E$5),1),$E76),0)</f>
        <v>0</v>
      </c>
      <c r="W76" s="250">
        <f>IF(W$6=$C76,IF(INDEX('Surface DEET'!$Q$9:$W$38,COLUMN(W69)-COLUMN($E$5),1)&gt;0,INDEX('Surface DEET'!$Q$9:$W$38,COLUMN(W69)-COLUMN($E$5),1),$E76),0)</f>
        <v>0</v>
      </c>
      <c r="X76" s="250">
        <f>IF(X$6=$C76,IF(INDEX('Surface DEET'!$Q$9:$W$38,COLUMN(X69)-COLUMN($E$5),1)&gt;0,INDEX('Surface DEET'!$Q$9:$W$38,COLUMN(X69)-COLUMN($E$5),1),$E76),0)</f>
        <v>0</v>
      </c>
      <c r="Y76" s="250">
        <f>IF(Y$6=$C76,IF(INDEX('Surface DEET'!$Q$9:$W$38,COLUMN(Y69)-COLUMN($E$5),1)&gt;0,INDEX('Surface DEET'!$Q$9:$W$38,COLUMN(Y69)-COLUMN($E$5),1),$E76),0)</f>
        <v>0</v>
      </c>
      <c r="Z76" s="250">
        <f>IF(Z$6=$C76,IF(INDEX('Surface DEET'!$Q$9:$W$38,COLUMN(Z69)-COLUMN($E$5),1)&gt;0,INDEX('Surface DEET'!$Q$9:$W$38,COLUMN(Z69)-COLUMN($E$5),1),$E76),0)</f>
        <v>0</v>
      </c>
      <c r="AA76" s="250">
        <f>IF(AA$6=$C76,IF(INDEX('Surface DEET'!$Q$9:$W$38,COLUMN(AA69)-COLUMN($E$5),1)&gt;0,INDEX('Surface DEET'!$Q$9:$W$38,COLUMN(AA69)-COLUMN($E$5),1),$E76),0)</f>
        <v>0</v>
      </c>
      <c r="AB76" s="250">
        <f>IF(AB$6=$C76,IF(INDEX('Surface DEET'!$Q$9:$W$38,COLUMN(AB69)-COLUMN($E$5),1)&gt;0,INDEX('Surface DEET'!$Q$9:$W$38,COLUMN(AB69)-COLUMN($E$5),1),$E76),0)</f>
        <v>0</v>
      </c>
      <c r="AC76" s="250">
        <f>IF(AC$6=$C76,IF(INDEX('Surface DEET'!$Q$9:$W$38,COLUMN(AC69)-COLUMN($E$5),1)&gt;0,INDEX('Surface DEET'!$Q$9:$W$38,COLUMN(AC69)-COLUMN($E$5),1),$E76),0)</f>
        <v>0</v>
      </c>
      <c r="AD76" s="250">
        <f>IF(AD$6=$C76,IF(INDEX('Surface DEET'!$Q$9:$W$38,COLUMN(AD69)-COLUMN($E$5),1)&gt;0,INDEX('Surface DEET'!$Q$9:$W$38,COLUMN(AD69)-COLUMN($E$5),1),$E76),0)</f>
        <v>0</v>
      </c>
      <c r="AE76" s="250">
        <f>IF(AE$6=$C76,IF(INDEX('Surface DEET'!$Q$9:$W$38,COLUMN(AE69)-COLUMN($E$5),1)&gt;0,INDEX('Surface DEET'!$Q$9:$W$38,COLUMN(AE69)-COLUMN($E$5),1),$E76),0)</f>
        <v>0</v>
      </c>
      <c r="AF76" s="250">
        <f>IF(AF$6=$C76,IF(INDEX('Surface DEET'!$Q$9:$W$38,COLUMN(AF69)-COLUMN($E$5),1)&gt;0,INDEX('Surface DEET'!$Q$9:$W$38,COLUMN(AF69)-COLUMN($E$5),1),$E76),0)</f>
        <v>0</v>
      </c>
      <c r="AG76" s="250">
        <f>IF(AG$6=$C76,IF(INDEX('Surface DEET'!$Q$9:$W$38,COLUMN(AG69)-COLUMN($E$5),1)&gt;0,INDEX('Surface DEET'!$Q$9:$W$38,COLUMN(AG69)-COLUMN($E$5),1),$E76),0)</f>
        <v>0</v>
      </c>
      <c r="AH76" s="250">
        <f>IF(AH$6=$C76,IF(INDEX('Surface DEET'!$Q$9:$W$38,COLUMN(AH69)-COLUMN($E$5),1)&gt;0,INDEX('Surface DEET'!$Q$9:$W$38,COLUMN(AH69)-COLUMN($E$5),1),$E76),0)</f>
        <v>0</v>
      </c>
      <c r="AI76" s="250">
        <f>IF(AI$6=$C76,IF(INDEX('Surface DEET'!$Q$9:$W$38,COLUMN(AI69)-COLUMN($E$5),1)&gt;0,INDEX('Surface DEET'!$Q$9:$W$38,COLUMN(AI69)-COLUMN($E$5),1),$E76),0)</f>
        <v>0</v>
      </c>
    </row>
    <row r="77" spans="1:35">
      <c r="A77" s="692"/>
      <c r="B77" s="250" t="s">
        <v>533</v>
      </c>
      <c r="C77" s="30" t="s">
        <v>608</v>
      </c>
      <c r="D77" s="250" t="s">
        <v>533</v>
      </c>
      <c r="F77" s="250">
        <f>$E$73*(F76/$E$76)+0.28*$E$72*(F76-$E$76)/$E$76</f>
        <v>-16.8</v>
      </c>
      <c r="G77" s="250">
        <f>$E$73*(G76/$E$76)+0.28*$E$72*(G76-$E$76)/$E$76</f>
        <v>-16.8</v>
      </c>
      <c r="H77" s="250">
        <f t="shared" ref="H77:AI77" si="8">$E$73*(H76/$E$76)+0.28*$E$72*(H76-$E$76)/$E$76</f>
        <v>-16.8</v>
      </c>
      <c r="I77" s="250">
        <f t="shared" si="8"/>
        <v>-16.8</v>
      </c>
      <c r="J77" s="250">
        <f t="shared" si="8"/>
        <v>-16.8</v>
      </c>
      <c r="K77" s="250">
        <f t="shared" si="8"/>
        <v>-16.8</v>
      </c>
      <c r="L77" s="250">
        <f t="shared" si="8"/>
        <v>-16.8</v>
      </c>
      <c r="M77" s="250">
        <f t="shared" si="8"/>
        <v>-16.8</v>
      </c>
      <c r="N77" s="250">
        <f t="shared" si="8"/>
        <v>-16.8</v>
      </c>
      <c r="O77" s="250">
        <f t="shared" si="8"/>
        <v>-16.8</v>
      </c>
      <c r="P77" s="250">
        <f t="shared" si="8"/>
        <v>-16.8</v>
      </c>
      <c r="Q77" s="250">
        <f t="shared" si="8"/>
        <v>-16.8</v>
      </c>
      <c r="R77" s="250">
        <f t="shared" si="8"/>
        <v>-16.8</v>
      </c>
      <c r="S77" s="250">
        <f t="shared" si="8"/>
        <v>-16.8</v>
      </c>
      <c r="T77" s="250">
        <f t="shared" si="8"/>
        <v>-16.8</v>
      </c>
      <c r="U77" s="250">
        <f t="shared" si="8"/>
        <v>-16.8</v>
      </c>
      <c r="V77" s="250">
        <f t="shared" si="8"/>
        <v>-16.8</v>
      </c>
      <c r="W77" s="250">
        <f t="shared" si="8"/>
        <v>-16.8</v>
      </c>
      <c r="X77" s="250">
        <f t="shared" si="8"/>
        <v>-16.8</v>
      </c>
      <c r="Y77" s="250">
        <f t="shared" si="8"/>
        <v>-16.8</v>
      </c>
      <c r="Z77" s="250">
        <f t="shared" si="8"/>
        <v>-16.8</v>
      </c>
      <c r="AA77" s="250">
        <f t="shared" si="8"/>
        <v>-16.8</v>
      </c>
      <c r="AB77" s="250">
        <f t="shared" si="8"/>
        <v>-16.8</v>
      </c>
      <c r="AC77" s="250">
        <f t="shared" si="8"/>
        <v>-16.8</v>
      </c>
      <c r="AD77" s="250">
        <f t="shared" si="8"/>
        <v>-16.8</v>
      </c>
      <c r="AE77" s="250">
        <f t="shared" si="8"/>
        <v>-16.8</v>
      </c>
      <c r="AF77" s="250">
        <f t="shared" si="8"/>
        <v>-16.8</v>
      </c>
      <c r="AG77" s="250">
        <f t="shared" si="8"/>
        <v>-16.8</v>
      </c>
      <c r="AH77" s="250">
        <f t="shared" si="8"/>
        <v>-16.8</v>
      </c>
      <c r="AI77" s="250">
        <f t="shared" si="8"/>
        <v>-16.8</v>
      </c>
    </row>
    <row r="78" spans="1:35">
      <c r="A78" s="691" t="s">
        <v>609</v>
      </c>
      <c r="B78" s="88" t="s">
        <v>294</v>
      </c>
      <c r="C78" s="250" t="s">
        <v>609</v>
      </c>
      <c r="D78" s="88" t="s">
        <v>294</v>
      </c>
      <c r="E78" s="250">
        <f t="array" ref="E78">INDEX(CABS_CVC!$C$3:$O$894,MATCH(1, (CABS_CVC!$A$3:$A$894=Calculs_CABS!C78)*(CABS_CVC!$B$3:$B$894=Calculs_CABS!$D$2),0),MATCH(Calculs_CABS!$D$1,Liste_CABS!$B$3:$B$15,0))</f>
        <v>66</v>
      </c>
    </row>
    <row r="79" spans="1:35">
      <c r="A79" s="691"/>
      <c r="B79" s="250" t="s">
        <v>534</v>
      </c>
      <c r="C79" s="250" t="s">
        <v>609</v>
      </c>
      <c r="D79" s="250" t="s">
        <v>534</v>
      </c>
      <c r="E79" s="250">
        <v>73</v>
      </c>
    </row>
    <row r="80" spans="1:35">
      <c r="A80" s="691"/>
      <c r="B80" s="250" t="s">
        <v>535</v>
      </c>
      <c r="C80" s="250" t="s">
        <v>609</v>
      </c>
      <c r="D80" s="250" t="s">
        <v>535</v>
      </c>
      <c r="E80" s="250">
        <f>E78+E79</f>
        <v>139</v>
      </c>
    </row>
    <row r="81" spans="1:35">
      <c r="A81" s="691"/>
      <c r="B81" s="250" t="s">
        <v>536</v>
      </c>
      <c r="C81" s="250" t="s">
        <v>609</v>
      </c>
      <c r="D81" s="250" t="s">
        <v>536</v>
      </c>
      <c r="E81" s="250">
        <v>0.74</v>
      </c>
    </row>
    <row r="82" spans="1:35">
      <c r="A82" s="691"/>
      <c r="B82" s="250" t="s">
        <v>537</v>
      </c>
      <c r="C82" s="250" t="s">
        <v>609</v>
      </c>
      <c r="D82" s="296" t="s">
        <v>583</v>
      </c>
      <c r="E82" s="250">
        <v>8760</v>
      </c>
      <c r="F82" s="250">
        <f>IF(F$6=$C82,IF(INDEX('Surface DEET'!$Q$9:$W$38,COLUMN(F75)-COLUMN($E$5),1)&gt;0,INDEX('Surface DEET'!$Q$9:$W$38,COLUMN(F75)-COLUMN($E$5),1),$E82),0)</f>
        <v>0</v>
      </c>
      <c r="G82" s="250">
        <f>IF(G$6=$C82,IF(INDEX('Surface DEET'!$Q$9:$W$38,COLUMN(G75)-COLUMN($E$5),1)&gt;0,INDEX('Surface DEET'!$Q$9:$W$38,COLUMN(G75)-COLUMN($E$5),1),$E82),0)</f>
        <v>0</v>
      </c>
      <c r="H82" s="250">
        <f>IF(H$6=$C82,IF(INDEX('Surface DEET'!$Q$9:$W$38,COLUMN(H75)-COLUMN($E$5),1)&gt;0,INDEX('Surface DEET'!$Q$9:$W$38,COLUMN(H75)-COLUMN($E$5),1),$E82),0)</f>
        <v>0</v>
      </c>
      <c r="I82" s="250">
        <f>IF(I$6=$C82,IF(INDEX('Surface DEET'!$Q$9:$W$38,COLUMN(I75)-COLUMN($E$5),1)&gt;0,INDEX('Surface DEET'!$Q$9:$W$38,COLUMN(I75)-COLUMN($E$5),1),$E82),0)</f>
        <v>0</v>
      </c>
      <c r="J82" s="250">
        <f>IF(J$6=$C82,IF(INDEX('Surface DEET'!$Q$9:$W$38,COLUMN(J75)-COLUMN($E$5),1)&gt;0,INDEX('Surface DEET'!$Q$9:$W$38,COLUMN(J75)-COLUMN($E$5),1),$E82),0)</f>
        <v>0</v>
      </c>
      <c r="K82" s="250">
        <f>IF(K$6=$C82,IF(INDEX('Surface DEET'!$Q$9:$W$38,COLUMN(K75)-COLUMN($E$5),1)&gt;0,INDEX('Surface DEET'!$Q$9:$W$38,COLUMN(K75)-COLUMN($E$5),1),$E82),0)</f>
        <v>0</v>
      </c>
      <c r="L82" s="250">
        <f>IF(L$6=$C82,IF(INDEX('Surface DEET'!$Q$9:$W$38,COLUMN(L75)-COLUMN($E$5),1)&gt;0,INDEX('Surface DEET'!$Q$9:$W$38,COLUMN(L75)-COLUMN($E$5),1),$E82),0)</f>
        <v>0</v>
      </c>
      <c r="M82" s="250">
        <f>IF(M$6=$C82,IF(INDEX('Surface DEET'!$Q$9:$W$38,COLUMN(M75)-COLUMN($E$5),1)&gt;0,INDEX('Surface DEET'!$Q$9:$W$38,COLUMN(M75)-COLUMN($E$5),1),$E82),0)</f>
        <v>0</v>
      </c>
      <c r="N82" s="250">
        <f>IF(N$6=$C82,IF(INDEX('Surface DEET'!$Q$9:$W$38,COLUMN(N75)-COLUMN($E$5),1)&gt;0,INDEX('Surface DEET'!$Q$9:$W$38,COLUMN(N75)-COLUMN($E$5),1),$E82),0)</f>
        <v>0</v>
      </c>
      <c r="O82" s="250">
        <f>IF(O$6=$C82,IF(INDEX('Surface DEET'!$Q$9:$W$38,COLUMN(O75)-COLUMN($E$5),1)&gt;0,INDEX('Surface DEET'!$Q$9:$W$38,COLUMN(O75)-COLUMN($E$5),1),$E82),0)</f>
        <v>0</v>
      </c>
      <c r="P82" s="250">
        <f>IF(P$6=$C82,IF(INDEX('Surface DEET'!$Q$9:$W$38,COLUMN(P75)-COLUMN($E$5),1)&gt;0,INDEX('Surface DEET'!$Q$9:$W$38,COLUMN(P75)-COLUMN($E$5),1),$E82),0)</f>
        <v>0</v>
      </c>
      <c r="Q82" s="250">
        <f>IF(Q$6=$C82,IF(INDEX('Surface DEET'!$Q$9:$W$38,COLUMN(Q75)-COLUMN($E$5),1)&gt;0,INDEX('Surface DEET'!$Q$9:$W$38,COLUMN(Q75)-COLUMN($E$5),1),$E82),0)</f>
        <v>0</v>
      </c>
      <c r="R82" s="250">
        <f>IF(R$6=$C82,IF(INDEX('Surface DEET'!$Q$9:$W$38,COLUMN(R75)-COLUMN($E$5),1)&gt;0,INDEX('Surface DEET'!$Q$9:$W$38,COLUMN(R75)-COLUMN($E$5),1),$E82),0)</f>
        <v>0</v>
      </c>
      <c r="S82" s="250">
        <f>IF(S$6=$C82,IF(INDEX('Surface DEET'!$Q$9:$W$38,COLUMN(S75)-COLUMN($E$5),1)&gt;0,INDEX('Surface DEET'!$Q$9:$W$38,COLUMN(S75)-COLUMN($E$5),1),$E82),0)</f>
        <v>0</v>
      </c>
      <c r="T82" s="250">
        <f>IF(T$6=$C82,IF(INDEX('Surface DEET'!$Q$9:$W$38,COLUMN(T75)-COLUMN($E$5),1)&gt;0,INDEX('Surface DEET'!$Q$9:$W$38,COLUMN(T75)-COLUMN($E$5),1),$E82),0)</f>
        <v>0</v>
      </c>
      <c r="U82" s="250">
        <f>IF(U$6=$C82,IF(INDEX('Surface DEET'!$Q$9:$W$38,COLUMN(U75)-COLUMN($E$5),1)&gt;0,INDEX('Surface DEET'!$Q$9:$W$38,COLUMN(U75)-COLUMN($E$5),1),$E82),0)</f>
        <v>0</v>
      </c>
      <c r="V82" s="250">
        <f>IF(V$6=$C82,IF(INDEX('Surface DEET'!$Q$9:$W$38,COLUMN(V75)-COLUMN($E$5),1)&gt;0,INDEX('Surface DEET'!$Q$9:$W$38,COLUMN(V75)-COLUMN($E$5),1),$E82),0)</f>
        <v>0</v>
      </c>
      <c r="W82" s="250">
        <f>IF(W$6=$C82,IF(INDEX('Surface DEET'!$Q$9:$W$38,COLUMN(W75)-COLUMN($E$5),1)&gt;0,INDEX('Surface DEET'!$Q$9:$W$38,COLUMN(W75)-COLUMN($E$5),1),$E82),0)</f>
        <v>0</v>
      </c>
      <c r="X82" s="250">
        <f>IF(X$6=$C82,IF(INDEX('Surface DEET'!$Q$9:$W$38,COLUMN(X75)-COLUMN($E$5),1)&gt;0,INDEX('Surface DEET'!$Q$9:$W$38,COLUMN(X75)-COLUMN($E$5),1),$E82),0)</f>
        <v>0</v>
      </c>
      <c r="Y82" s="250">
        <f>IF(Y$6=$C82,IF(INDEX('Surface DEET'!$Q$9:$W$38,COLUMN(Y75)-COLUMN($E$5),1)&gt;0,INDEX('Surface DEET'!$Q$9:$W$38,COLUMN(Y75)-COLUMN($E$5),1),$E82),0)</f>
        <v>0</v>
      </c>
      <c r="Z82" s="250">
        <f>IF(Z$6=$C82,IF(INDEX('Surface DEET'!$Q$9:$W$38,COLUMN(Z75)-COLUMN($E$5),1)&gt;0,INDEX('Surface DEET'!$Q$9:$W$38,COLUMN(Z75)-COLUMN($E$5),1),$E82),0)</f>
        <v>0</v>
      </c>
      <c r="AA82" s="250">
        <f>IF(AA$6=$C82,IF(INDEX('Surface DEET'!$Q$9:$W$38,COLUMN(AA75)-COLUMN($E$5),1)&gt;0,INDEX('Surface DEET'!$Q$9:$W$38,COLUMN(AA75)-COLUMN($E$5),1),$E82),0)</f>
        <v>0</v>
      </c>
      <c r="AB82" s="250">
        <f>IF(AB$6=$C82,IF(INDEX('Surface DEET'!$Q$9:$W$38,COLUMN(AB75)-COLUMN($E$5),1)&gt;0,INDEX('Surface DEET'!$Q$9:$W$38,COLUMN(AB75)-COLUMN($E$5),1),$E82),0)</f>
        <v>0</v>
      </c>
      <c r="AC82" s="250">
        <f>IF(AC$6=$C82,IF(INDEX('Surface DEET'!$Q$9:$W$38,COLUMN(AC75)-COLUMN($E$5),1)&gt;0,INDEX('Surface DEET'!$Q$9:$W$38,COLUMN(AC75)-COLUMN($E$5),1),$E82),0)</f>
        <v>0</v>
      </c>
      <c r="AD82" s="250">
        <f>IF(AD$6=$C82,IF(INDEX('Surface DEET'!$Q$9:$W$38,COLUMN(AD75)-COLUMN($E$5),1)&gt;0,INDEX('Surface DEET'!$Q$9:$W$38,COLUMN(AD75)-COLUMN($E$5),1),$E82),0)</f>
        <v>0</v>
      </c>
      <c r="AE82" s="250">
        <f>IF(AE$6=$C82,IF(INDEX('Surface DEET'!$Q$9:$W$38,COLUMN(AE75)-COLUMN($E$5),1)&gt;0,INDEX('Surface DEET'!$Q$9:$W$38,COLUMN(AE75)-COLUMN($E$5),1),$E82),0)</f>
        <v>0</v>
      </c>
      <c r="AF82" s="250">
        <f>IF(AF$6=$C82,IF(INDEX('Surface DEET'!$Q$9:$W$38,COLUMN(AF75)-COLUMN($E$5),1)&gt;0,INDEX('Surface DEET'!$Q$9:$W$38,COLUMN(AF75)-COLUMN($E$5),1),$E82),0)</f>
        <v>0</v>
      </c>
      <c r="AG82" s="250">
        <f>IF(AG$6=$C82,IF(INDEX('Surface DEET'!$Q$9:$W$38,COLUMN(AG75)-COLUMN($E$5),1)&gt;0,INDEX('Surface DEET'!$Q$9:$W$38,COLUMN(AG75)-COLUMN($E$5),1),$E82),0)</f>
        <v>0</v>
      </c>
      <c r="AH82" s="250">
        <f>IF(AH$6=$C82,IF(INDEX('Surface DEET'!$Q$9:$W$38,COLUMN(AH75)-COLUMN($E$5),1)&gt;0,INDEX('Surface DEET'!$Q$9:$W$38,COLUMN(AH75)-COLUMN($E$5),1),$E82),0)</f>
        <v>0</v>
      </c>
      <c r="AI82" s="250">
        <f>IF(AI$6=$C82,IF(INDEX('Surface DEET'!$Q$9:$W$38,COLUMN(AI75)-COLUMN($E$5),1)&gt;0,INDEX('Surface DEET'!$Q$9:$W$38,COLUMN(AI75)-COLUMN($E$5),1),$E82),0)</f>
        <v>0</v>
      </c>
    </row>
    <row r="83" spans="1:35">
      <c r="A83" s="691"/>
      <c r="B83" s="250" t="s">
        <v>540</v>
      </c>
      <c r="C83" s="250" t="s">
        <v>609</v>
      </c>
      <c r="D83" s="298" t="s">
        <v>594</v>
      </c>
      <c r="E83" s="298">
        <v>23</v>
      </c>
      <c r="F83" s="250">
        <f>IF(F$6=$C83,IF(INDEX('Surface DEET'!$Q$9:$W$38,COLUMN(F76)-COLUMN($E$5),4)&gt;0,INDEX('Surface DEET'!$Q$9:$W$38,COLUMN(F76)-COLUMN($E$5),4),$E83),0)</f>
        <v>0</v>
      </c>
      <c r="G83" s="250">
        <f>IF(G$6=$C83,IF(INDEX('Surface DEET'!$Q$9:$W$38,COLUMN(G76)-COLUMN($E$5),4)&gt;0,INDEX('Surface DEET'!$Q$9:$W$38,COLUMN(G76)-COLUMN($E$5),4),$E83),0)</f>
        <v>0</v>
      </c>
      <c r="H83" s="250">
        <f>IF(H$6=$C83,IF(INDEX('Surface DEET'!$Q$9:$W$38,COLUMN(H76)-COLUMN($E$5),4)&gt;0,INDEX('Surface DEET'!$Q$9:$W$38,COLUMN(H76)-COLUMN($E$5),4),$E83),0)</f>
        <v>0</v>
      </c>
      <c r="I83" s="250">
        <f>IF(I$6=$C83,IF(INDEX('Surface DEET'!$Q$9:$W$38,COLUMN(I76)-COLUMN($E$5),4)&gt;0,INDEX('Surface DEET'!$Q$9:$W$38,COLUMN(I76)-COLUMN($E$5),4),$E83),0)</f>
        <v>0</v>
      </c>
      <c r="J83" s="250">
        <f>IF(J$6=$C83,IF(INDEX('Surface DEET'!$Q$9:$W$38,COLUMN(J76)-COLUMN($E$5),4)&gt;0,INDEX('Surface DEET'!$Q$9:$W$38,COLUMN(J76)-COLUMN($E$5),4),$E83),0)</f>
        <v>0</v>
      </c>
      <c r="K83" s="250">
        <f>IF(K$6=$C83,IF(INDEX('Surface DEET'!$Q$9:$W$38,COLUMN(K76)-COLUMN($E$5),4)&gt;0,INDEX('Surface DEET'!$Q$9:$W$38,COLUMN(K76)-COLUMN($E$5),4),$E83),0)</f>
        <v>0</v>
      </c>
      <c r="L83" s="250">
        <f>IF(L$6=$C83,IF(INDEX('Surface DEET'!$Q$9:$W$38,COLUMN(L76)-COLUMN($E$5),4)&gt;0,INDEX('Surface DEET'!$Q$9:$W$38,COLUMN(L76)-COLUMN($E$5),4),$E83),0)</f>
        <v>0</v>
      </c>
      <c r="M83" s="250">
        <f>IF(M$6=$C83,IF(INDEX('Surface DEET'!$Q$9:$W$38,COLUMN(M76)-COLUMN($E$5),4)&gt;0,INDEX('Surface DEET'!$Q$9:$W$38,COLUMN(M76)-COLUMN($E$5),4),$E83),0)</f>
        <v>0</v>
      </c>
      <c r="N83" s="250">
        <f>IF(N$6=$C83,IF(INDEX('Surface DEET'!$Q$9:$W$38,COLUMN(N76)-COLUMN($E$5),4)&gt;0,INDEX('Surface DEET'!$Q$9:$W$38,COLUMN(N76)-COLUMN($E$5),4),$E83),0)</f>
        <v>0</v>
      </c>
      <c r="O83" s="250">
        <f>IF(O$6=$C83,IF(INDEX('Surface DEET'!$Q$9:$W$38,COLUMN(O76)-COLUMN($E$5),4)&gt;0,INDEX('Surface DEET'!$Q$9:$W$38,COLUMN(O76)-COLUMN($E$5),4),$E83),0)</f>
        <v>0</v>
      </c>
      <c r="P83" s="250">
        <f>IF(P$6=$C83,IF(INDEX('Surface DEET'!$Q$9:$W$38,COLUMN(P76)-COLUMN($E$5),4)&gt;0,INDEX('Surface DEET'!$Q$9:$W$38,COLUMN(P76)-COLUMN($E$5),4),$E83),0)</f>
        <v>0</v>
      </c>
      <c r="Q83" s="250">
        <f>IF(Q$6=$C83,IF(INDEX('Surface DEET'!$Q$9:$W$38,COLUMN(Q76)-COLUMN($E$5),4)&gt;0,INDEX('Surface DEET'!$Q$9:$W$38,COLUMN(Q76)-COLUMN($E$5),4),$E83),0)</f>
        <v>0</v>
      </c>
      <c r="R83" s="250">
        <f>IF(R$6=$C83,IF(INDEX('Surface DEET'!$Q$9:$W$38,COLUMN(R76)-COLUMN($E$5),4)&gt;0,INDEX('Surface DEET'!$Q$9:$W$38,COLUMN(R76)-COLUMN($E$5),4),$E83),0)</f>
        <v>0</v>
      </c>
      <c r="S83" s="250">
        <f>IF(S$6=$C83,IF(INDEX('Surface DEET'!$Q$9:$W$38,COLUMN(S76)-COLUMN($E$5),4)&gt;0,INDEX('Surface DEET'!$Q$9:$W$38,COLUMN(S76)-COLUMN($E$5),4),$E83),0)</f>
        <v>0</v>
      </c>
      <c r="T83" s="250">
        <f>IF(T$6=$C83,IF(INDEX('Surface DEET'!$Q$9:$W$38,COLUMN(T76)-COLUMN($E$5),4)&gt;0,INDEX('Surface DEET'!$Q$9:$W$38,COLUMN(T76)-COLUMN($E$5),4),$E83),0)</f>
        <v>0</v>
      </c>
      <c r="U83" s="250">
        <f>IF(U$6=$C83,IF(INDEX('Surface DEET'!$Q$9:$W$38,COLUMN(U76)-COLUMN($E$5),4)&gt;0,INDEX('Surface DEET'!$Q$9:$W$38,COLUMN(U76)-COLUMN($E$5),4),$E83),0)</f>
        <v>0</v>
      </c>
      <c r="V83" s="250">
        <f>IF(V$6=$C83,IF(INDEX('Surface DEET'!$Q$9:$W$38,COLUMN(V76)-COLUMN($E$5),4)&gt;0,INDEX('Surface DEET'!$Q$9:$W$38,COLUMN(V76)-COLUMN($E$5),4),$E83),0)</f>
        <v>0</v>
      </c>
      <c r="W83" s="250">
        <f>IF(W$6=$C83,IF(INDEX('Surface DEET'!$Q$9:$W$38,COLUMN(W76)-COLUMN($E$5),4)&gt;0,INDEX('Surface DEET'!$Q$9:$W$38,COLUMN(W76)-COLUMN($E$5),4),$E83),0)</f>
        <v>0</v>
      </c>
      <c r="X83" s="250">
        <f>IF(X$6=$C83,IF(INDEX('Surface DEET'!$Q$9:$W$38,COLUMN(X76)-COLUMN($E$5),4)&gt;0,INDEX('Surface DEET'!$Q$9:$W$38,COLUMN(X76)-COLUMN($E$5),4),$E83),0)</f>
        <v>0</v>
      </c>
      <c r="Y83" s="250">
        <f>IF(Y$6=$C83,IF(INDEX('Surface DEET'!$Q$9:$W$38,COLUMN(Y76)-COLUMN($E$5),4)&gt;0,INDEX('Surface DEET'!$Q$9:$W$38,COLUMN(Y76)-COLUMN($E$5),4),$E83),0)</f>
        <v>0</v>
      </c>
      <c r="Z83" s="250">
        <f>IF(Z$6=$C83,IF(INDEX('Surface DEET'!$Q$9:$W$38,COLUMN(Z76)-COLUMN($E$5),4)&gt;0,INDEX('Surface DEET'!$Q$9:$W$38,COLUMN(Z76)-COLUMN($E$5),4),$E83),0)</f>
        <v>0</v>
      </c>
      <c r="AA83" s="250">
        <f>IF(AA$6=$C83,IF(INDEX('Surface DEET'!$Q$9:$W$38,COLUMN(AA76)-COLUMN($E$5),4)&gt;0,INDEX('Surface DEET'!$Q$9:$W$38,COLUMN(AA76)-COLUMN($E$5),4),$E83),0)</f>
        <v>0</v>
      </c>
      <c r="AB83" s="250">
        <f>IF(AB$6=$C83,IF(INDEX('Surface DEET'!$Q$9:$W$38,COLUMN(AB76)-COLUMN($E$5),4)&gt;0,INDEX('Surface DEET'!$Q$9:$W$38,COLUMN(AB76)-COLUMN($E$5),4),$E83),0)</f>
        <v>0</v>
      </c>
      <c r="AC83" s="250">
        <f>IF(AC$6=$C83,IF(INDEX('Surface DEET'!$Q$9:$W$38,COLUMN(AC76)-COLUMN($E$5),4)&gt;0,INDEX('Surface DEET'!$Q$9:$W$38,COLUMN(AC76)-COLUMN($E$5),4),$E83),0)</f>
        <v>0</v>
      </c>
      <c r="AD83" s="250">
        <f>IF(AD$6=$C83,IF(INDEX('Surface DEET'!$Q$9:$W$38,COLUMN(AD76)-COLUMN($E$5),4)&gt;0,INDEX('Surface DEET'!$Q$9:$W$38,COLUMN(AD76)-COLUMN($E$5),4),$E83),0)</f>
        <v>0</v>
      </c>
      <c r="AE83" s="250">
        <f>IF(AE$6=$C83,IF(INDEX('Surface DEET'!$Q$9:$W$38,COLUMN(AE76)-COLUMN($E$5),4)&gt;0,INDEX('Surface DEET'!$Q$9:$W$38,COLUMN(AE76)-COLUMN($E$5),4),$E83),0)</f>
        <v>0</v>
      </c>
      <c r="AF83" s="250">
        <f>IF(AF$6=$C83,IF(INDEX('Surface DEET'!$Q$9:$W$38,COLUMN(AF76)-COLUMN($E$5),4)&gt;0,INDEX('Surface DEET'!$Q$9:$W$38,COLUMN(AF76)-COLUMN($E$5),4),$E83),0)</f>
        <v>0</v>
      </c>
      <c r="AG83" s="250">
        <f>IF(AG$6=$C83,IF(INDEX('Surface DEET'!$Q$9:$W$38,COLUMN(AG76)-COLUMN($E$5),4)&gt;0,INDEX('Surface DEET'!$Q$9:$W$38,COLUMN(AG76)-COLUMN($E$5),4),$E83),0)</f>
        <v>0</v>
      </c>
      <c r="AH83" s="250">
        <f>IF(AH$6=$C83,IF(INDEX('Surface DEET'!$Q$9:$W$38,COLUMN(AH76)-COLUMN($E$5),4)&gt;0,INDEX('Surface DEET'!$Q$9:$W$38,COLUMN(AH76)-COLUMN($E$5),4),$E83),0)</f>
        <v>0</v>
      </c>
      <c r="AI83" s="250">
        <f>IF(AI$6=$C83,IF(INDEX('Surface DEET'!$Q$9:$W$38,COLUMN(AI76)-COLUMN($E$5),4)&gt;0,INDEX('Surface DEET'!$Q$9:$W$38,COLUMN(AI76)-COLUMN($E$5),4),$E83),0)</f>
        <v>0</v>
      </c>
    </row>
    <row r="84" spans="1:35">
      <c r="A84" s="691"/>
      <c r="B84" s="250" t="s">
        <v>533</v>
      </c>
      <c r="C84" s="250" t="s">
        <v>609</v>
      </c>
      <c r="D84" s="250" t="s">
        <v>533</v>
      </c>
      <c r="F84" s="250">
        <f>IFERROR($E$79*(F82/$E$82)*(($E$81*($E$83/F83))+(1-$E$81))+0.28*$E$78*(F82-$E$82)/$E$82,0)</f>
        <v>0</v>
      </c>
      <c r="G84" s="250">
        <f t="shared" ref="G84:AI84" si="9">IFERROR($E$79*(G82/$E$82)*(($E$81*($E$83/G83))+(1-$E$81))+0.28*$E$78*(G82-$E$82)/$E$82,0)</f>
        <v>0</v>
      </c>
      <c r="H84" s="250">
        <f t="shared" si="9"/>
        <v>0</v>
      </c>
      <c r="I84" s="250">
        <f t="shared" si="9"/>
        <v>0</v>
      </c>
      <c r="J84" s="250">
        <f t="shared" si="9"/>
        <v>0</v>
      </c>
      <c r="K84" s="250">
        <f t="shared" si="9"/>
        <v>0</v>
      </c>
      <c r="L84" s="250">
        <f t="shared" si="9"/>
        <v>0</v>
      </c>
      <c r="M84" s="250">
        <f t="shared" si="9"/>
        <v>0</v>
      </c>
      <c r="N84" s="250">
        <f t="shared" si="9"/>
        <v>0</v>
      </c>
      <c r="O84" s="250">
        <f t="shared" si="9"/>
        <v>0</v>
      </c>
      <c r="P84" s="250">
        <f t="shared" si="9"/>
        <v>0</v>
      </c>
      <c r="Q84" s="250">
        <f t="shared" si="9"/>
        <v>0</v>
      </c>
      <c r="R84" s="250">
        <f t="shared" si="9"/>
        <v>0</v>
      </c>
      <c r="S84" s="250">
        <f t="shared" si="9"/>
        <v>0</v>
      </c>
      <c r="T84" s="250">
        <f t="shared" si="9"/>
        <v>0</v>
      </c>
      <c r="U84" s="250">
        <f t="shared" si="9"/>
        <v>0</v>
      </c>
      <c r="V84" s="250">
        <f t="shared" si="9"/>
        <v>0</v>
      </c>
      <c r="W84" s="250">
        <f t="shared" si="9"/>
        <v>0</v>
      </c>
      <c r="X84" s="250">
        <f t="shared" si="9"/>
        <v>0</v>
      </c>
      <c r="Y84" s="250">
        <f t="shared" si="9"/>
        <v>0</v>
      </c>
      <c r="Z84" s="250">
        <f t="shared" si="9"/>
        <v>0</v>
      </c>
      <c r="AA84" s="250">
        <f t="shared" si="9"/>
        <v>0</v>
      </c>
      <c r="AB84" s="250">
        <f t="shared" si="9"/>
        <v>0</v>
      </c>
      <c r="AC84" s="250">
        <f t="shared" si="9"/>
        <v>0</v>
      </c>
      <c r="AD84" s="250">
        <f t="shared" si="9"/>
        <v>0</v>
      </c>
      <c r="AE84" s="250">
        <f t="shared" si="9"/>
        <v>0</v>
      </c>
      <c r="AF84" s="250">
        <f t="shared" si="9"/>
        <v>0</v>
      </c>
      <c r="AG84" s="250">
        <f t="shared" si="9"/>
        <v>0</v>
      </c>
      <c r="AH84" s="250">
        <f t="shared" si="9"/>
        <v>0</v>
      </c>
      <c r="AI84" s="250">
        <f t="shared" si="9"/>
        <v>0</v>
      </c>
    </row>
    <row r="85" spans="1:35">
      <c r="A85" s="691" t="s">
        <v>610</v>
      </c>
      <c r="B85" s="88" t="s">
        <v>294</v>
      </c>
      <c r="C85" s="30" t="s">
        <v>610</v>
      </c>
      <c r="D85" s="88" t="s">
        <v>294</v>
      </c>
      <c r="E85" s="250">
        <f t="array" ref="E85">INDEX(CABS_CVC!$C$3:$O$870,MATCH(1, (CABS_CVC!$A$3:$A$870=Calculs_CABS!C85)*(CABS_CVC!$B$3:$B$870=Calculs_CABS!$D$2),0),MATCH(Calculs_CABS!$D$1,Liste_CABS!$B$3:$B$15,0))</f>
        <v>51</v>
      </c>
    </row>
    <row r="86" spans="1:35">
      <c r="A86" s="691"/>
      <c r="B86" s="250" t="s">
        <v>534</v>
      </c>
      <c r="C86" s="30" t="s">
        <v>610</v>
      </c>
      <c r="D86" s="250" t="s">
        <v>534</v>
      </c>
      <c r="E86" s="299">
        <v>130</v>
      </c>
    </row>
    <row r="87" spans="1:35">
      <c r="A87" s="691"/>
      <c r="B87" s="250" t="s">
        <v>535</v>
      </c>
      <c r="C87" s="30" t="s">
        <v>610</v>
      </c>
      <c r="D87" s="250" t="s">
        <v>535</v>
      </c>
      <c r="E87" s="250">
        <f>E85+E86</f>
        <v>181</v>
      </c>
    </row>
    <row r="88" spans="1:35">
      <c r="A88" s="691"/>
      <c r="B88" s="250" t="s">
        <v>536</v>
      </c>
      <c r="C88" s="30" t="s">
        <v>610</v>
      </c>
      <c r="D88" s="250" t="s">
        <v>536</v>
      </c>
      <c r="E88" s="250">
        <v>0.95</v>
      </c>
    </row>
    <row r="89" spans="1:35">
      <c r="A89" s="691"/>
      <c r="B89" s="250" t="s">
        <v>537</v>
      </c>
      <c r="C89" s="30" t="s">
        <v>610</v>
      </c>
      <c r="D89" s="296" t="s">
        <v>600</v>
      </c>
      <c r="E89" s="300">
        <v>780</v>
      </c>
      <c r="F89" s="250">
        <f>IF(F$6=$C89,IF(INDEX('Surface DEET'!$Q$9:$W$38,COLUMN(F82)-COLUMN($E$5),1)&gt;0,INDEX('Surface DEET'!$Q$9:$W$38,COLUMN(F82)-COLUMN($E$5),1),$E89),0)</f>
        <v>0</v>
      </c>
      <c r="G89" s="250">
        <f>IF(G$6=$C89,IF(INDEX('Surface DEET'!$Q$9:$W$38,COLUMN(G82)-COLUMN($E$5),1)&gt;0,INDEX('Surface DEET'!$Q$9:$W$38,COLUMN(G82)-COLUMN($E$5),1),$E89),0)</f>
        <v>0</v>
      </c>
      <c r="H89" s="250">
        <f>IF(H$6=$C89,IF(INDEX('Surface DEET'!$Q$9:$W$38,COLUMN(H82)-COLUMN($E$5),1)&gt;0,INDEX('Surface DEET'!$Q$9:$W$38,COLUMN(H82)-COLUMN($E$5),1),$E89),0)</f>
        <v>0</v>
      </c>
      <c r="I89" s="250">
        <f>IF(I$6=$C89,IF(INDEX('Surface DEET'!$Q$9:$W$38,COLUMN(I82)-COLUMN($E$5),1)&gt;0,INDEX('Surface DEET'!$Q$9:$W$38,COLUMN(I82)-COLUMN($E$5),1),$E89),0)</f>
        <v>0</v>
      </c>
      <c r="J89" s="250">
        <f>IF(J$6=$C89,IF(INDEX('Surface DEET'!$Q$9:$W$38,COLUMN(J82)-COLUMN($E$5),1)&gt;0,INDEX('Surface DEET'!$Q$9:$W$38,COLUMN(J82)-COLUMN($E$5),1),$E89),0)</f>
        <v>0</v>
      </c>
      <c r="K89" s="250">
        <f>IF(K$6=$C89,IF(INDEX('Surface DEET'!$Q$9:$W$38,COLUMN(K82)-COLUMN($E$5),1)&gt;0,INDEX('Surface DEET'!$Q$9:$W$38,COLUMN(K82)-COLUMN($E$5),1),$E89),0)</f>
        <v>0</v>
      </c>
      <c r="L89" s="250">
        <f>IF(L$6=$C89,IF(INDEX('Surface DEET'!$Q$9:$W$38,COLUMN(L82)-COLUMN($E$5),1)&gt;0,INDEX('Surface DEET'!$Q$9:$W$38,COLUMN(L82)-COLUMN($E$5),1),$E89),0)</f>
        <v>0</v>
      </c>
      <c r="M89" s="250">
        <f>IF(M$6=$C89,IF(INDEX('Surface DEET'!$Q$9:$W$38,COLUMN(M82)-COLUMN($E$5),1)&gt;0,INDEX('Surface DEET'!$Q$9:$W$38,COLUMN(M82)-COLUMN($E$5),1),$E89),0)</f>
        <v>0</v>
      </c>
      <c r="N89" s="250">
        <f>IF(N$6=$C89,IF(INDEX('Surface DEET'!$Q$9:$W$38,COLUMN(N82)-COLUMN($E$5),1)&gt;0,INDEX('Surface DEET'!$Q$9:$W$38,COLUMN(N82)-COLUMN($E$5),1),$E89),0)</f>
        <v>0</v>
      </c>
      <c r="O89" s="250">
        <f>IF(O$6=$C89,IF(INDEX('Surface DEET'!$Q$9:$W$38,COLUMN(O82)-COLUMN($E$5),1)&gt;0,INDEX('Surface DEET'!$Q$9:$W$38,COLUMN(O82)-COLUMN($E$5),1),$E89),0)</f>
        <v>0</v>
      </c>
      <c r="P89" s="250">
        <f>IF(P$6=$C89,IF(INDEX('Surface DEET'!$Q$9:$W$38,COLUMN(P82)-COLUMN($E$5),1)&gt;0,INDEX('Surface DEET'!$Q$9:$W$38,COLUMN(P82)-COLUMN($E$5),1),$E89),0)</f>
        <v>0</v>
      </c>
      <c r="Q89" s="250">
        <f>IF(Q$6=$C89,IF(INDEX('Surface DEET'!$Q$9:$W$38,COLUMN(Q82)-COLUMN($E$5),1)&gt;0,INDEX('Surface DEET'!$Q$9:$W$38,COLUMN(Q82)-COLUMN($E$5),1),$E89),0)</f>
        <v>0</v>
      </c>
      <c r="R89" s="250">
        <f>IF(R$6=$C89,IF(INDEX('Surface DEET'!$Q$9:$W$38,COLUMN(R82)-COLUMN($E$5),1)&gt;0,INDEX('Surface DEET'!$Q$9:$W$38,COLUMN(R82)-COLUMN($E$5),1),$E89),0)</f>
        <v>0</v>
      </c>
      <c r="S89" s="250">
        <f>IF(S$6=$C89,IF(INDEX('Surface DEET'!$Q$9:$W$38,COLUMN(S82)-COLUMN($E$5),1)&gt;0,INDEX('Surface DEET'!$Q$9:$W$38,COLUMN(S82)-COLUMN($E$5),1),$E89),0)</f>
        <v>0</v>
      </c>
      <c r="T89" s="250">
        <f>IF(T$6=$C89,IF(INDEX('Surface DEET'!$Q$9:$W$38,COLUMN(T82)-COLUMN($E$5),1)&gt;0,INDEX('Surface DEET'!$Q$9:$W$38,COLUMN(T82)-COLUMN($E$5),1),$E89),0)</f>
        <v>0</v>
      </c>
      <c r="U89" s="250">
        <f>IF(U$6=$C89,IF(INDEX('Surface DEET'!$Q$9:$W$38,COLUMN(U82)-COLUMN($E$5),1)&gt;0,INDEX('Surface DEET'!$Q$9:$W$38,COLUMN(U82)-COLUMN($E$5),1),$E89),0)</f>
        <v>0</v>
      </c>
      <c r="V89" s="250">
        <f>IF(V$6=$C89,IF(INDEX('Surface DEET'!$Q$9:$W$38,COLUMN(V82)-COLUMN($E$5),1)&gt;0,INDEX('Surface DEET'!$Q$9:$W$38,COLUMN(V82)-COLUMN($E$5),1),$E89),0)</f>
        <v>0</v>
      </c>
      <c r="W89" s="250">
        <f>IF(W$6=$C89,IF(INDEX('Surface DEET'!$Q$9:$W$38,COLUMN(W82)-COLUMN($E$5),1)&gt;0,INDEX('Surface DEET'!$Q$9:$W$38,COLUMN(W82)-COLUMN($E$5),1),$E89),0)</f>
        <v>0</v>
      </c>
      <c r="X89" s="250">
        <f>IF(X$6=$C89,IF(INDEX('Surface DEET'!$Q$9:$W$38,COLUMN(X82)-COLUMN($E$5),1)&gt;0,INDEX('Surface DEET'!$Q$9:$W$38,COLUMN(X82)-COLUMN($E$5),1),$E89),0)</f>
        <v>0</v>
      </c>
      <c r="Y89" s="250">
        <f>IF(Y$6=$C89,IF(INDEX('Surface DEET'!$Q$9:$W$38,COLUMN(Y82)-COLUMN($E$5),1)&gt;0,INDEX('Surface DEET'!$Q$9:$W$38,COLUMN(Y82)-COLUMN($E$5),1),$E89),0)</f>
        <v>0</v>
      </c>
      <c r="Z89" s="250">
        <f>IF(Z$6=$C89,IF(INDEX('Surface DEET'!$Q$9:$W$38,COLUMN(Z82)-COLUMN($E$5),1)&gt;0,INDEX('Surface DEET'!$Q$9:$W$38,COLUMN(Z82)-COLUMN($E$5),1),$E89),0)</f>
        <v>0</v>
      </c>
      <c r="AA89" s="250">
        <f>IF(AA$6=$C89,IF(INDEX('Surface DEET'!$Q$9:$W$38,COLUMN(AA82)-COLUMN($E$5),1)&gt;0,INDEX('Surface DEET'!$Q$9:$W$38,COLUMN(AA82)-COLUMN($E$5),1),$E89),0)</f>
        <v>0</v>
      </c>
      <c r="AB89" s="250">
        <f>IF(AB$6=$C89,IF(INDEX('Surface DEET'!$Q$9:$W$38,COLUMN(AB82)-COLUMN($E$5),1)&gt;0,INDEX('Surface DEET'!$Q$9:$W$38,COLUMN(AB82)-COLUMN($E$5),1),$E89),0)</f>
        <v>0</v>
      </c>
      <c r="AC89" s="250">
        <f>IF(AC$6=$C89,IF(INDEX('Surface DEET'!$Q$9:$W$38,COLUMN(AC82)-COLUMN($E$5),1)&gt;0,INDEX('Surface DEET'!$Q$9:$W$38,COLUMN(AC82)-COLUMN($E$5),1),$E89),0)</f>
        <v>0</v>
      </c>
      <c r="AD89" s="250">
        <f>IF(AD$6=$C89,IF(INDEX('Surface DEET'!$Q$9:$W$38,COLUMN(AD82)-COLUMN($E$5),1)&gt;0,INDEX('Surface DEET'!$Q$9:$W$38,COLUMN(AD82)-COLUMN($E$5),1),$E89),0)</f>
        <v>0</v>
      </c>
      <c r="AE89" s="250">
        <f>IF(AE$6=$C89,IF(INDEX('Surface DEET'!$Q$9:$W$38,COLUMN(AE82)-COLUMN($E$5),1)&gt;0,INDEX('Surface DEET'!$Q$9:$W$38,COLUMN(AE82)-COLUMN($E$5),1),$E89),0)</f>
        <v>0</v>
      </c>
      <c r="AF89" s="250">
        <f>IF(AF$6=$C89,IF(INDEX('Surface DEET'!$Q$9:$W$38,COLUMN(AF82)-COLUMN($E$5),1)&gt;0,INDEX('Surface DEET'!$Q$9:$W$38,COLUMN(AF82)-COLUMN($E$5),1),$E89),0)</f>
        <v>0</v>
      </c>
      <c r="AG89" s="250">
        <f>IF(AG$6=$C89,IF(INDEX('Surface DEET'!$Q$9:$W$38,COLUMN(AG82)-COLUMN($E$5),1)&gt;0,INDEX('Surface DEET'!$Q$9:$W$38,COLUMN(AG82)-COLUMN($E$5),1),$E89),0)</f>
        <v>0</v>
      </c>
      <c r="AH89" s="250">
        <f>IF(AH$6=$C89,IF(INDEX('Surface DEET'!$Q$9:$W$38,COLUMN(AH82)-COLUMN($E$5),1)&gt;0,INDEX('Surface DEET'!$Q$9:$W$38,COLUMN(AH82)-COLUMN($E$5),1),$E89),0)</f>
        <v>0</v>
      </c>
      <c r="AI89" s="250">
        <f>IF(AI$6=$C89,IF(INDEX('Surface DEET'!$Q$9:$W$38,COLUMN(AI82)-COLUMN($E$5),1)&gt;0,INDEX('Surface DEET'!$Q$9:$W$38,COLUMN(AI82)-COLUMN($E$5),1),$E89),0)</f>
        <v>0</v>
      </c>
    </row>
    <row r="90" spans="1:35">
      <c r="A90" s="691"/>
      <c r="B90" s="250" t="s">
        <v>540</v>
      </c>
      <c r="C90" s="30" t="s">
        <v>610</v>
      </c>
      <c r="D90" s="296" t="s">
        <v>601</v>
      </c>
      <c r="E90" s="299">
        <v>16</v>
      </c>
      <c r="F90" s="250">
        <f>IF(F$6=$C90,IF(INDEX('Surface DEET'!$Q$9:$W$38,COLUMN(F83)-COLUMN($E$5),4)&gt;0,INDEX('Surface DEET'!$Q$9:$W$38,COLUMN(F83)-COLUMN($E$5),4),$E90),0)</f>
        <v>0</v>
      </c>
      <c r="G90" s="250">
        <f>IF(G$6=$C90,IF(INDEX('Surface DEET'!$Q$9:$W$38,COLUMN(G83)-COLUMN($E$5),4)&gt;0,INDEX('Surface DEET'!$Q$9:$W$38,COLUMN(G83)-COLUMN($E$5),4),$E90),0)</f>
        <v>0</v>
      </c>
      <c r="H90" s="250">
        <f>IF(H$6=$C90,IF(INDEX('Surface DEET'!$Q$9:$W$38,COLUMN(H83)-COLUMN($E$5),4)&gt;0,INDEX('Surface DEET'!$Q$9:$W$38,COLUMN(H83)-COLUMN($E$5),4),$E90),0)</f>
        <v>0</v>
      </c>
      <c r="I90" s="250">
        <f>IF(I$6=$C90,IF(INDEX('Surface DEET'!$Q$9:$W$38,COLUMN(I83)-COLUMN($E$5),4)&gt;0,INDEX('Surface DEET'!$Q$9:$W$38,COLUMN(I83)-COLUMN($E$5),4),$E90),0)</f>
        <v>0</v>
      </c>
      <c r="J90" s="250">
        <f>IF(J$6=$C90,IF(INDEX('Surface DEET'!$Q$9:$W$38,COLUMN(J83)-COLUMN($E$5),4)&gt;0,INDEX('Surface DEET'!$Q$9:$W$38,COLUMN(J83)-COLUMN($E$5),4),$E90),0)</f>
        <v>0</v>
      </c>
      <c r="K90" s="250">
        <f>IF(K$6=$C90,IF(INDEX('Surface DEET'!$Q$9:$W$38,COLUMN(K83)-COLUMN($E$5),4)&gt;0,INDEX('Surface DEET'!$Q$9:$W$38,COLUMN(K83)-COLUMN($E$5),4),$E90),0)</f>
        <v>0</v>
      </c>
      <c r="L90" s="250">
        <f>IF(L$6=$C90,IF(INDEX('Surface DEET'!$Q$9:$W$38,COLUMN(L83)-COLUMN($E$5),4)&gt;0,INDEX('Surface DEET'!$Q$9:$W$38,COLUMN(L83)-COLUMN($E$5),4),$E90),0)</f>
        <v>0</v>
      </c>
      <c r="M90" s="250">
        <f>IF(M$6=$C90,IF(INDEX('Surface DEET'!$Q$9:$W$38,COLUMN(M83)-COLUMN($E$5),4)&gt;0,INDEX('Surface DEET'!$Q$9:$W$38,COLUMN(M83)-COLUMN($E$5),4),$E90),0)</f>
        <v>0</v>
      </c>
      <c r="N90" s="250">
        <f>IF(N$6=$C90,IF(INDEX('Surface DEET'!$Q$9:$W$38,COLUMN(N83)-COLUMN($E$5),4)&gt;0,INDEX('Surface DEET'!$Q$9:$W$38,COLUMN(N83)-COLUMN($E$5),4),$E90),0)</f>
        <v>0</v>
      </c>
      <c r="O90" s="250">
        <f>IF(O$6=$C90,IF(INDEX('Surface DEET'!$Q$9:$W$38,COLUMN(O83)-COLUMN($E$5),4)&gt;0,INDEX('Surface DEET'!$Q$9:$W$38,COLUMN(O83)-COLUMN($E$5),4),$E90),0)</f>
        <v>0</v>
      </c>
      <c r="P90" s="250">
        <f>IF(P$6=$C90,IF(INDEX('Surface DEET'!$Q$9:$W$38,COLUMN(P83)-COLUMN($E$5),4)&gt;0,INDEX('Surface DEET'!$Q$9:$W$38,COLUMN(P83)-COLUMN($E$5),4),$E90),0)</f>
        <v>0</v>
      </c>
      <c r="Q90" s="250">
        <f>IF(Q$6=$C90,IF(INDEX('Surface DEET'!$Q$9:$W$38,COLUMN(Q83)-COLUMN($E$5),4)&gt;0,INDEX('Surface DEET'!$Q$9:$W$38,COLUMN(Q83)-COLUMN($E$5),4),$E90),0)</f>
        <v>0</v>
      </c>
      <c r="R90" s="250">
        <f>IF(R$6=$C90,IF(INDEX('Surface DEET'!$Q$9:$W$38,COLUMN(R83)-COLUMN($E$5),4)&gt;0,INDEX('Surface DEET'!$Q$9:$W$38,COLUMN(R83)-COLUMN($E$5),4),$E90),0)</f>
        <v>0</v>
      </c>
      <c r="S90" s="250">
        <f>IF(S$6=$C90,IF(INDEX('Surface DEET'!$Q$9:$W$38,COLUMN(S83)-COLUMN($E$5),4)&gt;0,INDEX('Surface DEET'!$Q$9:$W$38,COLUMN(S83)-COLUMN($E$5),4),$E90),0)</f>
        <v>0</v>
      </c>
      <c r="T90" s="250">
        <f>IF(T$6=$C90,IF(INDEX('Surface DEET'!$Q$9:$W$38,COLUMN(T83)-COLUMN($E$5),4)&gt;0,INDEX('Surface DEET'!$Q$9:$W$38,COLUMN(T83)-COLUMN($E$5),4),$E90),0)</f>
        <v>0</v>
      </c>
      <c r="U90" s="250">
        <f>IF(U$6=$C90,IF(INDEX('Surface DEET'!$Q$9:$W$38,COLUMN(U83)-COLUMN($E$5),4)&gt;0,INDEX('Surface DEET'!$Q$9:$W$38,COLUMN(U83)-COLUMN($E$5),4),$E90),0)</f>
        <v>0</v>
      </c>
      <c r="V90" s="250">
        <f>IF(V$6=$C90,IF(INDEX('Surface DEET'!$Q$9:$W$38,COLUMN(V83)-COLUMN($E$5),4)&gt;0,INDEX('Surface DEET'!$Q$9:$W$38,COLUMN(V83)-COLUMN($E$5),4),$E90),0)</f>
        <v>0</v>
      </c>
      <c r="W90" s="250">
        <f>IF(W$6=$C90,IF(INDEX('Surface DEET'!$Q$9:$W$38,COLUMN(W83)-COLUMN($E$5),4)&gt;0,INDEX('Surface DEET'!$Q$9:$W$38,COLUMN(W83)-COLUMN($E$5),4),$E90),0)</f>
        <v>0</v>
      </c>
      <c r="X90" s="250">
        <f>IF(X$6=$C90,IF(INDEX('Surface DEET'!$Q$9:$W$38,COLUMN(X83)-COLUMN($E$5),4)&gt;0,INDEX('Surface DEET'!$Q$9:$W$38,COLUMN(X83)-COLUMN($E$5),4),$E90),0)</f>
        <v>0</v>
      </c>
      <c r="Y90" s="250">
        <f>IF(Y$6=$C90,IF(INDEX('Surface DEET'!$Q$9:$W$38,COLUMN(Y83)-COLUMN($E$5),4)&gt;0,INDEX('Surface DEET'!$Q$9:$W$38,COLUMN(Y83)-COLUMN($E$5),4),$E90),0)</f>
        <v>0</v>
      </c>
      <c r="Z90" s="250">
        <f>IF(Z$6=$C90,IF(INDEX('Surface DEET'!$Q$9:$W$38,COLUMN(Z83)-COLUMN($E$5),4)&gt;0,INDEX('Surface DEET'!$Q$9:$W$38,COLUMN(Z83)-COLUMN($E$5),4),$E90),0)</f>
        <v>0</v>
      </c>
      <c r="AA90" s="250">
        <f>IF(AA$6=$C90,IF(INDEX('Surface DEET'!$Q$9:$W$38,COLUMN(AA83)-COLUMN($E$5),4)&gt;0,INDEX('Surface DEET'!$Q$9:$W$38,COLUMN(AA83)-COLUMN($E$5),4),$E90),0)</f>
        <v>0</v>
      </c>
      <c r="AB90" s="250">
        <f>IF(AB$6=$C90,IF(INDEX('Surface DEET'!$Q$9:$W$38,COLUMN(AB83)-COLUMN($E$5),4)&gt;0,INDEX('Surface DEET'!$Q$9:$W$38,COLUMN(AB83)-COLUMN($E$5),4),$E90),0)</f>
        <v>0</v>
      </c>
      <c r="AC90" s="250">
        <f>IF(AC$6=$C90,IF(INDEX('Surface DEET'!$Q$9:$W$38,COLUMN(AC83)-COLUMN($E$5),4)&gt;0,INDEX('Surface DEET'!$Q$9:$W$38,COLUMN(AC83)-COLUMN($E$5),4),$E90),0)</f>
        <v>0</v>
      </c>
      <c r="AD90" s="250">
        <f>IF(AD$6=$C90,IF(INDEX('Surface DEET'!$Q$9:$W$38,COLUMN(AD83)-COLUMN($E$5),4)&gt;0,INDEX('Surface DEET'!$Q$9:$W$38,COLUMN(AD83)-COLUMN($E$5),4),$E90),0)</f>
        <v>0</v>
      </c>
      <c r="AE90" s="250">
        <f>IF(AE$6=$C90,IF(INDEX('Surface DEET'!$Q$9:$W$38,COLUMN(AE83)-COLUMN($E$5),4)&gt;0,INDEX('Surface DEET'!$Q$9:$W$38,COLUMN(AE83)-COLUMN($E$5),4),$E90),0)</f>
        <v>0</v>
      </c>
      <c r="AF90" s="250">
        <f>IF(AF$6=$C90,IF(INDEX('Surface DEET'!$Q$9:$W$38,COLUMN(AF83)-COLUMN($E$5),4)&gt;0,INDEX('Surface DEET'!$Q$9:$W$38,COLUMN(AF83)-COLUMN($E$5),4),$E90),0)</f>
        <v>0</v>
      </c>
      <c r="AG90" s="250">
        <f>IF(AG$6=$C90,IF(INDEX('Surface DEET'!$Q$9:$W$38,COLUMN(AG83)-COLUMN($E$5),4)&gt;0,INDEX('Surface DEET'!$Q$9:$W$38,COLUMN(AG83)-COLUMN($E$5),4),$E90),0)</f>
        <v>0</v>
      </c>
      <c r="AH90" s="250">
        <f>IF(AH$6=$C90,IF(INDEX('Surface DEET'!$Q$9:$W$38,COLUMN(AH83)-COLUMN($E$5),4)&gt;0,INDEX('Surface DEET'!$Q$9:$W$38,COLUMN(AH83)-COLUMN($E$5),4),$E90),0)</f>
        <v>0</v>
      </c>
      <c r="AI90" s="250">
        <f>IF(AI$6=$C90,IF(INDEX('Surface DEET'!$Q$9:$W$38,COLUMN(AI83)-COLUMN($E$5),4)&gt;0,INDEX('Surface DEET'!$Q$9:$W$38,COLUMN(AI83)-COLUMN($E$5),4),$E90),0)</f>
        <v>0</v>
      </c>
    </row>
    <row r="91" spans="1:35">
      <c r="A91" s="691"/>
      <c r="B91" s="250" t="s">
        <v>543</v>
      </c>
      <c r="C91" s="30" t="s">
        <v>610</v>
      </c>
      <c r="D91" s="296"/>
      <c r="E91" s="299"/>
    </row>
    <row r="92" spans="1:35">
      <c r="A92" s="691"/>
      <c r="C92" s="30" t="s">
        <v>610</v>
      </c>
      <c r="D92" s="296" t="s">
        <v>603</v>
      </c>
      <c r="E92" s="299">
        <v>701</v>
      </c>
    </row>
    <row r="93" spans="1:35" ht="14.25" customHeight="1">
      <c r="A93" s="691"/>
      <c r="B93" s="296" t="s">
        <v>611</v>
      </c>
      <c r="C93" s="30" t="s">
        <v>610</v>
      </c>
      <c r="D93" s="296" t="s">
        <v>605</v>
      </c>
      <c r="E93" s="299">
        <v>6.3</v>
      </c>
    </row>
    <row r="94" spans="1:35">
      <c r="A94" s="691"/>
      <c r="B94" s="296" t="s">
        <v>612</v>
      </c>
      <c r="C94" s="30" t="s">
        <v>610</v>
      </c>
      <c r="D94" s="296" t="s">
        <v>607</v>
      </c>
      <c r="E94" s="299">
        <v>118</v>
      </c>
    </row>
    <row r="95" spans="1:35">
      <c r="A95" s="691"/>
      <c r="B95" s="250" t="s">
        <v>533</v>
      </c>
      <c r="C95" s="30" t="s">
        <v>610</v>
      </c>
      <c r="D95" s="250" t="s">
        <v>533</v>
      </c>
      <c r="F95" s="250">
        <f>IFERROR($E$86*(F89/$E$89)*($E$88*(F90/100*$E$92+(1-F90/100)*$E$93)/$E$94+(1-$E$88))+0.28*$E$85*(F89-$E$89)/$E$89,0)</f>
        <v>-14.280000000000001</v>
      </c>
      <c r="G95" s="250">
        <f>IFERROR($E$86*(G89/$E$89)*($E$88*(G90/100*$E$90+(1-G90/100)*$E$93)/$E$94+(1-$E$88))+0.28*$E$85*(G89-$E$89)/$E$89,0)</f>
        <v>-14.280000000000001</v>
      </c>
      <c r="H95" s="250">
        <f t="shared" ref="H95:AI95" si="10">IFERROR($E$86*(H89/$E$89)*($E$88*(H90/100*$E$90+(1-H90/100)*$E$93)/$E$94+(1-$E$88))+0.28*$E$85*(H89-$E$89)/$E$89,0)</f>
        <v>-14.280000000000001</v>
      </c>
      <c r="I95" s="250">
        <f t="shared" si="10"/>
        <v>-14.280000000000001</v>
      </c>
      <c r="J95" s="250">
        <f t="shared" si="10"/>
        <v>-14.280000000000001</v>
      </c>
      <c r="K95" s="250">
        <f t="shared" si="10"/>
        <v>-14.280000000000001</v>
      </c>
      <c r="L95" s="250">
        <f t="shared" si="10"/>
        <v>-14.280000000000001</v>
      </c>
      <c r="M95" s="250">
        <f t="shared" si="10"/>
        <v>-14.280000000000001</v>
      </c>
      <c r="N95" s="250">
        <f t="shared" si="10"/>
        <v>-14.280000000000001</v>
      </c>
      <c r="O95" s="250">
        <f t="shared" si="10"/>
        <v>-14.280000000000001</v>
      </c>
      <c r="P95" s="250">
        <f t="shared" si="10"/>
        <v>-14.280000000000001</v>
      </c>
      <c r="Q95" s="250">
        <f t="shared" si="10"/>
        <v>-14.280000000000001</v>
      </c>
      <c r="R95" s="250">
        <f t="shared" si="10"/>
        <v>-14.280000000000001</v>
      </c>
      <c r="S95" s="250">
        <f t="shared" si="10"/>
        <v>-14.280000000000001</v>
      </c>
      <c r="T95" s="250">
        <f t="shared" si="10"/>
        <v>-14.280000000000001</v>
      </c>
      <c r="U95" s="250">
        <f t="shared" si="10"/>
        <v>-14.280000000000001</v>
      </c>
      <c r="V95" s="250">
        <f t="shared" si="10"/>
        <v>-14.280000000000001</v>
      </c>
      <c r="W95" s="250">
        <f t="shared" si="10"/>
        <v>-14.280000000000001</v>
      </c>
      <c r="X95" s="250">
        <f t="shared" si="10"/>
        <v>-14.280000000000001</v>
      </c>
      <c r="Y95" s="250">
        <f t="shared" si="10"/>
        <v>-14.280000000000001</v>
      </c>
      <c r="Z95" s="250">
        <f t="shared" si="10"/>
        <v>-14.280000000000001</v>
      </c>
      <c r="AA95" s="250">
        <f t="shared" si="10"/>
        <v>-14.280000000000001</v>
      </c>
      <c r="AB95" s="250">
        <f t="shared" si="10"/>
        <v>-14.280000000000001</v>
      </c>
      <c r="AC95" s="250">
        <f t="shared" si="10"/>
        <v>-14.280000000000001</v>
      </c>
      <c r="AD95" s="250">
        <f t="shared" si="10"/>
        <v>-14.280000000000001</v>
      </c>
      <c r="AE95" s="250">
        <f t="shared" si="10"/>
        <v>-14.280000000000001</v>
      </c>
      <c r="AF95" s="250">
        <f t="shared" si="10"/>
        <v>-14.280000000000001</v>
      </c>
      <c r="AG95" s="250">
        <f t="shared" si="10"/>
        <v>-14.280000000000001</v>
      </c>
      <c r="AH95" s="250">
        <f t="shared" si="10"/>
        <v>-14.280000000000001</v>
      </c>
      <c r="AI95" s="250">
        <f t="shared" si="10"/>
        <v>-14.280000000000001</v>
      </c>
    </row>
    <row r="96" spans="1:35">
      <c r="A96" s="691" t="s">
        <v>613</v>
      </c>
      <c r="B96" s="88" t="s">
        <v>294</v>
      </c>
      <c r="C96" s="30" t="s">
        <v>613</v>
      </c>
      <c r="D96" s="88" t="s">
        <v>294</v>
      </c>
      <c r="E96" s="250">
        <f t="array" ref="E96">INDEX(CABS_CVC!$C$3:$O$870,MATCH(1, (CABS_CVC!$A$3:$A$870=Calculs_CABS!C96)*(CABS_CVC!$B$3:$B$870=Calculs_CABS!$D$2),0),MATCH(Calculs_CABS!$D$1,Liste_CABS!$B$3:$B$15,0))</f>
        <v>64</v>
      </c>
    </row>
    <row r="97" spans="1:35">
      <c r="A97" s="691"/>
      <c r="B97" s="250" t="s">
        <v>534</v>
      </c>
      <c r="C97" s="30" t="s">
        <v>613</v>
      </c>
      <c r="D97" s="250" t="s">
        <v>534</v>
      </c>
      <c r="E97" s="299">
        <v>124</v>
      </c>
    </row>
    <row r="98" spans="1:35">
      <c r="A98" s="691"/>
      <c r="B98" s="250" t="s">
        <v>535</v>
      </c>
      <c r="C98" s="30" t="s">
        <v>613</v>
      </c>
      <c r="D98" s="250" t="s">
        <v>535</v>
      </c>
      <c r="E98" s="250">
        <f>E96+E97</f>
        <v>188</v>
      </c>
    </row>
    <row r="99" spans="1:35">
      <c r="A99" s="691"/>
      <c r="B99" s="250" t="s">
        <v>536</v>
      </c>
      <c r="C99" s="30" t="s">
        <v>613</v>
      </c>
      <c r="D99" s="250" t="s">
        <v>536</v>
      </c>
      <c r="E99" s="250">
        <v>0.96</v>
      </c>
    </row>
    <row r="100" spans="1:35">
      <c r="A100" s="691"/>
      <c r="B100" s="250" t="s">
        <v>537</v>
      </c>
      <c r="C100" s="30" t="s">
        <v>613</v>
      </c>
      <c r="D100" s="296" t="s">
        <v>600</v>
      </c>
      <c r="E100" s="300">
        <v>2555</v>
      </c>
      <c r="F100" s="250">
        <f>IF(F$6=$C100,IF(INDEX('Surface DEET'!$Q$9:$W$38,COLUMN(F93)-COLUMN($E$5),1)&gt;0,INDEX('Surface DEET'!$Q$9:$W$38,COLUMN(F93)-COLUMN($E$5),1),$E100),0)</f>
        <v>0</v>
      </c>
      <c r="G100" s="250">
        <f>IF(G$6=$C100,IF(INDEX('Surface DEET'!$Q$9:$W$38,COLUMN(G93)-COLUMN($E$5),1)&gt;0,INDEX('Surface DEET'!$Q$9:$W$38,COLUMN(G93)-COLUMN($E$5),1),$E100),0)</f>
        <v>0</v>
      </c>
      <c r="H100" s="250">
        <f>IF(H$6=$C100,IF(INDEX('Surface DEET'!$Q$9:$W$38,COLUMN(H93)-COLUMN($E$5),1)&gt;0,INDEX('Surface DEET'!$Q$9:$W$38,COLUMN(H93)-COLUMN($E$5),1),$E100),0)</f>
        <v>0</v>
      </c>
      <c r="I100" s="250">
        <f>IF(I$6=$C100,IF(INDEX('Surface DEET'!$Q$9:$W$38,COLUMN(I93)-COLUMN($E$5),1)&gt;0,INDEX('Surface DEET'!$Q$9:$W$38,COLUMN(I93)-COLUMN($E$5),1),$E100),0)</f>
        <v>0</v>
      </c>
      <c r="J100" s="250">
        <f>IF(J$6=$C100,IF(INDEX('Surface DEET'!$Q$9:$W$38,COLUMN(J93)-COLUMN($E$5),1)&gt;0,INDEX('Surface DEET'!$Q$9:$W$38,COLUMN(J93)-COLUMN($E$5),1),$E100),0)</f>
        <v>0</v>
      </c>
      <c r="K100" s="250">
        <f>IF(K$6=$C100,IF(INDEX('Surface DEET'!$Q$9:$W$38,COLUMN(K93)-COLUMN($E$5),1)&gt;0,INDEX('Surface DEET'!$Q$9:$W$38,COLUMN(K93)-COLUMN($E$5),1),$E100),0)</f>
        <v>0</v>
      </c>
      <c r="L100" s="250">
        <f>IF(L$6=$C100,IF(INDEX('Surface DEET'!$Q$9:$W$38,COLUMN(L93)-COLUMN($E$5),1)&gt;0,INDEX('Surface DEET'!$Q$9:$W$38,COLUMN(L93)-COLUMN($E$5),1),$E100),0)</f>
        <v>0</v>
      </c>
      <c r="M100" s="250">
        <f>IF(M$6=$C100,IF(INDEX('Surface DEET'!$Q$9:$W$38,COLUMN(M93)-COLUMN($E$5),1)&gt;0,INDEX('Surface DEET'!$Q$9:$W$38,COLUMN(M93)-COLUMN($E$5),1),$E100),0)</f>
        <v>0</v>
      </c>
      <c r="N100" s="250">
        <f>IF(N$6=$C100,IF(INDEX('Surface DEET'!$Q$9:$W$38,COLUMN(N93)-COLUMN($E$5),1)&gt;0,INDEX('Surface DEET'!$Q$9:$W$38,COLUMN(N93)-COLUMN($E$5),1),$E100),0)</f>
        <v>0</v>
      </c>
      <c r="O100" s="250">
        <f>IF(O$6=$C100,IF(INDEX('Surface DEET'!$Q$9:$W$38,COLUMN(O93)-COLUMN($E$5),1)&gt;0,INDEX('Surface DEET'!$Q$9:$W$38,COLUMN(O93)-COLUMN($E$5),1),$E100),0)</f>
        <v>0</v>
      </c>
      <c r="P100" s="250">
        <f>IF(P$6=$C100,IF(INDEX('Surface DEET'!$Q$9:$W$38,COLUMN(P93)-COLUMN($E$5),1)&gt;0,INDEX('Surface DEET'!$Q$9:$W$38,COLUMN(P93)-COLUMN($E$5),1),$E100),0)</f>
        <v>0</v>
      </c>
      <c r="Q100" s="250">
        <f>IF(Q$6=$C100,IF(INDEX('Surface DEET'!$Q$9:$W$38,COLUMN(Q93)-COLUMN($E$5),1)&gt;0,INDEX('Surface DEET'!$Q$9:$W$38,COLUMN(Q93)-COLUMN($E$5),1),$E100),0)</f>
        <v>0</v>
      </c>
      <c r="R100" s="250">
        <f>IF(R$6=$C100,IF(INDEX('Surface DEET'!$Q$9:$W$38,COLUMN(R93)-COLUMN($E$5),1)&gt;0,INDEX('Surface DEET'!$Q$9:$W$38,COLUMN(R93)-COLUMN($E$5),1),$E100),0)</f>
        <v>0</v>
      </c>
      <c r="S100" s="250">
        <f>IF(S$6=$C100,IF(INDEX('Surface DEET'!$Q$9:$W$38,COLUMN(S93)-COLUMN($E$5),1)&gt;0,INDEX('Surface DEET'!$Q$9:$W$38,COLUMN(S93)-COLUMN($E$5),1),$E100),0)</f>
        <v>0</v>
      </c>
      <c r="T100" s="250">
        <f>IF(T$6=$C100,IF(INDEX('Surface DEET'!$Q$9:$W$38,COLUMN(T93)-COLUMN($E$5),1)&gt;0,INDEX('Surface DEET'!$Q$9:$W$38,COLUMN(T93)-COLUMN($E$5),1),$E100),0)</f>
        <v>0</v>
      </c>
      <c r="U100" s="250">
        <f>IF(U$6=$C100,IF(INDEX('Surface DEET'!$Q$9:$W$38,COLUMN(U93)-COLUMN($E$5),1)&gt;0,INDEX('Surface DEET'!$Q$9:$W$38,COLUMN(U93)-COLUMN($E$5),1),$E100),0)</f>
        <v>0</v>
      </c>
      <c r="V100" s="250">
        <f>IF(V$6=$C100,IF(INDEX('Surface DEET'!$Q$9:$W$38,COLUMN(V93)-COLUMN($E$5),1)&gt;0,INDEX('Surface DEET'!$Q$9:$W$38,COLUMN(V93)-COLUMN($E$5),1),$E100),0)</f>
        <v>0</v>
      </c>
      <c r="W100" s="250">
        <f>IF(W$6=$C100,IF(INDEX('Surface DEET'!$Q$9:$W$38,COLUMN(W93)-COLUMN($E$5),1)&gt;0,INDEX('Surface DEET'!$Q$9:$W$38,COLUMN(W93)-COLUMN($E$5),1),$E100),0)</f>
        <v>0</v>
      </c>
      <c r="X100" s="250">
        <f>IF(X$6=$C100,IF(INDEX('Surface DEET'!$Q$9:$W$38,COLUMN(X93)-COLUMN($E$5),1)&gt;0,INDEX('Surface DEET'!$Q$9:$W$38,COLUMN(X93)-COLUMN($E$5),1),$E100),0)</f>
        <v>0</v>
      </c>
      <c r="Y100" s="250">
        <f>IF(Y$6=$C100,IF(INDEX('Surface DEET'!$Q$9:$W$38,COLUMN(Y93)-COLUMN($E$5),1)&gt;0,INDEX('Surface DEET'!$Q$9:$W$38,COLUMN(Y93)-COLUMN($E$5),1),$E100),0)</f>
        <v>0</v>
      </c>
      <c r="Z100" s="250">
        <f>IF(Z$6=$C100,IF(INDEX('Surface DEET'!$Q$9:$W$38,COLUMN(Z93)-COLUMN($E$5),1)&gt;0,INDEX('Surface DEET'!$Q$9:$W$38,COLUMN(Z93)-COLUMN($E$5),1),$E100),0)</f>
        <v>0</v>
      </c>
      <c r="AA100" s="250">
        <f>IF(AA$6=$C100,IF(INDEX('Surface DEET'!$Q$9:$W$38,COLUMN(AA93)-COLUMN($E$5),1)&gt;0,INDEX('Surface DEET'!$Q$9:$W$38,COLUMN(AA93)-COLUMN($E$5),1),$E100),0)</f>
        <v>0</v>
      </c>
      <c r="AB100" s="250">
        <f>IF(AB$6=$C100,IF(INDEX('Surface DEET'!$Q$9:$W$38,COLUMN(AB93)-COLUMN($E$5),1)&gt;0,INDEX('Surface DEET'!$Q$9:$W$38,COLUMN(AB93)-COLUMN($E$5),1),$E100),0)</f>
        <v>0</v>
      </c>
      <c r="AC100" s="250">
        <f>IF(AC$6=$C100,IF(INDEX('Surface DEET'!$Q$9:$W$38,COLUMN(AC93)-COLUMN($E$5),1)&gt;0,INDEX('Surface DEET'!$Q$9:$W$38,COLUMN(AC93)-COLUMN($E$5),1),$E100),0)</f>
        <v>0</v>
      </c>
      <c r="AD100" s="250">
        <f>IF(AD$6=$C100,IF(INDEX('Surface DEET'!$Q$9:$W$38,COLUMN(AD93)-COLUMN($E$5),1)&gt;0,INDEX('Surface DEET'!$Q$9:$W$38,COLUMN(AD93)-COLUMN($E$5),1),$E100),0)</f>
        <v>0</v>
      </c>
      <c r="AE100" s="250">
        <f>IF(AE$6=$C100,IF(INDEX('Surface DEET'!$Q$9:$W$38,COLUMN(AE93)-COLUMN($E$5),1)&gt;0,INDEX('Surface DEET'!$Q$9:$W$38,COLUMN(AE93)-COLUMN($E$5),1),$E100),0)</f>
        <v>0</v>
      </c>
      <c r="AF100" s="250">
        <f>IF(AF$6=$C100,IF(INDEX('Surface DEET'!$Q$9:$W$38,COLUMN(AF93)-COLUMN($E$5),1)&gt;0,INDEX('Surface DEET'!$Q$9:$W$38,COLUMN(AF93)-COLUMN($E$5),1),$E100),0)</f>
        <v>0</v>
      </c>
      <c r="AG100" s="250">
        <f>IF(AG$6=$C100,IF(INDEX('Surface DEET'!$Q$9:$W$38,COLUMN(AG93)-COLUMN($E$5),1)&gt;0,INDEX('Surface DEET'!$Q$9:$W$38,COLUMN(AG93)-COLUMN($E$5),1),$E100),0)</f>
        <v>0</v>
      </c>
      <c r="AH100" s="250">
        <f>IF(AH$6=$C100,IF(INDEX('Surface DEET'!$Q$9:$W$38,COLUMN(AH93)-COLUMN($E$5),1)&gt;0,INDEX('Surface DEET'!$Q$9:$W$38,COLUMN(AH93)-COLUMN($E$5),1),$E100),0)</f>
        <v>0</v>
      </c>
      <c r="AI100" s="250">
        <f>IF(AI$6=$C100,IF(INDEX('Surface DEET'!$Q$9:$W$38,COLUMN(AI93)-COLUMN($E$5),1)&gt;0,INDEX('Surface DEET'!$Q$9:$W$38,COLUMN(AI93)-COLUMN($E$5),1),$E100),0)</f>
        <v>0</v>
      </c>
    </row>
    <row r="101" spans="1:35">
      <c r="A101" s="691"/>
      <c r="B101" s="250" t="s">
        <v>540</v>
      </c>
      <c r="C101" s="30" t="s">
        <v>613</v>
      </c>
      <c r="D101" s="296" t="s">
        <v>614</v>
      </c>
      <c r="E101" s="299">
        <v>900</v>
      </c>
      <c r="F101" s="250">
        <f>IF(F$6=$C101,IF(INDEX('Surface DEET'!$Q$9:$W$38,COLUMN(F94)-COLUMN($E$5),4)&gt;0,INDEX('Surface DEET'!$Q$9:$W$38,COLUMN(F94)-COLUMN($E$5),4),$E101),0)</f>
        <v>0</v>
      </c>
      <c r="G101" s="250">
        <f>IF(G$6=$C101,IF(INDEX('Surface DEET'!$Q$9:$W$38,COLUMN(G94)-COLUMN($E$5),4)&gt;0,INDEX('Surface DEET'!$Q$9:$W$38,COLUMN(G94)-COLUMN($E$5),4),$E101),0)</f>
        <v>0</v>
      </c>
      <c r="H101" s="250">
        <f>IF(H$6=$C101,IF(INDEX('Surface DEET'!$Q$9:$W$38,COLUMN(H94)-COLUMN($E$5),4)&gt;0,INDEX('Surface DEET'!$Q$9:$W$38,COLUMN(H94)-COLUMN($E$5),4),$E101),0)</f>
        <v>0</v>
      </c>
      <c r="I101" s="250">
        <f>IF(I$6=$C101,IF(INDEX('Surface DEET'!$Q$9:$W$38,COLUMN(I94)-COLUMN($E$5),4)&gt;0,INDEX('Surface DEET'!$Q$9:$W$38,COLUMN(I94)-COLUMN($E$5),4),$E101),0)</f>
        <v>0</v>
      </c>
      <c r="J101" s="250">
        <f>IF(J$6=$C101,IF(INDEX('Surface DEET'!$Q$9:$W$38,COLUMN(J94)-COLUMN($E$5),4)&gt;0,INDEX('Surface DEET'!$Q$9:$W$38,COLUMN(J94)-COLUMN($E$5),4),$E101),0)</f>
        <v>0</v>
      </c>
      <c r="K101" s="250">
        <f>IF(K$6=$C101,IF(INDEX('Surface DEET'!$Q$9:$W$38,COLUMN(K94)-COLUMN($E$5),4)&gt;0,INDEX('Surface DEET'!$Q$9:$W$38,COLUMN(K94)-COLUMN($E$5),4),$E101),0)</f>
        <v>0</v>
      </c>
      <c r="L101" s="250">
        <f>IF(L$6=$C101,IF(INDEX('Surface DEET'!$Q$9:$W$38,COLUMN(L94)-COLUMN($E$5),4)&gt;0,INDEX('Surface DEET'!$Q$9:$W$38,COLUMN(L94)-COLUMN($E$5),4),$E101),0)</f>
        <v>0</v>
      </c>
      <c r="M101" s="250">
        <f>IF(M$6=$C101,IF(INDEX('Surface DEET'!$Q$9:$W$38,COLUMN(M94)-COLUMN($E$5),4)&gt;0,INDEX('Surface DEET'!$Q$9:$W$38,COLUMN(M94)-COLUMN($E$5),4),$E101),0)</f>
        <v>0</v>
      </c>
      <c r="N101" s="250">
        <f>IF(N$6=$C101,IF(INDEX('Surface DEET'!$Q$9:$W$38,COLUMN(N94)-COLUMN($E$5),4)&gt;0,INDEX('Surface DEET'!$Q$9:$W$38,COLUMN(N94)-COLUMN($E$5),4),$E101),0)</f>
        <v>0</v>
      </c>
      <c r="O101" s="250">
        <f>IF(O$6=$C101,IF(INDEX('Surface DEET'!$Q$9:$W$38,COLUMN(O94)-COLUMN($E$5),4)&gt;0,INDEX('Surface DEET'!$Q$9:$W$38,COLUMN(O94)-COLUMN($E$5),4),$E101),0)</f>
        <v>0</v>
      </c>
      <c r="P101" s="250">
        <f>IF(P$6=$C101,IF(INDEX('Surface DEET'!$Q$9:$W$38,COLUMN(P94)-COLUMN($E$5),4)&gt;0,INDEX('Surface DEET'!$Q$9:$W$38,COLUMN(P94)-COLUMN($E$5),4),$E101),0)</f>
        <v>0</v>
      </c>
      <c r="Q101" s="250">
        <f>IF(Q$6=$C101,IF(INDEX('Surface DEET'!$Q$9:$W$38,COLUMN(Q94)-COLUMN($E$5),4)&gt;0,INDEX('Surface DEET'!$Q$9:$W$38,COLUMN(Q94)-COLUMN($E$5),4),$E101),0)</f>
        <v>0</v>
      </c>
      <c r="R101" s="250">
        <f>IF(R$6=$C101,IF(INDEX('Surface DEET'!$Q$9:$W$38,COLUMN(R94)-COLUMN($E$5),4)&gt;0,INDEX('Surface DEET'!$Q$9:$W$38,COLUMN(R94)-COLUMN($E$5),4),$E101),0)</f>
        <v>0</v>
      </c>
      <c r="S101" s="250">
        <f>IF(S$6=$C101,IF(INDEX('Surface DEET'!$Q$9:$W$38,COLUMN(S94)-COLUMN($E$5),4)&gt;0,INDEX('Surface DEET'!$Q$9:$W$38,COLUMN(S94)-COLUMN($E$5),4),$E101),0)</f>
        <v>0</v>
      </c>
      <c r="T101" s="250">
        <f>IF(T$6=$C101,IF(INDEX('Surface DEET'!$Q$9:$W$38,COLUMN(T94)-COLUMN($E$5),4)&gt;0,INDEX('Surface DEET'!$Q$9:$W$38,COLUMN(T94)-COLUMN($E$5),4),$E101),0)</f>
        <v>0</v>
      </c>
      <c r="U101" s="250">
        <f>IF(U$6=$C101,IF(INDEX('Surface DEET'!$Q$9:$W$38,COLUMN(U94)-COLUMN($E$5),4)&gt;0,INDEX('Surface DEET'!$Q$9:$W$38,COLUMN(U94)-COLUMN($E$5),4),$E101),0)</f>
        <v>0</v>
      </c>
      <c r="V101" s="250">
        <f>IF(V$6=$C101,IF(INDEX('Surface DEET'!$Q$9:$W$38,COLUMN(V94)-COLUMN($E$5),4)&gt;0,INDEX('Surface DEET'!$Q$9:$W$38,COLUMN(V94)-COLUMN($E$5),4),$E101),0)</f>
        <v>0</v>
      </c>
      <c r="W101" s="250">
        <f>IF(W$6=$C101,IF(INDEX('Surface DEET'!$Q$9:$W$38,COLUMN(W94)-COLUMN($E$5),4)&gt;0,INDEX('Surface DEET'!$Q$9:$W$38,COLUMN(W94)-COLUMN($E$5),4),$E101),0)</f>
        <v>0</v>
      </c>
      <c r="X101" s="250">
        <f>IF(X$6=$C101,IF(INDEX('Surface DEET'!$Q$9:$W$38,COLUMN(X94)-COLUMN($E$5),4)&gt;0,INDEX('Surface DEET'!$Q$9:$W$38,COLUMN(X94)-COLUMN($E$5),4),$E101),0)</f>
        <v>0</v>
      </c>
      <c r="Y101" s="250">
        <f>IF(Y$6=$C101,IF(INDEX('Surface DEET'!$Q$9:$W$38,COLUMN(Y94)-COLUMN($E$5),4)&gt;0,INDEX('Surface DEET'!$Q$9:$W$38,COLUMN(Y94)-COLUMN($E$5),4),$E101),0)</f>
        <v>0</v>
      </c>
      <c r="Z101" s="250">
        <f>IF(Z$6=$C101,IF(INDEX('Surface DEET'!$Q$9:$W$38,COLUMN(Z94)-COLUMN($E$5),4)&gt;0,INDEX('Surface DEET'!$Q$9:$W$38,COLUMN(Z94)-COLUMN($E$5),4),$E101),0)</f>
        <v>0</v>
      </c>
      <c r="AA101" s="250">
        <f>IF(AA$6=$C101,IF(INDEX('Surface DEET'!$Q$9:$W$38,COLUMN(AA94)-COLUMN($E$5),4)&gt;0,INDEX('Surface DEET'!$Q$9:$W$38,COLUMN(AA94)-COLUMN($E$5),4),$E101),0)</f>
        <v>0</v>
      </c>
      <c r="AB101" s="250">
        <f>IF(AB$6=$C101,IF(INDEX('Surface DEET'!$Q$9:$W$38,COLUMN(AB94)-COLUMN($E$5),4)&gt;0,INDEX('Surface DEET'!$Q$9:$W$38,COLUMN(AB94)-COLUMN($E$5),4),$E101),0)</f>
        <v>0</v>
      </c>
      <c r="AC101" s="250">
        <f>IF(AC$6=$C101,IF(INDEX('Surface DEET'!$Q$9:$W$38,COLUMN(AC94)-COLUMN($E$5),4)&gt;0,INDEX('Surface DEET'!$Q$9:$W$38,COLUMN(AC94)-COLUMN($E$5),4),$E101),0)</f>
        <v>0</v>
      </c>
      <c r="AD101" s="250">
        <f>IF(AD$6=$C101,IF(INDEX('Surface DEET'!$Q$9:$W$38,COLUMN(AD94)-COLUMN($E$5),4)&gt;0,INDEX('Surface DEET'!$Q$9:$W$38,COLUMN(AD94)-COLUMN($E$5),4),$E101),0)</f>
        <v>0</v>
      </c>
      <c r="AE101" s="250">
        <f>IF(AE$6=$C101,IF(INDEX('Surface DEET'!$Q$9:$W$38,COLUMN(AE94)-COLUMN($E$5),4)&gt;0,INDEX('Surface DEET'!$Q$9:$W$38,COLUMN(AE94)-COLUMN($E$5),4),$E101),0)</f>
        <v>0</v>
      </c>
      <c r="AF101" s="250">
        <f>IF(AF$6=$C101,IF(INDEX('Surface DEET'!$Q$9:$W$38,COLUMN(AF94)-COLUMN($E$5),4)&gt;0,INDEX('Surface DEET'!$Q$9:$W$38,COLUMN(AF94)-COLUMN($E$5),4),$E101),0)</f>
        <v>0</v>
      </c>
      <c r="AG101" s="250">
        <f>IF(AG$6=$C101,IF(INDEX('Surface DEET'!$Q$9:$W$38,COLUMN(AG94)-COLUMN($E$5),4)&gt;0,INDEX('Surface DEET'!$Q$9:$W$38,COLUMN(AG94)-COLUMN($E$5),4),$E101),0)</f>
        <v>0</v>
      </c>
      <c r="AH101" s="250">
        <f>IF(AH$6=$C101,IF(INDEX('Surface DEET'!$Q$9:$W$38,COLUMN(AH94)-COLUMN($E$5),4)&gt;0,INDEX('Surface DEET'!$Q$9:$W$38,COLUMN(AH94)-COLUMN($E$5),4),$E101),0)</f>
        <v>0</v>
      </c>
      <c r="AI101" s="250">
        <f>IF(AI$6=$C101,IF(INDEX('Surface DEET'!$Q$9:$W$38,COLUMN(AI94)-COLUMN($E$5),4)&gt;0,INDEX('Surface DEET'!$Q$9:$W$38,COLUMN(AI94)-COLUMN($E$5),4),$E101),0)</f>
        <v>0</v>
      </c>
    </row>
    <row r="102" spans="1:35">
      <c r="A102" s="691"/>
      <c r="B102" s="250" t="s">
        <v>543</v>
      </c>
      <c r="C102" s="30" t="s">
        <v>613</v>
      </c>
      <c r="D102" s="296" t="s">
        <v>615</v>
      </c>
      <c r="E102" s="299"/>
      <c r="F102" s="250">
        <f>IF(F$6=$C102,IF(INDEX('Surface DEET'!$F$9:$W$38,COLUMN(F95)-COLUMN($E$5),7)&gt;0,INDEX('Surface DEET'!$F$9:$W$38,COLUMN(F95)-COLUMN($E$5),1),$E102),0)</f>
        <v>0</v>
      </c>
      <c r="G102" s="250">
        <f>IF(G$6=$C102,IF(INDEX('Surface DEET'!$F$9:$W$38,COLUMN(G95)-COLUMN($E$5),7)&gt;0,INDEX('Surface DEET'!$F$9:$W$38,COLUMN(G95)-COLUMN($E$5),1),$E102),0)</f>
        <v>0</v>
      </c>
      <c r="H102" s="250">
        <f>IF(H$6=$C102,IF(INDEX('Surface DEET'!$F$9:$W$38,COLUMN(H95)-COLUMN($E$5),7)&gt;0,INDEX('Surface DEET'!$F$9:$W$38,COLUMN(H95)-COLUMN($E$5),1),$E102),0)</f>
        <v>0</v>
      </c>
      <c r="I102" s="250">
        <f>IF(I$6=$C102,IF(INDEX('Surface DEET'!$F$9:$W$38,COLUMN(I95)-COLUMN($E$5),7)&gt;0,INDEX('Surface DEET'!$F$9:$W$38,COLUMN(I95)-COLUMN($E$5),1),$E102),0)</f>
        <v>0</v>
      </c>
      <c r="J102" s="250">
        <f>IF(J$6=$C102,IF(INDEX('Surface DEET'!$F$9:$W$38,COLUMN(J95)-COLUMN($E$5),7)&gt;0,INDEX('Surface DEET'!$F$9:$W$38,COLUMN(J95)-COLUMN($E$5),1),$E102),0)</f>
        <v>0</v>
      </c>
      <c r="K102" s="250">
        <f>IF(K$6=$C102,IF(INDEX('Surface DEET'!$F$9:$W$38,COLUMN(K95)-COLUMN($E$5),7)&gt;0,INDEX('Surface DEET'!$F$9:$W$38,COLUMN(K95)-COLUMN($E$5),1),$E102),0)</f>
        <v>0</v>
      </c>
      <c r="L102" s="250">
        <f>IF(L$6=$C102,IF(INDEX('Surface DEET'!$F$9:$W$38,COLUMN(L95)-COLUMN($E$5),7)&gt;0,INDEX('Surface DEET'!$F$9:$W$38,COLUMN(L95)-COLUMN($E$5),1),$E102),0)</f>
        <v>0</v>
      </c>
      <c r="M102" s="250">
        <f>IF(M$6=$C102,IF(INDEX('Surface DEET'!$F$9:$W$38,COLUMN(M95)-COLUMN($E$5),7)&gt;0,INDEX('Surface DEET'!$F$9:$W$38,COLUMN(M95)-COLUMN($E$5),1),$E102),0)</f>
        <v>0</v>
      </c>
      <c r="N102" s="250">
        <f>IF(N$6=$C102,IF(INDEX('Surface DEET'!$F$9:$W$38,COLUMN(N95)-COLUMN($E$5),7)&gt;0,INDEX('Surface DEET'!$F$9:$W$38,COLUMN(N95)-COLUMN($E$5),1),$E102),0)</f>
        <v>0</v>
      </c>
      <c r="O102" s="250">
        <f>IF(O$6=$C102,IF(INDEX('Surface DEET'!$F$9:$W$38,COLUMN(O95)-COLUMN($E$5),7)&gt;0,INDEX('Surface DEET'!$F$9:$W$38,COLUMN(O95)-COLUMN($E$5),1),$E102),0)</f>
        <v>0</v>
      </c>
      <c r="P102" s="250">
        <f>IF(P$6=$C102,IF(INDEX('Surface DEET'!$F$9:$W$38,COLUMN(P95)-COLUMN($E$5),7)&gt;0,INDEX('Surface DEET'!$F$9:$W$38,COLUMN(P95)-COLUMN($E$5),1),$E102),0)</f>
        <v>0</v>
      </c>
      <c r="Q102" s="250">
        <f>IF(Q$6=$C102,IF(INDEX('Surface DEET'!$F$9:$W$38,COLUMN(Q95)-COLUMN($E$5),7)&gt;0,INDEX('Surface DEET'!$F$9:$W$38,COLUMN(Q95)-COLUMN($E$5),1),$E102),0)</f>
        <v>0</v>
      </c>
      <c r="R102" s="250">
        <f>IF(R$6=$C102,IF(INDEX('Surface DEET'!$F$9:$W$38,COLUMN(R95)-COLUMN($E$5),7)&gt;0,INDEX('Surface DEET'!$F$9:$W$38,COLUMN(R95)-COLUMN($E$5),1),$E102),0)</f>
        <v>0</v>
      </c>
      <c r="S102" s="250">
        <f>IF(S$6=$C102,IF(INDEX('Surface DEET'!$F$9:$W$38,COLUMN(S95)-COLUMN($E$5),7)&gt;0,INDEX('Surface DEET'!$F$9:$W$38,COLUMN(S95)-COLUMN($E$5),1),$E102),0)</f>
        <v>0</v>
      </c>
      <c r="T102" s="250">
        <f>IF(T$6=$C102,IF(INDEX('Surface DEET'!$F$9:$W$38,COLUMN(T95)-COLUMN($E$5),7)&gt;0,INDEX('Surface DEET'!$F$9:$W$38,COLUMN(T95)-COLUMN($E$5),1),$E102),0)</f>
        <v>0</v>
      </c>
      <c r="U102" s="250">
        <f>IF(U$6=$C102,IF(INDEX('Surface DEET'!$F$9:$W$38,COLUMN(U95)-COLUMN($E$5),7)&gt;0,INDEX('Surface DEET'!$F$9:$W$38,COLUMN(U95)-COLUMN($E$5),1),$E102),0)</f>
        <v>0</v>
      </c>
      <c r="V102" s="250">
        <f>IF(V$6=$C102,IF(INDEX('Surface DEET'!$F$9:$W$38,COLUMN(V95)-COLUMN($E$5),7)&gt;0,INDEX('Surface DEET'!$F$9:$W$38,COLUMN(V95)-COLUMN($E$5),1),$E102),0)</f>
        <v>0</v>
      </c>
      <c r="W102" s="250">
        <f>IF(W$6=$C102,IF(INDEX('Surface DEET'!$F$9:$W$38,COLUMN(W95)-COLUMN($E$5),7)&gt;0,INDEX('Surface DEET'!$F$9:$W$38,COLUMN(W95)-COLUMN($E$5),1),$E102),0)</f>
        <v>0</v>
      </c>
      <c r="X102" s="250">
        <f>IF(X$6=$C102,IF(INDEX('Surface DEET'!$F$9:$W$38,COLUMN(X95)-COLUMN($E$5),7)&gt;0,INDEX('Surface DEET'!$F$9:$W$38,COLUMN(X95)-COLUMN($E$5),1),$E102),0)</f>
        <v>0</v>
      </c>
      <c r="Y102" s="250">
        <f>IF(Y$6=$C102,IF(INDEX('Surface DEET'!$F$9:$W$38,COLUMN(Y95)-COLUMN($E$5),7)&gt;0,INDEX('Surface DEET'!$F$9:$W$38,COLUMN(Y95)-COLUMN($E$5),1),$E102),0)</f>
        <v>0</v>
      </c>
      <c r="Z102" s="250">
        <f>IF(Z$6=$C102,IF(INDEX('Surface DEET'!$F$9:$W$38,COLUMN(Z95)-COLUMN($E$5),7)&gt;0,INDEX('Surface DEET'!$F$9:$W$38,COLUMN(Z95)-COLUMN($E$5),1),$E102),0)</f>
        <v>0</v>
      </c>
      <c r="AA102" s="250">
        <f>IF(AA$6=$C102,IF(INDEX('Surface DEET'!$F$9:$W$38,COLUMN(AA95)-COLUMN($E$5),7)&gt;0,INDEX('Surface DEET'!$F$9:$W$38,COLUMN(AA95)-COLUMN($E$5),1),$E102),0)</f>
        <v>0</v>
      </c>
      <c r="AB102" s="250">
        <f>IF(AB$6=$C102,IF(INDEX('Surface DEET'!$F$9:$W$38,COLUMN(AB95)-COLUMN($E$5),7)&gt;0,INDEX('Surface DEET'!$F$9:$W$38,COLUMN(AB95)-COLUMN($E$5),1),$E102),0)</f>
        <v>0</v>
      </c>
      <c r="AC102" s="250">
        <f>IF(AC$6=$C102,IF(INDEX('Surface DEET'!$F$9:$W$38,COLUMN(AC95)-COLUMN($E$5),7)&gt;0,INDEX('Surface DEET'!$F$9:$W$38,COLUMN(AC95)-COLUMN($E$5),1),$E102),0)</f>
        <v>0</v>
      </c>
      <c r="AD102" s="250">
        <f>IF(AD$6=$C102,IF(INDEX('Surface DEET'!$F$9:$W$38,COLUMN(AD95)-COLUMN($E$5),7)&gt;0,INDEX('Surface DEET'!$F$9:$W$38,COLUMN(AD95)-COLUMN($E$5),1),$E102),0)</f>
        <v>0</v>
      </c>
      <c r="AE102" s="250">
        <f>IF(AE$6=$C102,IF(INDEX('Surface DEET'!$F$9:$W$38,COLUMN(AE95)-COLUMN($E$5),7)&gt;0,INDEX('Surface DEET'!$F$9:$W$38,COLUMN(AE95)-COLUMN($E$5),1),$E102),0)</f>
        <v>0</v>
      </c>
      <c r="AF102" s="250">
        <f>IF(AF$6=$C102,IF(INDEX('Surface DEET'!$F$9:$W$38,COLUMN(AF95)-COLUMN($E$5),7)&gt;0,INDEX('Surface DEET'!$F$9:$W$38,COLUMN(AF95)-COLUMN($E$5),1),$E102),0)</f>
        <v>0</v>
      </c>
      <c r="AG102" s="250">
        <f>IF(AG$6=$C102,IF(INDEX('Surface DEET'!$F$9:$W$38,COLUMN(AG95)-COLUMN($E$5),7)&gt;0,INDEX('Surface DEET'!$F$9:$W$38,COLUMN(AG95)-COLUMN($E$5),1),$E102),0)</f>
        <v>0</v>
      </c>
      <c r="AH102" s="250">
        <f>IF(AH$6=$C102,IF(INDEX('Surface DEET'!$F$9:$W$38,COLUMN(AH95)-COLUMN($E$5),7)&gt;0,INDEX('Surface DEET'!$F$9:$W$38,COLUMN(AH95)-COLUMN($E$5),1),$E102),0)</f>
        <v>0</v>
      </c>
      <c r="AI102" s="250">
        <f>IF(AI$6=$C102,IF(INDEX('Surface DEET'!$F$9:$W$38,COLUMN(AI95)-COLUMN($E$5),7)&gt;0,INDEX('Surface DEET'!$F$9:$W$38,COLUMN(AI95)-COLUMN($E$5),1),$E102),0)</f>
        <v>0</v>
      </c>
    </row>
    <row r="103" spans="1:35">
      <c r="A103" s="691"/>
      <c r="B103" s="296" t="s">
        <v>611</v>
      </c>
      <c r="C103" s="30" t="s">
        <v>613</v>
      </c>
      <c r="D103" s="296" t="s">
        <v>611</v>
      </c>
      <c r="E103" s="299">
        <v>-7.6999999999999996E-4</v>
      </c>
    </row>
    <row r="104" spans="1:35">
      <c r="A104" s="691"/>
      <c r="B104" s="296" t="s">
        <v>612</v>
      </c>
      <c r="C104" s="30" t="s">
        <v>613</v>
      </c>
      <c r="D104" s="296" t="s">
        <v>612</v>
      </c>
      <c r="E104" s="299">
        <v>27</v>
      </c>
    </row>
    <row r="105" spans="1:35">
      <c r="A105" s="691"/>
      <c r="B105" s="250" t="s">
        <v>533</v>
      </c>
      <c r="C105" s="30" t="s">
        <v>613</v>
      </c>
      <c r="D105" s="250" t="s">
        <v>533</v>
      </c>
      <c r="F105" s="250">
        <f>IFERROR((F100/$E$100)*(1.05*F101*(F101*$E$103+$E$104)/F102+$E$97*(1-$E$99))+0.28*$E$96*(F100-$E$100)/$E$100,0)</f>
        <v>0</v>
      </c>
      <c r="G105" s="250">
        <f t="shared" ref="G105:AI105" si="11">IFERROR((G100/$E$100)*(1.05*G101*(G101*$E$103+$E$104)/G102+$E$97*(1-$E$99))+0.28*$E$96*(G100-$E$100)/$E$100,0)</f>
        <v>0</v>
      </c>
      <c r="H105" s="250">
        <f t="shared" si="11"/>
        <v>0</v>
      </c>
      <c r="I105" s="250">
        <f t="shared" si="11"/>
        <v>0</v>
      </c>
      <c r="J105" s="250">
        <f t="shared" si="11"/>
        <v>0</v>
      </c>
      <c r="K105" s="250">
        <f t="shared" si="11"/>
        <v>0</v>
      </c>
      <c r="L105" s="250">
        <f t="shared" si="11"/>
        <v>0</v>
      </c>
      <c r="M105" s="250">
        <f t="shared" si="11"/>
        <v>0</v>
      </c>
      <c r="N105" s="250">
        <f t="shared" si="11"/>
        <v>0</v>
      </c>
      <c r="O105" s="250">
        <f t="shared" si="11"/>
        <v>0</v>
      </c>
      <c r="P105" s="250">
        <f t="shared" si="11"/>
        <v>0</v>
      </c>
      <c r="Q105" s="250">
        <f t="shared" si="11"/>
        <v>0</v>
      </c>
      <c r="R105" s="250">
        <f t="shared" si="11"/>
        <v>0</v>
      </c>
      <c r="S105" s="250">
        <f t="shared" si="11"/>
        <v>0</v>
      </c>
      <c r="T105" s="250">
        <f t="shared" si="11"/>
        <v>0</v>
      </c>
      <c r="U105" s="250">
        <f t="shared" si="11"/>
        <v>0</v>
      </c>
      <c r="V105" s="250">
        <f t="shared" si="11"/>
        <v>0</v>
      </c>
      <c r="W105" s="250">
        <f t="shared" si="11"/>
        <v>0</v>
      </c>
      <c r="X105" s="250">
        <f t="shared" si="11"/>
        <v>0</v>
      </c>
      <c r="Y105" s="250">
        <f t="shared" si="11"/>
        <v>0</v>
      </c>
      <c r="Z105" s="250">
        <f t="shared" si="11"/>
        <v>0</v>
      </c>
      <c r="AA105" s="250">
        <f t="shared" si="11"/>
        <v>0</v>
      </c>
      <c r="AB105" s="250">
        <f t="shared" si="11"/>
        <v>0</v>
      </c>
      <c r="AC105" s="250">
        <f t="shared" si="11"/>
        <v>0</v>
      </c>
      <c r="AD105" s="250">
        <f t="shared" si="11"/>
        <v>0</v>
      </c>
      <c r="AE105" s="250">
        <f t="shared" si="11"/>
        <v>0</v>
      </c>
      <c r="AF105" s="250">
        <f t="shared" si="11"/>
        <v>0</v>
      </c>
      <c r="AG105" s="250">
        <f t="shared" si="11"/>
        <v>0</v>
      </c>
      <c r="AH105" s="250">
        <f t="shared" si="11"/>
        <v>0</v>
      </c>
      <c r="AI105" s="250">
        <f t="shared" si="11"/>
        <v>0</v>
      </c>
    </row>
    <row r="106" spans="1:35">
      <c r="A106" s="690" t="s">
        <v>616</v>
      </c>
      <c r="B106" s="88" t="s">
        <v>294</v>
      </c>
      <c r="C106" s="30" t="s">
        <v>616</v>
      </c>
      <c r="D106" s="88" t="s">
        <v>294</v>
      </c>
      <c r="E106" s="250">
        <f t="array" ref="E106">INDEX(CABS_CVC!$C$3:$O$870,MATCH(1, (CABS_CVC!$A$3:$A$870=Calculs_CABS!C106)*(CABS_CVC!$B$3:$B$870=Calculs_CABS!$D$2),0),MATCH(Calculs_CABS!$D$1,Liste_CABS!$B$3:$B$15,0))</f>
        <v>32</v>
      </c>
    </row>
    <row r="107" spans="1:35">
      <c r="A107" s="690"/>
      <c r="B107" s="250" t="s">
        <v>534</v>
      </c>
      <c r="C107" s="30" t="s">
        <v>616</v>
      </c>
      <c r="D107" s="250" t="s">
        <v>534</v>
      </c>
      <c r="E107" s="250">
        <v>50</v>
      </c>
    </row>
    <row r="108" spans="1:35">
      <c r="A108" s="690"/>
      <c r="B108" s="250" t="s">
        <v>535</v>
      </c>
      <c r="C108" s="30" t="s">
        <v>616</v>
      </c>
      <c r="D108" s="250" t="s">
        <v>535</v>
      </c>
      <c r="E108" s="250">
        <f>E106+E107</f>
        <v>82</v>
      </c>
    </row>
    <row r="109" spans="1:35">
      <c r="A109" s="690"/>
      <c r="B109" s="250" t="s">
        <v>536</v>
      </c>
      <c r="C109" s="30" t="s">
        <v>616</v>
      </c>
      <c r="D109" s="250" t="s">
        <v>536</v>
      </c>
      <c r="E109" s="250">
        <v>0.66</v>
      </c>
    </row>
    <row r="110" spans="1:35">
      <c r="A110" s="690"/>
      <c r="B110" s="250" t="s">
        <v>537</v>
      </c>
      <c r="C110" s="30" t="s">
        <v>616</v>
      </c>
      <c r="D110" s="296" t="s">
        <v>600</v>
      </c>
      <c r="E110" s="250">
        <v>3120</v>
      </c>
      <c r="F110" s="250">
        <f>IF(F$6=$C110,IF(INDEX('Surface DEET'!$Q$9:$W$38,COLUMN(F103)-COLUMN($E$5),1)&gt;0,INDEX('Surface DEET'!$Q$9:$W$38,COLUMN(F103)-COLUMN($E$5),1),$E110),0)</f>
        <v>0</v>
      </c>
      <c r="G110" s="250">
        <f>IF(G$6=$C110,IF(INDEX('Surface DEET'!$Q$9:$W$38,COLUMN(G103)-COLUMN($E$5),1)&gt;0,INDEX('Surface DEET'!$Q$9:$W$38,COLUMN(G103)-COLUMN($E$5),1),$E110),0)</f>
        <v>0</v>
      </c>
      <c r="H110" s="250">
        <f>IF(H$6=$C110,IF(INDEX('Surface DEET'!$Q$9:$W$38,COLUMN(H103)-COLUMN($E$5),1)&gt;0,INDEX('Surface DEET'!$Q$9:$W$38,COLUMN(H103)-COLUMN($E$5),1),$E110),0)</f>
        <v>0</v>
      </c>
      <c r="I110" s="250">
        <f>IF(I$6=$C110,IF(INDEX('Surface DEET'!$Q$9:$W$38,COLUMN(I103)-COLUMN($E$5),1)&gt;0,INDEX('Surface DEET'!$Q$9:$W$38,COLUMN(I103)-COLUMN($E$5),1),$E110),0)</f>
        <v>0</v>
      </c>
      <c r="J110" s="250">
        <f>IF(J$6=$C110,IF(INDEX('Surface DEET'!$Q$9:$W$38,COLUMN(J103)-COLUMN($E$5),1)&gt;0,INDEX('Surface DEET'!$Q$9:$W$38,COLUMN(J103)-COLUMN($E$5),1),$E110),0)</f>
        <v>0</v>
      </c>
      <c r="K110" s="250">
        <f>IF(K$6=$C110,IF(INDEX('Surface DEET'!$Q$9:$W$38,COLUMN(K103)-COLUMN($E$5),1)&gt;0,INDEX('Surface DEET'!$Q$9:$W$38,COLUMN(K103)-COLUMN($E$5),1),$E110),0)</f>
        <v>0</v>
      </c>
      <c r="L110" s="250">
        <f>IF(L$6=$C110,IF(INDEX('Surface DEET'!$Q$9:$W$38,COLUMN(L103)-COLUMN($E$5),1)&gt;0,INDEX('Surface DEET'!$Q$9:$W$38,COLUMN(L103)-COLUMN($E$5),1),$E110),0)</f>
        <v>0</v>
      </c>
      <c r="M110" s="250">
        <f>IF(M$6=$C110,IF(INDEX('Surface DEET'!$Q$9:$W$38,COLUMN(M103)-COLUMN($E$5),1)&gt;0,INDEX('Surface DEET'!$Q$9:$W$38,COLUMN(M103)-COLUMN($E$5),1),$E110),0)</f>
        <v>0</v>
      </c>
      <c r="N110" s="250">
        <f>IF(N$6=$C110,IF(INDEX('Surface DEET'!$Q$9:$W$38,COLUMN(N103)-COLUMN($E$5),1)&gt;0,INDEX('Surface DEET'!$Q$9:$W$38,COLUMN(N103)-COLUMN($E$5),1),$E110),0)</f>
        <v>0</v>
      </c>
      <c r="O110" s="250">
        <f>IF(O$6=$C110,IF(INDEX('Surface DEET'!$Q$9:$W$38,COLUMN(O103)-COLUMN($E$5),1)&gt;0,INDEX('Surface DEET'!$Q$9:$W$38,COLUMN(O103)-COLUMN($E$5),1),$E110),0)</f>
        <v>0</v>
      </c>
      <c r="P110" s="250">
        <f>IF(P$6=$C110,IF(INDEX('Surface DEET'!$Q$9:$W$38,COLUMN(P103)-COLUMN($E$5),1)&gt;0,INDEX('Surface DEET'!$Q$9:$W$38,COLUMN(P103)-COLUMN($E$5),1),$E110),0)</f>
        <v>0</v>
      </c>
      <c r="Q110" s="250">
        <f>IF(Q$6=$C110,IF(INDEX('Surface DEET'!$Q$9:$W$38,COLUMN(Q103)-COLUMN($E$5),1)&gt;0,INDEX('Surface DEET'!$Q$9:$W$38,COLUMN(Q103)-COLUMN($E$5),1),$E110),0)</f>
        <v>0</v>
      </c>
      <c r="R110" s="250">
        <f>IF(R$6=$C110,IF(INDEX('Surface DEET'!$Q$9:$W$38,COLUMN(R103)-COLUMN($E$5),1)&gt;0,INDEX('Surface DEET'!$Q$9:$W$38,COLUMN(R103)-COLUMN($E$5),1),$E110),0)</f>
        <v>0</v>
      </c>
      <c r="S110" s="250">
        <f>IF(S$6=$C110,IF(INDEX('Surface DEET'!$Q$9:$W$38,COLUMN(S103)-COLUMN($E$5),1)&gt;0,INDEX('Surface DEET'!$Q$9:$W$38,COLUMN(S103)-COLUMN($E$5),1),$E110),0)</f>
        <v>0</v>
      </c>
      <c r="T110" s="250">
        <f>IF(T$6=$C110,IF(INDEX('Surface DEET'!$Q$9:$W$38,COLUMN(T103)-COLUMN($E$5),1)&gt;0,INDEX('Surface DEET'!$Q$9:$W$38,COLUMN(T103)-COLUMN($E$5),1),$E110),0)</f>
        <v>0</v>
      </c>
      <c r="U110" s="250">
        <f>IF(U$6=$C110,IF(INDEX('Surface DEET'!$Q$9:$W$38,COLUMN(U103)-COLUMN($E$5),1)&gt;0,INDEX('Surface DEET'!$Q$9:$W$38,COLUMN(U103)-COLUMN($E$5),1),$E110),0)</f>
        <v>0</v>
      </c>
      <c r="V110" s="250">
        <f>IF(V$6=$C110,IF(INDEX('Surface DEET'!$Q$9:$W$38,COLUMN(V103)-COLUMN($E$5),1)&gt;0,INDEX('Surface DEET'!$Q$9:$W$38,COLUMN(V103)-COLUMN($E$5),1),$E110),0)</f>
        <v>0</v>
      </c>
      <c r="W110" s="250">
        <f>IF(W$6=$C110,IF(INDEX('Surface DEET'!$Q$9:$W$38,COLUMN(W103)-COLUMN($E$5),1)&gt;0,INDEX('Surface DEET'!$Q$9:$W$38,COLUMN(W103)-COLUMN($E$5),1),$E110),0)</f>
        <v>0</v>
      </c>
      <c r="X110" s="250">
        <f>IF(X$6=$C110,IF(INDEX('Surface DEET'!$Q$9:$W$38,COLUMN(X103)-COLUMN($E$5),1)&gt;0,INDEX('Surface DEET'!$Q$9:$W$38,COLUMN(X103)-COLUMN($E$5),1),$E110),0)</f>
        <v>0</v>
      </c>
      <c r="Y110" s="250">
        <f>IF(Y$6=$C110,IF(INDEX('Surface DEET'!$Q$9:$W$38,COLUMN(Y103)-COLUMN($E$5),1)&gt;0,INDEX('Surface DEET'!$Q$9:$W$38,COLUMN(Y103)-COLUMN($E$5),1),$E110),0)</f>
        <v>0</v>
      </c>
      <c r="Z110" s="250">
        <f>IF(Z$6=$C110,IF(INDEX('Surface DEET'!$Q$9:$W$38,COLUMN(Z103)-COLUMN($E$5),1)&gt;0,INDEX('Surface DEET'!$Q$9:$W$38,COLUMN(Z103)-COLUMN($E$5),1),$E110),0)</f>
        <v>0</v>
      </c>
      <c r="AA110" s="250">
        <f>IF(AA$6=$C110,IF(INDEX('Surface DEET'!$Q$9:$W$38,COLUMN(AA103)-COLUMN($E$5),1)&gt;0,INDEX('Surface DEET'!$Q$9:$W$38,COLUMN(AA103)-COLUMN($E$5),1),$E110),0)</f>
        <v>0</v>
      </c>
      <c r="AB110" s="250">
        <f>IF(AB$6=$C110,IF(INDEX('Surface DEET'!$Q$9:$W$38,COLUMN(AB103)-COLUMN($E$5),1)&gt;0,INDEX('Surface DEET'!$Q$9:$W$38,COLUMN(AB103)-COLUMN($E$5),1),$E110),0)</f>
        <v>0</v>
      </c>
      <c r="AC110" s="250">
        <f>IF(AC$6=$C110,IF(INDEX('Surface DEET'!$Q$9:$W$38,COLUMN(AC103)-COLUMN($E$5),1)&gt;0,INDEX('Surface DEET'!$Q$9:$W$38,COLUMN(AC103)-COLUMN($E$5),1),$E110),0)</f>
        <v>0</v>
      </c>
      <c r="AD110" s="250">
        <f>IF(AD$6=$C110,IF(INDEX('Surface DEET'!$Q$9:$W$38,COLUMN(AD103)-COLUMN($E$5),1)&gt;0,INDEX('Surface DEET'!$Q$9:$W$38,COLUMN(AD103)-COLUMN($E$5),1),$E110),0)</f>
        <v>0</v>
      </c>
      <c r="AE110" s="250">
        <f>IF(AE$6=$C110,IF(INDEX('Surface DEET'!$Q$9:$W$38,COLUMN(AE103)-COLUMN($E$5),1)&gt;0,INDEX('Surface DEET'!$Q$9:$W$38,COLUMN(AE103)-COLUMN($E$5),1),$E110),0)</f>
        <v>0</v>
      </c>
      <c r="AF110" s="250">
        <f>IF(AF$6=$C110,IF(INDEX('Surface DEET'!$Q$9:$W$38,COLUMN(AF103)-COLUMN($E$5),1)&gt;0,INDEX('Surface DEET'!$Q$9:$W$38,COLUMN(AF103)-COLUMN($E$5),1),$E110),0)</f>
        <v>0</v>
      </c>
      <c r="AG110" s="250">
        <f>IF(AG$6=$C110,IF(INDEX('Surface DEET'!$Q$9:$W$38,COLUMN(AG103)-COLUMN($E$5),1)&gt;0,INDEX('Surface DEET'!$Q$9:$W$38,COLUMN(AG103)-COLUMN($E$5),1),$E110),0)</f>
        <v>0</v>
      </c>
      <c r="AH110" s="250">
        <f>IF(AH$6=$C110,IF(INDEX('Surface DEET'!$Q$9:$W$38,COLUMN(AH103)-COLUMN($E$5),1)&gt;0,INDEX('Surface DEET'!$Q$9:$W$38,COLUMN(AH103)-COLUMN($E$5),1),$E110),0)</f>
        <v>0</v>
      </c>
      <c r="AI110" s="250">
        <f>IF(AI$6=$C110,IF(INDEX('Surface DEET'!$Q$9:$W$38,COLUMN(AI103)-COLUMN($E$5),1)&gt;0,INDEX('Surface DEET'!$Q$9:$W$38,COLUMN(AI103)-COLUMN($E$5),1),$E110),0)</f>
        <v>0</v>
      </c>
    </row>
    <row r="111" spans="1:35">
      <c r="A111" s="690"/>
      <c r="B111" s="250" t="s">
        <v>540</v>
      </c>
      <c r="C111" s="30" t="s">
        <v>616</v>
      </c>
      <c r="D111" s="296" t="s">
        <v>617</v>
      </c>
      <c r="E111" s="250">
        <v>18</v>
      </c>
      <c r="F111" s="250">
        <f>IF(F$6=$C111,IF(INDEX('Surface DEET'!$Q$9:$W$38,COLUMN(F104)-COLUMN($E$5),4)&gt;0,INDEX('Surface DEET'!$Q$9:$W$38,COLUMN(F104)-COLUMN($E$5),4),$E111),0)</f>
        <v>0</v>
      </c>
      <c r="G111" s="250">
        <f>IF(G$6=$C111,IF(INDEX('Surface DEET'!$Q$9:$W$38,COLUMN(G104)-COLUMN($E$5),4)&gt;0,INDEX('Surface DEET'!$Q$9:$W$38,COLUMN(G104)-COLUMN($E$5),4),$E111),0)</f>
        <v>0</v>
      </c>
      <c r="H111" s="250">
        <f>IF(H$6=$C111,IF(INDEX('Surface DEET'!$Q$9:$W$38,COLUMN(H104)-COLUMN($E$5),4)&gt;0,INDEX('Surface DEET'!$Q$9:$W$38,COLUMN(H104)-COLUMN($E$5),4),$E111),0)</f>
        <v>0</v>
      </c>
      <c r="I111" s="250">
        <f>IF(I$6=$C111,IF(INDEX('Surface DEET'!$Q$9:$W$38,COLUMN(I104)-COLUMN($E$5),4)&gt;0,INDEX('Surface DEET'!$Q$9:$W$38,COLUMN(I104)-COLUMN($E$5),4),$E111),0)</f>
        <v>0</v>
      </c>
      <c r="J111" s="250">
        <f>IF(J$6=$C111,IF(INDEX('Surface DEET'!$Q$9:$W$38,COLUMN(J104)-COLUMN($E$5),4)&gt;0,INDEX('Surface DEET'!$Q$9:$W$38,COLUMN(J104)-COLUMN($E$5),4),$E111),0)</f>
        <v>0</v>
      </c>
      <c r="K111" s="250">
        <f>IF(K$6=$C111,IF(INDEX('Surface DEET'!$Q$9:$W$38,COLUMN(K104)-COLUMN($E$5),4)&gt;0,INDEX('Surface DEET'!$Q$9:$W$38,COLUMN(K104)-COLUMN($E$5),4),$E111),0)</f>
        <v>0</v>
      </c>
      <c r="L111" s="250">
        <f>IF(L$6=$C111,IF(INDEX('Surface DEET'!$Q$9:$W$38,COLUMN(L104)-COLUMN($E$5),4)&gt;0,INDEX('Surface DEET'!$Q$9:$W$38,COLUMN(L104)-COLUMN($E$5),4),$E111),0)</f>
        <v>0</v>
      </c>
      <c r="M111" s="250">
        <f>IF(M$6=$C111,IF(INDEX('Surface DEET'!$Q$9:$W$38,COLUMN(M104)-COLUMN($E$5),4)&gt;0,INDEX('Surface DEET'!$Q$9:$W$38,COLUMN(M104)-COLUMN($E$5),4),$E111),0)</f>
        <v>0</v>
      </c>
      <c r="N111" s="250">
        <f>IF(N$6=$C111,IF(INDEX('Surface DEET'!$Q$9:$W$38,COLUMN(N104)-COLUMN($E$5),4)&gt;0,INDEX('Surface DEET'!$Q$9:$W$38,COLUMN(N104)-COLUMN($E$5),4),$E111),0)</f>
        <v>0</v>
      </c>
      <c r="O111" s="250">
        <f>IF(O$6=$C111,IF(INDEX('Surface DEET'!$Q$9:$W$38,COLUMN(O104)-COLUMN($E$5),4)&gt;0,INDEX('Surface DEET'!$Q$9:$W$38,COLUMN(O104)-COLUMN($E$5),4),$E111),0)</f>
        <v>0</v>
      </c>
      <c r="P111" s="250">
        <f>IF(P$6=$C111,IF(INDEX('Surface DEET'!$Q$9:$W$38,COLUMN(P104)-COLUMN($E$5),4)&gt;0,INDEX('Surface DEET'!$Q$9:$W$38,COLUMN(P104)-COLUMN($E$5),4),$E111),0)</f>
        <v>0</v>
      </c>
      <c r="Q111" s="250">
        <f>IF(Q$6=$C111,IF(INDEX('Surface DEET'!$Q$9:$W$38,COLUMN(Q104)-COLUMN($E$5),4)&gt;0,INDEX('Surface DEET'!$Q$9:$W$38,COLUMN(Q104)-COLUMN($E$5),4),$E111),0)</f>
        <v>0</v>
      </c>
      <c r="R111" s="250">
        <f>IF(R$6=$C111,IF(INDEX('Surface DEET'!$Q$9:$W$38,COLUMN(R104)-COLUMN($E$5),4)&gt;0,INDEX('Surface DEET'!$Q$9:$W$38,COLUMN(R104)-COLUMN($E$5),4),$E111),0)</f>
        <v>0</v>
      </c>
      <c r="S111" s="250">
        <f>IF(S$6=$C111,IF(INDEX('Surface DEET'!$Q$9:$W$38,COLUMN(S104)-COLUMN($E$5),4)&gt;0,INDEX('Surface DEET'!$Q$9:$W$38,COLUMN(S104)-COLUMN($E$5),4),$E111),0)</f>
        <v>0</v>
      </c>
      <c r="T111" s="250">
        <f>IF(T$6=$C111,IF(INDEX('Surface DEET'!$Q$9:$W$38,COLUMN(T104)-COLUMN($E$5),4)&gt;0,INDEX('Surface DEET'!$Q$9:$W$38,COLUMN(T104)-COLUMN($E$5),4),$E111),0)</f>
        <v>0</v>
      </c>
      <c r="U111" s="250">
        <f>IF(U$6=$C111,IF(INDEX('Surface DEET'!$Q$9:$W$38,COLUMN(U104)-COLUMN($E$5),4)&gt;0,INDEX('Surface DEET'!$Q$9:$W$38,COLUMN(U104)-COLUMN($E$5),4),$E111),0)</f>
        <v>0</v>
      </c>
      <c r="V111" s="250">
        <f>IF(V$6=$C111,IF(INDEX('Surface DEET'!$Q$9:$W$38,COLUMN(V104)-COLUMN($E$5),4)&gt;0,INDEX('Surface DEET'!$Q$9:$W$38,COLUMN(V104)-COLUMN($E$5),4),$E111),0)</f>
        <v>0</v>
      </c>
      <c r="W111" s="250">
        <f>IF(W$6=$C111,IF(INDEX('Surface DEET'!$Q$9:$W$38,COLUMN(W104)-COLUMN($E$5),4)&gt;0,INDEX('Surface DEET'!$Q$9:$W$38,COLUMN(W104)-COLUMN($E$5),4),$E111),0)</f>
        <v>0</v>
      </c>
      <c r="X111" s="250">
        <f>IF(X$6=$C111,IF(INDEX('Surface DEET'!$Q$9:$W$38,COLUMN(X104)-COLUMN($E$5),4)&gt;0,INDEX('Surface DEET'!$Q$9:$W$38,COLUMN(X104)-COLUMN($E$5),4),$E111),0)</f>
        <v>0</v>
      </c>
      <c r="Y111" s="250">
        <f>IF(Y$6=$C111,IF(INDEX('Surface DEET'!$Q$9:$W$38,COLUMN(Y104)-COLUMN($E$5),4)&gt;0,INDEX('Surface DEET'!$Q$9:$W$38,COLUMN(Y104)-COLUMN($E$5),4),$E111),0)</f>
        <v>0</v>
      </c>
      <c r="Z111" s="250">
        <f>IF(Z$6=$C111,IF(INDEX('Surface DEET'!$Q$9:$W$38,COLUMN(Z104)-COLUMN($E$5),4)&gt;0,INDEX('Surface DEET'!$Q$9:$W$38,COLUMN(Z104)-COLUMN($E$5),4),$E111),0)</f>
        <v>0</v>
      </c>
      <c r="AA111" s="250">
        <f>IF(AA$6=$C111,IF(INDEX('Surface DEET'!$Q$9:$W$38,COLUMN(AA104)-COLUMN($E$5),4)&gt;0,INDEX('Surface DEET'!$Q$9:$W$38,COLUMN(AA104)-COLUMN($E$5),4),$E111),0)</f>
        <v>0</v>
      </c>
      <c r="AB111" s="250">
        <f>IF(AB$6=$C111,IF(INDEX('Surface DEET'!$Q$9:$W$38,COLUMN(AB104)-COLUMN($E$5),4)&gt;0,INDEX('Surface DEET'!$Q$9:$W$38,COLUMN(AB104)-COLUMN($E$5),4),$E111),0)</f>
        <v>0</v>
      </c>
      <c r="AC111" s="250">
        <f>IF(AC$6=$C111,IF(INDEX('Surface DEET'!$Q$9:$W$38,COLUMN(AC104)-COLUMN($E$5),4)&gt;0,INDEX('Surface DEET'!$Q$9:$W$38,COLUMN(AC104)-COLUMN($E$5),4),$E111),0)</f>
        <v>0</v>
      </c>
      <c r="AD111" s="250">
        <f>IF(AD$6=$C111,IF(INDEX('Surface DEET'!$Q$9:$W$38,COLUMN(AD104)-COLUMN($E$5),4)&gt;0,INDEX('Surface DEET'!$Q$9:$W$38,COLUMN(AD104)-COLUMN($E$5),4),$E111),0)</f>
        <v>0</v>
      </c>
      <c r="AE111" s="250">
        <f>IF(AE$6=$C111,IF(INDEX('Surface DEET'!$Q$9:$W$38,COLUMN(AE104)-COLUMN($E$5),4)&gt;0,INDEX('Surface DEET'!$Q$9:$W$38,COLUMN(AE104)-COLUMN($E$5),4),$E111),0)</f>
        <v>0</v>
      </c>
      <c r="AF111" s="250">
        <f>IF(AF$6=$C111,IF(INDEX('Surface DEET'!$Q$9:$W$38,COLUMN(AF104)-COLUMN($E$5),4)&gt;0,INDEX('Surface DEET'!$Q$9:$W$38,COLUMN(AF104)-COLUMN($E$5),4),$E111),0)</f>
        <v>0</v>
      </c>
      <c r="AG111" s="250">
        <f>IF(AG$6=$C111,IF(INDEX('Surface DEET'!$Q$9:$W$38,COLUMN(AG104)-COLUMN($E$5),4)&gt;0,INDEX('Surface DEET'!$Q$9:$W$38,COLUMN(AG104)-COLUMN($E$5),4),$E111),0)</f>
        <v>0</v>
      </c>
      <c r="AH111" s="250">
        <f>IF(AH$6=$C111,IF(INDEX('Surface DEET'!$Q$9:$W$38,COLUMN(AH104)-COLUMN($E$5),4)&gt;0,INDEX('Surface DEET'!$Q$9:$W$38,COLUMN(AH104)-COLUMN($E$5),4),$E111),0)</f>
        <v>0</v>
      </c>
      <c r="AI111" s="250">
        <f>IF(AI$6=$C111,IF(INDEX('Surface DEET'!$Q$9:$W$38,COLUMN(AI104)-COLUMN($E$5),4)&gt;0,INDEX('Surface DEET'!$Q$9:$W$38,COLUMN(AI104)-COLUMN($E$5),4),$E111),0)</f>
        <v>0</v>
      </c>
    </row>
    <row r="112" spans="1:35">
      <c r="A112" s="690"/>
      <c r="B112" s="250" t="s">
        <v>543</v>
      </c>
      <c r="C112" s="30" t="s">
        <v>616</v>
      </c>
      <c r="D112" s="296" t="s">
        <v>618</v>
      </c>
      <c r="E112" s="250">
        <v>0.7</v>
      </c>
      <c r="F112" s="250">
        <f>IF(F$6=$C112,IF(INDEX('Surface DEET'!$Q$9:$W$38,COLUMN(F105)-COLUMN($E$5),7)&gt;0,INDEX('Surface DEET'!$Q$9:$W$38,COLUMN(F105)-COLUMN($E$5),7),$E112),0)</f>
        <v>0</v>
      </c>
      <c r="G112" s="250">
        <f>IF(G$6=$C112,IF(INDEX('Surface DEET'!$Q$9:$W$38,COLUMN(G105)-COLUMN($E$5),7)&gt;0,INDEX('Surface DEET'!$Q$9:$W$38,COLUMN(G105)-COLUMN($E$5),7),$E112),0)</f>
        <v>0</v>
      </c>
      <c r="H112" s="250">
        <f>IF(H$6=$C112,IF(INDEX('Surface DEET'!$Q$9:$W$38,COLUMN(H105)-COLUMN($E$5),7)&gt;0,INDEX('Surface DEET'!$Q$9:$W$38,COLUMN(H105)-COLUMN($E$5),7),$E112),0)</f>
        <v>0</v>
      </c>
      <c r="I112" s="250">
        <f>IF(I$6=$C112,IF(INDEX('Surface DEET'!$Q$9:$W$38,COLUMN(I105)-COLUMN($E$5),7)&gt;0,INDEX('Surface DEET'!$Q$9:$W$38,COLUMN(I105)-COLUMN($E$5),7),$E112),0)</f>
        <v>0</v>
      </c>
      <c r="J112" s="250">
        <f>IF(J$6=$C112,IF(INDEX('Surface DEET'!$Q$9:$W$38,COLUMN(J105)-COLUMN($E$5),7)&gt;0,INDEX('Surface DEET'!$Q$9:$W$38,COLUMN(J105)-COLUMN($E$5),7),$E112),0)</f>
        <v>0</v>
      </c>
      <c r="K112" s="250">
        <f>IF(K$6=$C112,IF(INDEX('Surface DEET'!$Q$9:$W$38,COLUMN(K105)-COLUMN($E$5),7)&gt;0,INDEX('Surface DEET'!$Q$9:$W$38,COLUMN(K105)-COLUMN($E$5),7),$E112),0)</f>
        <v>0</v>
      </c>
      <c r="L112" s="250">
        <f>IF(L$6=$C112,IF(INDEX('Surface DEET'!$Q$9:$W$38,COLUMN(L105)-COLUMN($E$5),7)&gt;0,INDEX('Surface DEET'!$Q$9:$W$38,COLUMN(L105)-COLUMN($E$5),7),$E112),0)</f>
        <v>0</v>
      </c>
      <c r="M112" s="250">
        <f>IF(M$6=$C112,IF(INDEX('Surface DEET'!$Q$9:$W$38,COLUMN(M105)-COLUMN($E$5),7)&gt;0,INDEX('Surface DEET'!$Q$9:$W$38,COLUMN(M105)-COLUMN($E$5),7),$E112),0)</f>
        <v>0</v>
      </c>
      <c r="N112" s="250">
        <f>IF(N$6=$C112,IF(INDEX('Surface DEET'!$Q$9:$W$38,COLUMN(N105)-COLUMN($E$5),7)&gt;0,INDEX('Surface DEET'!$Q$9:$W$38,COLUMN(N105)-COLUMN($E$5),7),$E112),0)</f>
        <v>0</v>
      </c>
      <c r="O112" s="250">
        <f>IF(O$6=$C112,IF(INDEX('Surface DEET'!$Q$9:$W$38,COLUMN(O105)-COLUMN($E$5),7)&gt;0,INDEX('Surface DEET'!$Q$9:$W$38,COLUMN(O105)-COLUMN($E$5),7),$E112),0)</f>
        <v>0</v>
      </c>
      <c r="P112" s="250">
        <f>IF(P$6=$C112,IF(INDEX('Surface DEET'!$Q$9:$W$38,COLUMN(P105)-COLUMN($E$5),7)&gt;0,INDEX('Surface DEET'!$Q$9:$W$38,COLUMN(P105)-COLUMN($E$5),7),$E112),0)</f>
        <v>0</v>
      </c>
      <c r="Q112" s="250">
        <f>IF(Q$6=$C112,IF(INDEX('Surface DEET'!$Q$9:$W$38,COLUMN(Q105)-COLUMN($E$5),7)&gt;0,INDEX('Surface DEET'!$Q$9:$W$38,COLUMN(Q105)-COLUMN($E$5),7),$E112),0)</f>
        <v>0</v>
      </c>
      <c r="R112" s="250">
        <f>IF(R$6=$C112,IF(INDEX('Surface DEET'!$Q$9:$W$38,COLUMN(R105)-COLUMN($E$5),7)&gt;0,INDEX('Surface DEET'!$Q$9:$W$38,COLUMN(R105)-COLUMN($E$5),7),$E112),0)</f>
        <v>0</v>
      </c>
      <c r="S112" s="250">
        <f>IF(S$6=$C112,IF(INDEX('Surface DEET'!$Q$9:$W$38,COLUMN(S105)-COLUMN($E$5),7)&gt;0,INDEX('Surface DEET'!$Q$9:$W$38,COLUMN(S105)-COLUMN($E$5),7),$E112),0)</f>
        <v>0</v>
      </c>
      <c r="T112" s="250">
        <f>IF(T$6=$C112,IF(INDEX('Surface DEET'!$Q$9:$W$38,COLUMN(T105)-COLUMN($E$5),7)&gt;0,INDEX('Surface DEET'!$Q$9:$W$38,COLUMN(T105)-COLUMN($E$5),7),$E112),0)</f>
        <v>0</v>
      </c>
      <c r="U112" s="250">
        <f>IF(U$6=$C112,IF(INDEX('Surface DEET'!$Q$9:$W$38,COLUMN(U105)-COLUMN($E$5),7)&gt;0,INDEX('Surface DEET'!$Q$9:$W$38,COLUMN(U105)-COLUMN($E$5),7),$E112),0)</f>
        <v>0</v>
      </c>
      <c r="V112" s="250">
        <f>IF(V$6=$C112,IF(INDEX('Surface DEET'!$Q$9:$W$38,COLUMN(V105)-COLUMN($E$5),7)&gt;0,INDEX('Surface DEET'!$Q$9:$W$38,COLUMN(V105)-COLUMN($E$5),7),$E112),0)</f>
        <v>0</v>
      </c>
      <c r="W112" s="250">
        <f>IF(W$6=$C112,IF(INDEX('Surface DEET'!$Q$9:$W$38,COLUMN(W105)-COLUMN($E$5),7)&gt;0,INDEX('Surface DEET'!$Q$9:$W$38,COLUMN(W105)-COLUMN($E$5),7),$E112),0)</f>
        <v>0</v>
      </c>
      <c r="X112" s="250">
        <f>IF(X$6=$C112,IF(INDEX('Surface DEET'!$Q$9:$W$38,COLUMN(X105)-COLUMN($E$5),7)&gt;0,INDEX('Surface DEET'!$Q$9:$W$38,COLUMN(X105)-COLUMN($E$5),7),$E112),0)</f>
        <v>0</v>
      </c>
      <c r="Y112" s="250">
        <f>IF(Y$6=$C112,IF(INDEX('Surface DEET'!$Q$9:$W$38,COLUMN(Y105)-COLUMN($E$5),7)&gt;0,INDEX('Surface DEET'!$Q$9:$W$38,COLUMN(Y105)-COLUMN($E$5),7),$E112),0)</f>
        <v>0</v>
      </c>
      <c r="Z112" s="250">
        <f>IF(Z$6=$C112,IF(INDEX('Surface DEET'!$Q$9:$W$38,COLUMN(Z105)-COLUMN($E$5),7)&gt;0,INDEX('Surface DEET'!$Q$9:$W$38,COLUMN(Z105)-COLUMN($E$5),7),$E112),0)</f>
        <v>0</v>
      </c>
      <c r="AA112" s="250">
        <f>IF(AA$6=$C112,IF(INDEX('Surface DEET'!$Q$9:$W$38,COLUMN(AA105)-COLUMN($E$5),7)&gt;0,INDEX('Surface DEET'!$Q$9:$W$38,COLUMN(AA105)-COLUMN($E$5),7),$E112),0)</f>
        <v>0</v>
      </c>
      <c r="AB112" s="250">
        <f>IF(AB$6=$C112,IF(INDEX('Surface DEET'!$Q$9:$W$38,COLUMN(AB105)-COLUMN($E$5),7)&gt;0,INDEX('Surface DEET'!$Q$9:$W$38,COLUMN(AB105)-COLUMN($E$5),7),$E112),0)</f>
        <v>0</v>
      </c>
      <c r="AC112" s="250">
        <f>IF(AC$6=$C112,IF(INDEX('Surface DEET'!$Q$9:$W$38,COLUMN(AC105)-COLUMN($E$5),7)&gt;0,INDEX('Surface DEET'!$Q$9:$W$38,COLUMN(AC105)-COLUMN($E$5),7),$E112),0)</f>
        <v>0</v>
      </c>
      <c r="AD112" s="250">
        <f>IF(AD$6=$C112,IF(INDEX('Surface DEET'!$Q$9:$W$38,COLUMN(AD105)-COLUMN($E$5),7)&gt;0,INDEX('Surface DEET'!$Q$9:$W$38,COLUMN(AD105)-COLUMN($E$5),7),$E112),0)</f>
        <v>0</v>
      </c>
      <c r="AE112" s="250">
        <f>IF(AE$6=$C112,IF(INDEX('Surface DEET'!$Q$9:$W$38,COLUMN(AE105)-COLUMN($E$5),7)&gt;0,INDEX('Surface DEET'!$Q$9:$W$38,COLUMN(AE105)-COLUMN($E$5),7),$E112),0)</f>
        <v>0</v>
      </c>
      <c r="AF112" s="250">
        <f>IF(AF$6=$C112,IF(INDEX('Surface DEET'!$Q$9:$W$38,COLUMN(AF105)-COLUMN($E$5),7)&gt;0,INDEX('Surface DEET'!$Q$9:$W$38,COLUMN(AF105)-COLUMN($E$5),7),$E112),0)</f>
        <v>0</v>
      </c>
      <c r="AG112" s="250">
        <f>IF(AG$6=$C112,IF(INDEX('Surface DEET'!$Q$9:$W$38,COLUMN(AG105)-COLUMN($E$5),7)&gt;0,INDEX('Surface DEET'!$Q$9:$W$38,COLUMN(AG105)-COLUMN($E$5),7),$E112),0)</f>
        <v>0</v>
      </c>
      <c r="AH112" s="250">
        <f>IF(AH$6=$C112,IF(INDEX('Surface DEET'!$Q$9:$W$38,COLUMN(AH105)-COLUMN($E$5),7)&gt;0,INDEX('Surface DEET'!$Q$9:$W$38,COLUMN(AH105)-COLUMN($E$5),7),$E112),0)</f>
        <v>0</v>
      </c>
      <c r="AI112" s="250">
        <f>IF(AI$6=$C112,IF(INDEX('Surface DEET'!$Q$9:$W$38,COLUMN(AI105)-COLUMN($E$5),7)&gt;0,INDEX('Surface DEET'!$Q$9:$W$38,COLUMN(AI105)-COLUMN($E$5),7),$E112),0)</f>
        <v>0</v>
      </c>
    </row>
    <row r="113" spans="1:35">
      <c r="A113" s="690"/>
      <c r="B113" s="250" t="s">
        <v>533</v>
      </c>
      <c r="C113" s="30" t="s">
        <v>616</v>
      </c>
      <c r="D113" s="250" t="s">
        <v>533</v>
      </c>
      <c r="F113" s="250">
        <f>IFERROR($E$107*(F110/$E$110)*($E$109*(F112/$E$112)*($E$111/F111)+(1-$E$109))+0.28*$E$106*(F110-$E$110)/$E$110,0)</f>
        <v>0</v>
      </c>
      <c r="G113" s="250">
        <f t="shared" ref="G113:AI113" si="12">IFERROR($E$107*(G110/$E$110)*($E$109*(G112/$E$112)*($E$111/G111)+(1-$E$109))+0.28*$E$106*(G110-$E$110)/$E$110,0)</f>
        <v>0</v>
      </c>
      <c r="H113" s="250">
        <f t="shared" si="12"/>
        <v>0</v>
      </c>
      <c r="I113" s="250">
        <f t="shared" si="12"/>
        <v>0</v>
      </c>
      <c r="J113" s="250">
        <f t="shared" si="12"/>
        <v>0</v>
      </c>
      <c r="K113" s="250">
        <f t="shared" si="12"/>
        <v>0</v>
      </c>
      <c r="L113" s="250">
        <f t="shared" si="12"/>
        <v>0</v>
      </c>
      <c r="M113" s="250">
        <f t="shared" si="12"/>
        <v>0</v>
      </c>
      <c r="N113" s="250">
        <f t="shared" si="12"/>
        <v>0</v>
      </c>
      <c r="O113" s="250">
        <f t="shared" si="12"/>
        <v>0</v>
      </c>
      <c r="P113" s="250">
        <f t="shared" si="12"/>
        <v>0</v>
      </c>
      <c r="Q113" s="250">
        <f t="shared" si="12"/>
        <v>0</v>
      </c>
      <c r="R113" s="250">
        <f t="shared" si="12"/>
        <v>0</v>
      </c>
      <c r="S113" s="250">
        <f t="shared" si="12"/>
        <v>0</v>
      </c>
      <c r="T113" s="250">
        <f t="shared" si="12"/>
        <v>0</v>
      </c>
      <c r="U113" s="250">
        <f t="shared" si="12"/>
        <v>0</v>
      </c>
      <c r="V113" s="250">
        <f t="shared" si="12"/>
        <v>0</v>
      </c>
      <c r="W113" s="250">
        <f t="shared" si="12"/>
        <v>0</v>
      </c>
      <c r="X113" s="250">
        <f t="shared" si="12"/>
        <v>0</v>
      </c>
      <c r="Y113" s="250">
        <f t="shared" si="12"/>
        <v>0</v>
      </c>
      <c r="Z113" s="250">
        <f t="shared" si="12"/>
        <v>0</v>
      </c>
      <c r="AA113" s="250">
        <f t="shared" si="12"/>
        <v>0</v>
      </c>
      <c r="AB113" s="250">
        <f t="shared" si="12"/>
        <v>0</v>
      </c>
      <c r="AC113" s="250">
        <f t="shared" si="12"/>
        <v>0</v>
      </c>
      <c r="AD113" s="250">
        <f t="shared" si="12"/>
        <v>0</v>
      </c>
      <c r="AE113" s="250">
        <f t="shared" si="12"/>
        <v>0</v>
      </c>
      <c r="AF113" s="250">
        <f t="shared" si="12"/>
        <v>0</v>
      </c>
      <c r="AG113" s="250">
        <f t="shared" si="12"/>
        <v>0</v>
      </c>
      <c r="AH113" s="250">
        <f t="shared" si="12"/>
        <v>0</v>
      </c>
      <c r="AI113" s="250">
        <f t="shared" si="12"/>
        <v>0</v>
      </c>
    </row>
    <row r="114" spans="1:35">
      <c r="A114" s="690" t="s">
        <v>619</v>
      </c>
      <c r="B114" s="88" t="s">
        <v>294</v>
      </c>
      <c r="C114" s="30" t="s">
        <v>619</v>
      </c>
      <c r="D114" s="88" t="s">
        <v>294</v>
      </c>
      <c r="E114" s="250">
        <f t="array" ref="E114">INDEX(CABS_CVC!$C$3:$O$870,MATCH(1, (CABS_CVC!$A$3:$A$870=Calculs_CABS!C114)*(CABS_CVC!$B$3:$B$870=Calculs_CABS!$D$2),0),MATCH(Calculs_CABS!$D$1,Liste_CABS!$B$3:$B$15,0))</f>
        <v>32</v>
      </c>
    </row>
    <row r="115" spans="1:35">
      <c r="A115" s="690"/>
      <c r="B115" s="250" t="s">
        <v>534</v>
      </c>
      <c r="C115" s="30" t="s">
        <v>619</v>
      </c>
      <c r="D115" s="250" t="s">
        <v>534</v>
      </c>
      <c r="E115" s="250">
        <v>28</v>
      </c>
    </row>
    <row r="116" spans="1:35">
      <c r="A116" s="690"/>
      <c r="B116" s="250" t="s">
        <v>535</v>
      </c>
      <c r="C116" s="30" t="s">
        <v>619</v>
      </c>
      <c r="D116" s="250" t="s">
        <v>535</v>
      </c>
      <c r="E116" s="250">
        <f>E114+E115</f>
        <v>60</v>
      </c>
    </row>
    <row r="117" spans="1:35">
      <c r="A117" s="690"/>
      <c r="B117" s="250" t="s">
        <v>536</v>
      </c>
      <c r="C117" s="30" t="s">
        <v>619</v>
      </c>
      <c r="D117" s="250" t="s">
        <v>536</v>
      </c>
      <c r="E117" s="250">
        <v>0.63</v>
      </c>
    </row>
    <row r="118" spans="1:35">
      <c r="A118" s="690"/>
      <c r="B118" s="250" t="s">
        <v>537</v>
      </c>
      <c r="C118" s="30" t="s">
        <v>619</v>
      </c>
      <c r="D118" s="296" t="s">
        <v>583</v>
      </c>
      <c r="E118" s="250">
        <v>3120</v>
      </c>
      <c r="F118" s="250">
        <f>IF(F$6=$C118,IF(INDEX('Surface DEET'!$Q$9:$W$38,COLUMN(F111)-COLUMN($E$5),1)&gt;0,INDEX('Surface DEET'!$Q$9:$W$38,COLUMN(F111)-COLUMN($E$5),1),$E118),0)</f>
        <v>0</v>
      </c>
      <c r="G118" s="250">
        <f>IF(G$6=$C118,IF(INDEX('Surface DEET'!$Q$9:$W$38,COLUMN(G111)-COLUMN($E$5),1)&gt;0,INDEX('Surface DEET'!$Q$9:$W$38,COLUMN(G111)-COLUMN($E$5),1),$E118),0)</f>
        <v>0</v>
      </c>
      <c r="H118" s="250">
        <f>IF(H$6=$C118,IF(INDEX('Surface DEET'!$Q$9:$W$38,COLUMN(H111)-COLUMN($E$5),1)&gt;0,INDEX('Surface DEET'!$Q$9:$W$38,COLUMN(H111)-COLUMN($E$5),1),$E118),0)</f>
        <v>0</v>
      </c>
      <c r="I118" s="250">
        <f>IF(I$6=$C118,IF(INDEX('Surface DEET'!$Q$9:$W$38,COLUMN(I111)-COLUMN($E$5),1)&gt;0,INDEX('Surface DEET'!$Q$9:$W$38,COLUMN(I111)-COLUMN($E$5),1),$E118),0)</f>
        <v>0</v>
      </c>
      <c r="J118" s="250">
        <f>IF(J$6=$C118,IF(INDEX('Surface DEET'!$Q$9:$W$38,COLUMN(J111)-COLUMN($E$5),1)&gt;0,INDEX('Surface DEET'!$Q$9:$W$38,COLUMN(J111)-COLUMN($E$5),1),$E118),0)</f>
        <v>0</v>
      </c>
      <c r="K118" s="250">
        <f>IF(K$6=$C118,IF(INDEX('Surface DEET'!$Q$9:$W$38,COLUMN(K111)-COLUMN($E$5),1)&gt;0,INDEX('Surface DEET'!$Q$9:$W$38,COLUMN(K111)-COLUMN($E$5),1),$E118),0)</f>
        <v>0</v>
      </c>
      <c r="L118" s="250">
        <f>IF(L$6=$C118,IF(INDEX('Surface DEET'!$Q$9:$W$38,COLUMN(L111)-COLUMN($E$5),1)&gt;0,INDEX('Surface DEET'!$Q$9:$W$38,COLUMN(L111)-COLUMN($E$5),1),$E118),0)</f>
        <v>0</v>
      </c>
      <c r="M118" s="250">
        <f>IF(M$6=$C118,IF(INDEX('Surface DEET'!$Q$9:$W$38,COLUMN(M111)-COLUMN($E$5),1)&gt;0,INDEX('Surface DEET'!$Q$9:$W$38,COLUMN(M111)-COLUMN($E$5),1),$E118),0)</f>
        <v>0</v>
      </c>
      <c r="N118" s="250">
        <f>IF(N$6=$C118,IF(INDEX('Surface DEET'!$Q$9:$W$38,COLUMN(N111)-COLUMN($E$5),1)&gt;0,INDEX('Surface DEET'!$Q$9:$W$38,COLUMN(N111)-COLUMN($E$5),1),$E118),0)</f>
        <v>0</v>
      </c>
      <c r="O118" s="250">
        <f>IF(O$6=$C118,IF(INDEX('Surface DEET'!$Q$9:$W$38,COLUMN(O111)-COLUMN($E$5),1)&gt;0,INDEX('Surface DEET'!$Q$9:$W$38,COLUMN(O111)-COLUMN($E$5),1),$E118),0)</f>
        <v>0</v>
      </c>
      <c r="P118" s="250">
        <f>IF(P$6=$C118,IF(INDEX('Surface DEET'!$Q$9:$W$38,COLUMN(P111)-COLUMN($E$5),1)&gt;0,INDEX('Surface DEET'!$Q$9:$W$38,COLUMN(P111)-COLUMN($E$5),1),$E118),0)</f>
        <v>0</v>
      </c>
      <c r="Q118" s="250">
        <f>IF(Q$6=$C118,IF(INDEX('Surface DEET'!$Q$9:$W$38,COLUMN(Q111)-COLUMN($E$5),1)&gt;0,INDEX('Surface DEET'!$Q$9:$W$38,COLUMN(Q111)-COLUMN($E$5),1),$E118),0)</f>
        <v>0</v>
      </c>
      <c r="R118" s="250">
        <f>IF(R$6=$C118,IF(INDEX('Surface DEET'!$Q$9:$W$38,COLUMN(R111)-COLUMN($E$5),1)&gt;0,INDEX('Surface DEET'!$Q$9:$W$38,COLUMN(R111)-COLUMN($E$5),1),$E118),0)</f>
        <v>0</v>
      </c>
      <c r="S118" s="250">
        <f>IF(S$6=$C118,IF(INDEX('Surface DEET'!$Q$9:$W$38,COLUMN(S111)-COLUMN($E$5),1)&gt;0,INDEX('Surface DEET'!$Q$9:$W$38,COLUMN(S111)-COLUMN($E$5),1),$E118),0)</f>
        <v>0</v>
      </c>
      <c r="T118" s="250">
        <f>IF(T$6=$C118,IF(INDEX('Surface DEET'!$Q$9:$W$38,COLUMN(T111)-COLUMN($E$5),1)&gt;0,INDEX('Surface DEET'!$Q$9:$W$38,COLUMN(T111)-COLUMN($E$5),1),$E118),0)</f>
        <v>0</v>
      </c>
      <c r="U118" s="250">
        <f>IF(U$6=$C118,IF(INDEX('Surface DEET'!$Q$9:$W$38,COLUMN(U111)-COLUMN($E$5),1)&gt;0,INDEX('Surface DEET'!$Q$9:$W$38,COLUMN(U111)-COLUMN($E$5),1),$E118),0)</f>
        <v>0</v>
      </c>
      <c r="V118" s="250">
        <f>IF(V$6=$C118,IF(INDEX('Surface DEET'!$Q$9:$W$38,COLUMN(V111)-COLUMN($E$5),1)&gt;0,INDEX('Surface DEET'!$Q$9:$W$38,COLUMN(V111)-COLUMN($E$5),1),$E118),0)</f>
        <v>0</v>
      </c>
      <c r="W118" s="250">
        <f>IF(W$6=$C118,IF(INDEX('Surface DEET'!$Q$9:$W$38,COLUMN(W111)-COLUMN($E$5),1)&gt;0,INDEX('Surface DEET'!$Q$9:$W$38,COLUMN(W111)-COLUMN($E$5),1),$E118),0)</f>
        <v>0</v>
      </c>
      <c r="X118" s="250">
        <f>IF(X$6=$C118,IF(INDEX('Surface DEET'!$Q$9:$W$38,COLUMN(X111)-COLUMN($E$5),1)&gt;0,INDEX('Surface DEET'!$Q$9:$W$38,COLUMN(X111)-COLUMN($E$5),1),$E118),0)</f>
        <v>0</v>
      </c>
      <c r="Y118" s="250">
        <f>IF(Y$6=$C118,IF(INDEX('Surface DEET'!$Q$9:$W$38,COLUMN(Y111)-COLUMN($E$5),1)&gt;0,INDEX('Surface DEET'!$Q$9:$W$38,COLUMN(Y111)-COLUMN($E$5),1),$E118),0)</f>
        <v>0</v>
      </c>
      <c r="Z118" s="250">
        <f>IF(Z$6=$C118,IF(INDEX('Surface DEET'!$Q$9:$W$38,COLUMN(Z111)-COLUMN($E$5),1)&gt;0,INDEX('Surface DEET'!$Q$9:$W$38,COLUMN(Z111)-COLUMN($E$5),1),$E118),0)</f>
        <v>0</v>
      </c>
      <c r="AA118" s="250">
        <f>IF(AA$6=$C118,IF(INDEX('Surface DEET'!$Q$9:$W$38,COLUMN(AA111)-COLUMN($E$5),1)&gt;0,INDEX('Surface DEET'!$Q$9:$W$38,COLUMN(AA111)-COLUMN($E$5),1),$E118),0)</f>
        <v>0</v>
      </c>
      <c r="AB118" s="250">
        <f>IF(AB$6=$C118,IF(INDEX('Surface DEET'!$Q$9:$W$38,COLUMN(AB111)-COLUMN($E$5),1)&gt;0,INDEX('Surface DEET'!$Q$9:$W$38,COLUMN(AB111)-COLUMN($E$5),1),$E118),0)</f>
        <v>0</v>
      </c>
      <c r="AC118" s="250">
        <f>IF(AC$6=$C118,IF(INDEX('Surface DEET'!$Q$9:$W$38,COLUMN(AC111)-COLUMN($E$5),1)&gt;0,INDEX('Surface DEET'!$Q$9:$W$38,COLUMN(AC111)-COLUMN($E$5),1),$E118),0)</f>
        <v>0</v>
      </c>
      <c r="AD118" s="250">
        <f>IF(AD$6=$C118,IF(INDEX('Surface DEET'!$Q$9:$W$38,COLUMN(AD111)-COLUMN($E$5),1)&gt;0,INDEX('Surface DEET'!$Q$9:$W$38,COLUMN(AD111)-COLUMN($E$5),1),$E118),0)</f>
        <v>0</v>
      </c>
      <c r="AE118" s="250">
        <f>IF(AE$6=$C118,IF(INDEX('Surface DEET'!$Q$9:$W$38,COLUMN(AE111)-COLUMN($E$5),1)&gt;0,INDEX('Surface DEET'!$Q$9:$W$38,COLUMN(AE111)-COLUMN($E$5),1),$E118),0)</f>
        <v>0</v>
      </c>
      <c r="AF118" s="250">
        <f>IF(AF$6=$C118,IF(INDEX('Surface DEET'!$Q$9:$W$38,COLUMN(AF111)-COLUMN($E$5),1)&gt;0,INDEX('Surface DEET'!$Q$9:$W$38,COLUMN(AF111)-COLUMN($E$5),1),$E118),0)</f>
        <v>0</v>
      </c>
      <c r="AG118" s="250">
        <f>IF(AG$6=$C118,IF(INDEX('Surface DEET'!$Q$9:$W$38,COLUMN(AG111)-COLUMN($E$5),1)&gt;0,INDEX('Surface DEET'!$Q$9:$W$38,COLUMN(AG111)-COLUMN($E$5),1),$E118),0)</f>
        <v>0</v>
      </c>
      <c r="AH118" s="250">
        <f>IF(AH$6=$C118,IF(INDEX('Surface DEET'!$Q$9:$W$38,COLUMN(AH111)-COLUMN($E$5),1)&gt;0,INDEX('Surface DEET'!$Q$9:$W$38,COLUMN(AH111)-COLUMN($E$5),1),$E118),0)</f>
        <v>0</v>
      </c>
      <c r="AI118" s="250">
        <f>IF(AI$6=$C118,IF(INDEX('Surface DEET'!$Q$9:$W$38,COLUMN(AI111)-COLUMN($E$5),1)&gt;0,INDEX('Surface DEET'!$Q$9:$W$38,COLUMN(AI111)-COLUMN($E$5),1),$E118),0)</f>
        <v>0</v>
      </c>
    </row>
    <row r="119" spans="1:35">
      <c r="A119" s="690"/>
      <c r="B119" s="250" t="s">
        <v>540</v>
      </c>
      <c r="C119" s="30" t="s">
        <v>619</v>
      </c>
      <c r="D119" s="296" t="s">
        <v>620</v>
      </c>
      <c r="E119" s="250">
        <v>31</v>
      </c>
      <c r="F119" s="250">
        <f>IF(F$6=$C119,IF(INDEX('Surface DEET'!$Q$9:$W$38,COLUMN(F112)-COLUMN($E$5),4)&gt;0,INDEX('Surface DEET'!$Q$9:$W$38,COLUMN(F112)-COLUMN($E$5),4),$E119),0)</f>
        <v>0</v>
      </c>
      <c r="G119" s="250">
        <f>IF(G$6=$C119,IF(INDEX('Surface DEET'!$Q$9:$W$38,COLUMN(G112)-COLUMN($E$5),4)&gt;0,INDEX('Surface DEET'!$Q$9:$W$38,COLUMN(G112)-COLUMN($E$5),4),$E119),0)</f>
        <v>0</v>
      </c>
      <c r="H119" s="250">
        <f>IF(H$6=$C119,IF(INDEX('Surface DEET'!$Q$9:$W$38,COLUMN(H112)-COLUMN($E$5),4)&gt;0,INDEX('Surface DEET'!$Q$9:$W$38,COLUMN(H112)-COLUMN($E$5),4),$E119),0)</f>
        <v>0</v>
      </c>
      <c r="I119" s="250">
        <f>IF(I$6=$C119,IF(INDEX('Surface DEET'!$Q$9:$W$38,COLUMN(I112)-COLUMN($E$5),4)&gt;0,INDEX('Surface DEET'!$Q$9:$W$38,COLUMN(I112)-COLUMN($E$5),4),$E119),0)</f>
        <v>0</v>
      </c>
      <c r="J119" s="250">
        <f>IF(J$6=$C119,IF(INDEX('Surface DEET'!$Q$9:$W$38,COLUMN(J112)-COLUMN($E$5),4)&gt;0,INDEX('Surface DEET'!$Q$9:$W$38,COLUMN(J112)-COLUMN($E$5),4),$E119),0)</f>
        <v>0</v>
      </c>
      <c r="K119" s="250">
        <f>IF(K$6=$C119,IF(INDEX('Surface DEET'!$Q$9:$W$38,COLUMN(K112)-COLUMN($E$5),4)&gt;0,INDEX('Surface DEET'!$Q$9:$W$38,COLUMN(K112)-COLUMN($E$5),4),$E119),0)</f>
        <v>0</v>
      </c>
      <c r="L119" s="250">
        <f>IF(L$6=$C119,IF(INDEX('Surface DEET'!$Q$9:$W$38,COLUMN(L112)-COLUMN($E$5),4)&gt;0,INDEX('Surface DEET'!$Q$9:$W$38,COLUMN(L112)-COLUMN($E$5),4),$E119),0)</f>
        <v>0</v>
      </c>
      <c r="M119" s="250">
        <f>IF(M$6=$C119,IF(INDEX('Surface DEET'!$Q$9:$W$38,COLUMN(M112)-COLUMN($E$5),4)&gt;0,INDEX('Surface DEET'!$Q$9:$W$38,COLUMN(M112)-COLUMN($E$5),4),$E119),0)</f>
        <v>0</v>
      </c>
      <c r="N119" s="250">
        <f>IF(N$6=$C119,IF(INDEX('Surface DEET'!$Q$9:$W$38,COLUMN(N112)-COLUMN($E$5),4)&gt;0,INDEX('Surface DEET'!$Q$9:$W$38,COLUMN(N112)-COLUMN($E$5),4),$E119),0)</f>
        <v>0</v>
      </c>
      <c r="O119" s="250">
        <f>IF(O$6=$C119,IF(INDEX('Surface DEET'!$Q$9:$W$38,COLUMN(O112)-COLUMN($E$5),4)&gt;0,INDEX('Surface DEET'!$Q$9:$W$38,COLUMN(O112)-COLUMN($E$5),4),$E119),0)</f>
        <v>0</v>
      </c>
      <c r="P119" s="250">
        <f>IF(P$6=$C119,IF(INDEX('Surface DEET'!$Q$9:$W$38,COLUMN(P112)-COLUMN($E$5),4)&gt;0,INDEX('Surface DEET'!$Q$9:$W$38,COLUMN(P112)-COLUMN($E$5),4),$E119),0)</f>
        <v>0</v>
      </c>
      <c r="Q119" s="250">
        <f>IF(Q$6=$C119,IF(INDEX('Surface DEET'!$Q$9:$W$38,COLUMN(Q112)-COLUMN($E$5),4)&gt;0,INDEX('Surface DEET'!$Q$9:$W$38,COLUMN(Q112)-COLUMN($E$5),4),$E119),0)</f>
        <v>0</v>
      </c>
      <c r="R119" s="250">
        <f>IF(R$6=$C119,IF(INDEX('Surface DEET'!$Q$9:$W$38,COLUMN(R112)-COLUMN($E$5),4)&gt;0,INDEX('Surface DEET'!$Q$9:$W$38,COLUMN(R112)-COLUMN($E$5),4),$E119),0)</f>
        <v>0</v>
      </c>
      <c r="S119" s="250">
        <f>IF(S$6=$C119,IF(INDEX('Surface DEET'!$Q$9:$W$38,COLUMN(S112)-COLUMN($E$5),4)&gt;0,INDEX('Surface DEET'!$Q$9:$W$38,COLUMN(S112)-COLUMN($E$5),4),$E119),0)</f>
        <v>0</v>
      </c>
      <c r="T119" s="250">
        <f>IF(T$6=$C119,IF(INDEX('Surface DEET'!$Q$9:$W$38,COLUMN(T112)-COLUMN($E$5),4)&gt;0,INDEX('Surface DEET'!$Q$9:$W$38,COLUMN(T112)-COLUMN($E$5),4),$E119),0)</f>
        <v>0</v>
      </c>
      <c r="U119" s="250">
        <f>IF(U$6=$C119,IF(INDEX('Surface DEET'!$Q$9:$W$38,COLUMN(U112)-COLUMN($E$5),4)&gt;0,INDEX('Surface DEET'!$Q$9:$W$38,COLUMN(U112)-COLUMN($E$5),4),$E119),0)</f>
        <v>0</v>
      </c>
      <c r="V119" s="250">
        <f>IF(V$6=$C119,IF(INDEX('Surface DEET'!$Q$9:$W$38,COLUMN(V112)-COLUMN($E$5),4)&gt;0,INDEX('Surface DEET'!$Q$9:$W$38,COLUMN(V112)-COLUMN($E$5),4),$E119),0)</f>
        <v>0</v>
      </c>
      <c r="W119" s="250">
        <f>IF(W$6=$C119,IF(INDEX('Surface DEET'!$Q$9:$W$38,COLUMN(W112)-COLUMN($E$5),4)&gt;0,INDEX('Surface DEET'!$Q$9:$W$38,COLUMN(W112)-COLUMN($E$5),4),$E119),0)</f>
        <v>0</v>
      </c>
      <c r="X119" s="250">
        <f>IF(X$6=$C119,IF(INDEX('Surface DEET'!$Q$9:$W$38,COLUMN(X112)-COLUMN($E$5),4)&gt;0,INDEX('Surface DEET'!$Q$9:$W$38,COLUMN(X112)-COLUMN($E$5),4),$E119),0)</f>
        <v>0</v>
      </c>
      <c r="Y119" s="250">
        <f>IF(Y$6=$C119,IF(INDEX('Surface DEET'!$Q$9:$W$38,COLUMN(Y112)-COLUMN($E$5),4)&gt;0,INDEX('Surface DEET'!$Q$9:$W$38,COLUMN(Y112)-COLUMN($E$5),4),$E119),0)</f>
        <v>0</v>
      </c>
      <c r="Z119" s="250">
        <f>IF(Z$6=$C119,IF(INDEX('Surface DEET'!$Q$9:$W$38,COLUMN(Z112)-COLUMN($E$5),4)&gt;0,INDEX('Surface DEET'!$Q$9:$W$38,COLUMN(Z112)-COLUMN($E$5),4),$E119),0)</f>
        <v>0</v>
      </c>
      <c r="AA119" s="250">
        <f>IF(AA$6=$C119,IF(INDEX('Surface DEET'!$Q$9:$W$38,COLUMN(AA112)-COLUMN($E$5),4)&gt;0,INDEX('Surface DEET'!$Q$9:$W$38,COLUMN(AA112)-COLUMN($E$5),4),$E119),0)</f>
        <v>0</v>
      </c>
      <c r="AB119" s="250">
        <f>IF(AB$6=$C119,IF(INDEX('Surface DEET'!$Q$9:$W$38,COLUMN(AB112)-COLUMN($E$5),4)&gt;0,INDEX('Surface DEET'!$Q$9:$W$38,COLUMN(AB112)-COLUMN($E$5),4),$E119),0)</f>
        <v>0</v>
      </c>
      <c r="AC119" s="250">
        <f>IF(AC$6=$C119,IF(INDEX('Surface DEET'!$Q$9:$W$38,COLUMN(AC112)-COLUMN($E$5),4)&gt;0,INDEX('Surface DEET'!$Q$9:$W$38,COLUMN(AC112)-COLUMN($E$5),4),$E119),0)</f>
        <v>0</v>
      </c>
      <c r="AD119" s="250">
        <f>IF(AD$6=$C119,IF(INDEX('Surface DEET'!$Q$9:$W$38,COLUMN(AD112)-COLUMN($E$5),4)&gt;0,INDEX('Surface DEET'!$Q$9:$W$38,COLUMN(AD112)-COLUMN($E$5),4),$E119),0)</f>
        <v>0</v>
      </c>
      <c r="AE119" s="250">
        <f>IF(AE$6=$C119,IF(INDEX('Surface DEET'!$Q$9:$W$38,COLUMN(AE112)-COLUMN($E$5),4)&gt;0,INDEX('Surface DEET'!$Q$9:$W$38,COLUMN(AE112)-COLUMN($E$5),4),$E119),0)</f>
        <v>0</v>
      </c>
      <c r="AF119" s="250">
        <f>IF(AF$6=$C119,IF(INDEX('Surface DEET'!$Q$9:$W$38,COLUMN(AF112)-COLUMN($E$5),4)&gt;0,INDEX('Surface DEET'!$Q$9:$W$38,COLUMN(AF112)-COLUMN($E$5),4),$E119),0)</f>
        <v>0</v>
      </c>
      <c r="AG119" s="250">
        <f>IF(AG$6=$C119,IF(INDEX('Surface DEET'!$Q$9:$W$38,COLUMN(AG112)-COLUMN($E$5),4)&gt;0,INDEX('Surface DEET'!$Q$9:$W$38,COLUMN(AG112)-COLUMN($E$5),4),$E119),0)</f>
        <v>0</v>
      </c>
      <c r="AH119" s="250">
        <f>IF(AH$6=$C119,IF(INDEX('Surface DEET'!$Q$9:$W$38,COLUMN(AH112)-COLUMN($E$5),4)&gt;0,INDEX('Surface DEET'!$Q$9:$W$38,COLUMN(AH112)-COLUMN($E$5),4),$E119),0)</f>
        <v>0</v>
      </c>
      <c r="AI119" s="250">
        <f>IF(AI$6=$C119,IF(INDEX('Surface DEET'!$Q$9:$W$38,COLUMN(AI112)-COLUMN($E$5),4)&gt;0,INDEX('Surface DEET'!$Q$9:$W$38,COLUMN(AI112)-COLUMN($E$5),4),$E119),0)</f>
        <v>0</v>
      </c>
    </row>
    <row r="120" spans="1:35">
      <c r="A120" s="690"/>
      <c r="B120" s="250" t="s">
        <v>533</v>
      </c>
      <c r="C120" s="30" t="s">
        <v>619</v>
      </c>
      <c r="D120" s="250" t="s">
        <v>533</v>
      </c>
      <c r="F120" s="250">
        <f>IFERROR($E$115*(F118/$E$118)*($E$117*($E$119/F119)+(1-$E$117))+0.28*(F118-$E$118)/$E$118,0)</f>
        <v>0</v>
      </c>
      <c r="G120" s="250">
        <f t="shared" ref="G120:AI120" si="13">IFERROR($E$115*(G118/$E$118)*($E$117*($E$119/G119)+(1-$E$117))+0.28*(G118-$E$118)/$E$118,0)</f>
        <v>0</v>
      </c>
      <c r="H120" s="250">
        <f t="shared" si="13"/>
        <v>0</v>
      </c>
      <c r="I120" s="250">
        <f t="shared" si="13"/>
        <v>0</v>
      </c>
      <c r="J120" s="250">
        <f t="shared" si="13"/>
        <v>0</v>
      </c>
      <c r="K120" s="250">
        <f t="shared" si="13"/>
        <v>0</v>
      </c>
      <c r="L120" s="250">
        <f t="shared" si="13"/>
        <v>0</v>
      </c>
      <c r="M120" s="250">
        <f t="shared" si="13"/>
        <v>0</v>
      </c>
      <c r="N120" s="250">
        <f t="shared" si="13"/>
        <v>0</v>
      </c>
      <c r="O120" s="250">
        <f t="shared" si="13"/>
        <v>0</v>
      </c>
      <c r="P120" s="250">
        <f t="shared" si="13"/>
        <v>0</v>
      </c>
      <c r="Q120" s="250">
        <f t="shared" si="13"/>
        <v>0</v>
      </c>
      <c r="R120" s="250">
        <f t="shared" si="13"/>
        <v>0</v>
      </c>
      <c r="S120" s="250">
        <f t="shared" si="13"/>
        <v>0</v>
      </c>
      <c r="T120" s="250">
        <f t="shared" si="13"/>
        <v>0</v>
      </c>
      <c r="U120" s="250">
        <f t="shared" si="13"/>
        <v>0</v>
      </c>
      <c r="V120" s="250">
        <f t="shared" si="13"/>
        <v>0</v>
      </c>
      <c r="W120" s="250">
        <f t="shared" si="13"/>
        <v>0</v>
      </c>
      <c r="X120" s="250">
        <f t="shared" si="13"/>
        <v>0</v>
      </c>
      <c r="Y120" s="250">
        <f t="shared" si="13"/>
        <v>0</v>
      </c>
      <c r="Z120" s="250">
        <f t="shared" si="13"/>
        <v>0</v>
      </c>
      <c r="AA120" s="250">
        <f t="shared" si="13"/>
        <v>0</v>
      </c>
      <c r="AB120" s="250">
        <f t="shared" si="13"/>
        <v>0</v>
      </c>
      <c r="AC120" s="250">
        <f t="shared" si="13"/>
        <v>0</v>
      </c>
      <c r="AD120" s="250">
        <f t="shared" si="13"/>
        <v>0</v>
      </c>
      <c r="AE120" s="250">
        <f t="shared" si="13"/>
        <v>0</v>
      </c>
      <c r="AF120" s="250">
        <f t="shared" si="13"/>
        <v>0</v>
      </c>
      <c r="AG120" s="250">
        <f t="shared" si="13"/>
        <v>0</v>
      </c>
      <c r="AH120" s="250">
        <f t="shared" si="13"/>
        <v>0</v>
      </c>
      <c r="AI120" s="250">
        <f t="shared" si="13"/>
        <v>0</v>
      </c>
    </row>
    <row r="121" spans="1:35">
      <c r="A121" s="690" t="s">
        <v>621</v>
      </c>
      <c r="B121" s="88" t="s">
        <v>294</v>
      </c>
      <c r="C121" s="30" t="s">
        <v>621</v>
      </c>
      <c r="D121" s="88" t="s">
        <v>294</v>
      </c>
      <c r="E121" s="250">
        <f t="array" ref="E121">INDEX(CABS_CVC!$C$3:$O$870,MATCH(1, (CABS_CVC!$A$3:$A$870=Calculs_CABS!C121)*(CABS_CVC!$B$3:$B$870=Calculs_CABS!$D$2),0),MATCH(Calculs_CABS!$D$1,Liste_CABS!$B$3:$B$15,0))</f>
        <v>92</v>
      </c>
    </row>
    <row r="122" spans="1:35">
      <c r="A122" s="690"/>
      <c r="B122" s="250" t="s">
        <v>534</v>
      </c>
      <c r="C122" s="30" t="s">
        <v>621</v>
      </c>
      <c r="D122" s="250" t="s">
        <v>534</v>
      </c>
      <c r="E122" s="250">
        <v>101</v>
      </c>
    </row>
    <row r="123" spans="1:35">
      <c r="A123" s="690"/>
      <c r="B123" s="250" t="s">
        <v>535</v>
      </c>
      <c r="C123" s="30" t="s">
        <v>621</v>
      </c>
      <c r="D123" s="250" t="s">
        <v>535</v>
      </c>
      <c r="E123" s="250">
        <f>E121+E122</f>
        <v>193</v>
      </c>
    </row>
    <row r="124" spans="1:35">
      <c r="A124" s="690"/>
      <c r="B124" s="250" t="s">
        <v>536</v>
      </c>
      <c r="C124" s="30" t="s">
        <v>621</v>
      </c>
      <c r="D124" s="250" t="s">
        <v>536</v>
      </c>
      <c r="E124" s="250">
        <v>0.64</v>
      </c>
    </row>
    <row r="125" spans="1:35">
      <c r="A125" s="690"/>
      <c r="B125" s="250" t="s">
        <v>537</v>
      </c>
      <c r="C125" s="30" t="s">
        <v>621</v>
      </c>
      <c r="D125" s="296" t="s">
        <v>600</v>
      </c>
      <c r="E125" s="250">
        <v>8760</v>
      </c>
      <c r="F125" s="250">
        <f>IF(F$6=$C125,IF(INDEX('Surface DEET'!$Q$9:$W$38,COLUMN(F118)-COLUMN($E$5),1)&gt;0,INDEX('Surface DEET'!$Q$9:$W$38,COLUMN(F118)-COLUMN($E$5),1),$E125),0)</f>
        <v>0</v>
      </c>
      <c r="G125" s="250">
        <f>IF(G$6=$C125,IF(INDEX('Surface DEET'!$Q$9:$W$38,COLUMN(G118)-COLUMN($E$5),1)&gt;0,INDEX('Surface DEET'!$Q$9:$W$38,COLUMN(G118)-COLUMN($E$5),1),$E125),0)</f>
        <v>0</v>
      </c>
      <c r="H125" s="250">
        <f>IF(H$6=$C125,IF(INDEX('Surface DEET'!$Q$9:$W$38,COLUMN(H118)-COLUMN($E$5),1)&gt;0,INDEX('Surface DEET'!$Q$9:$W$38,COLUMN(H118)-COLUMN($E$5),1),$E125),0)</f>
        <v>0</v>
      </c>
      <c r="I125" s="250">
        <f>IF(I$6=$C125,IF(INDEX('Surface DEET'!$Q$9:$W$38,COLUMN(I118)-COLUMN($E$5),1)&gt;0,INDEX('Surface DEET'!$Q$9:$W$38,COLUMN(I118)-COLUMN($E$5),1),$E125),0)</f>
        <v>0</v>
      </c>
      <c r="J125" s="250">
        <f>IF(J$6=$C125,IF(INDEX('Surface DEET'!$Q$9:$W$38,COLUMN(J118)-COLUMN($E$5),1)&gt;0,INDEX('Surface DEET'!$Q$9:$W$38,COLUMN(J118)-COLUMN($E$5),1),$E125),0)</f>
        <v>0</v>
      </c>
      <c r="K125" s="250">
        <f>IF(K$6=$C125,IF(INDEX('Surface DEET'!$Q$9:$W$38,COLUMN(K118)-COLUMN($E$5),1)&gt;0,INDEX('Surface DEET'!$Q$9:$W$38,COLUMN(K118)-COLUMN($E$5),1),$E125),0)</f>
        <v>0</v>
      </c>
      <c r="L125" s="250">
        <f>IF(L$6=$C125,IF(INDEX('Surface DEET'!$Q$9:$W$38,COLUMN(L118)-COLUMN($E$5),1)&gt;0,INDEX('Surface DEET'!$Q$9:$W$38,COLUMN(L118)-COLUMN($E$5),1),$E125),0)</f>
        <v>0</v>
      </c>
      <c r="M125" s="250">
        <f>IF(M$6=$C125,IF(INDEX('Surface DEET'!$Q$9:$W$38,COLUMN(M118)-COLUMN($E$5),1)&gt;0,INDEX('Surface DEET'!$Q$9:$W$38,COLUMN(M118)-COLUMN($E$5),1),$E125),0)</f>
        <v>0</v>
      </c>
      <c r="N125" s="250">
        <f>IF(N$6=$C125,IF(INDEX('Surface DEET'!$Q$9:$W$38,COLUMN(N118)-COLUMN($E$5),1)&gt;0,INDEX('Surface DEET'!$Q$9:$W$38,COLUMN(N118)-COLUMN($E$5),1),$E125),0)</f>
        <v>0</v>
      </c>
      <c r="O125" s="250">
        <f>IF(O$6=$C125,IF(INDEX('Surface DEET'!$Q$9:$W$38,COLUMN(O118)-COLUMN($E$5),1)&gt;0,INDEX('Surface DEET'!$Q$9:$W$38,COLUMN(O118)-COLUMN($E$5),1),$E125),0)</f>
        <v>0</v>
      </c>
      <c r="P125" s="250">
        <f>IF(P$6=$C125,IF(INDEX('Surface DEET'!$Q$9:$W$38,COLUMN(P118)-COLUMN($E$5),1)&gt;0,INDEX('Surface DEET'!$Q$9:$W$38,COLUMN(P118)-COLUMN($E$5),1),$E125),0)</f>
        <v>0</v>
      </c>
      <c r="Q125" s="250">
        <f>IF(Q$6=$C125,IF(INDEX('Surface DEET'!$Q$9:$W$38,COLUMN(Q118)-COLUMN($E$5),1)&gt;0,INDEX('Surface DEET'!$Q$9:$W$38,COLUMN(Q118)-COLUMN($E$5),1),$E125),0)</f>
        <v>0</v>
      </c>
      <c r="R125" s="250">
        <f>IF(R$6=$C125,IF(INDEX('Surface DEET'!$Q$9:$W$38,COLUMN(R118)-COLUMN($E$5),1)&gt;0,INDEX('Surface DEET'!$Q$9:$W$38,COLUMN(R118)-COLUMN($E$5),1),$E125),0)</f>
        <v>0</v>
      </c>
      <c r="S125" s="250">
        <f>IF(S$6=$C125,IF(INDEX('Surface DEET'!$Q$9:$W$38,COLUMN(S118)-COLUMN($E$5),1)&gt;0,INDEX('Surface DEET'!$Q$9:$W$38,COLUMN(S118)-COLUMN($E$5),1),$E125),0)</f>
        <v>0</v>
      </c>
      <c r="T125" s="250">
        <f>IF(T$6=$C125,IF(INDEX('Surface DEET'!$Q$9:$W$38,COLUMN(T118)-COLUMN($E$5),1)&gt;0,INDEX('Surface DEET'!$Q$9:$W$38,COLUMN(T118)-COLUMN($E$5),1),$E125),0)</f>
        <v>0</v>
      </c>
      <c r="U125" s="250">
        <f>IF(U$6=$C125,IF(INDEX('Surface DEET'!$Q$9:$W$38,COLUMN(U118)-COLUMN($E$5),1)&gt;0,INDEX('Surface DEET'!$Q$9:$W$38,COLUMN(U118)-COLUMN($E$5),1),$E125),0)</f>
        <v>0</v>
      </c>
      <c r="V125" s="250">
        <f>IF(V$6=$C125,IF(INDEX('Surface DEET'!$Q$9:$W$38,COLUMN(V118)-COLUMN($E$5),1)&gt;0,INDEX('Surface DEET'!$Q$9:$W$38,COLUMN(V118)-COLUMN($E$5),1),$E125),0)</f>
        <v>0</v>
      </c>
      <c r="W125" s="250">
        <f>IF(W$6=$C125,IF(INDEX('Surface DEET'!$Q$9:$W$38,COLUMN(W118)-COLUMN($E$5),1)&gt;0,INDEX('Surface DEET'!$Q$9:$W$38,COLUMN(W118)-COLUMN($E$5),1),$E125),0)</f>
        <v>0</v>
      </c>
      <c r="X125" s="250">
        <f>IF(X$6=$C125,IF(INDEX('Surface DEET'!$Q$9:$W$38,COLUMN(X118)-COLUMN($E$5),1)&gt;0,INDEX('Surface DEET'!$Q$9:$W$38,COLUMN(X118)-COLUMN($E$5),1),$E125),0)</f>
        <v>0</v>
      </c>
      <c r="Y125" s="250">
        <f>IF(Y$6=$C125,IF(INDEX('Surface DEET'!$Q$9:$W$38,COLUMN(Y118)-COLUMN($E$5),1)&gt;0,INDEX('Surface DEET'!$Q$9:$W$38,COLUMN(Y118)-COLUMN($E$5),1),$E125),0)</f>
        <v>0</v>
      </c>
      <c r="Z125" s="250">
        <f>IF(Z$6=$C125,IF(INDEX('Surface DEET'!$Q$9:$W$38,COLUMN(Z118)-COLUMN($E$5),1)&gt;0,INDEX('Surface DEET'!$Q$9:$W$38,COLUMN(Z118)-COLUMN($E$5),1),$E125),0)</f>
        <v>0</v>
      </c>
      <c r="AA125" s="250">
        <f>IF(AA$6=$C125,IF(INDEX('Surface DEET'!$Q$9:$W$38,COLUMN(AA118)-COLUMN($E$5),1)&gt;0,INDEX('Surface DEET'!$Q$9:$W$38,COLUMN(AA118)-COLUMN($E$5),1),$E125),0)</f>
        <v>0</v>
      </c>
      <c r="AB125" s="250">
        <f>IF(AB$6=$C125,IF(INDEX('Surface DEET'!$Q$9:$W$38,COLUMN(AB118)-COLUMN($E$5),1)&gt;0,INDEX('Surface DEET'!$Q$9:$W$38,COLUMN(AB118)-COLUMN($E$5),1),$E125),0)</f>
        <v>0</v>
      </c>
      <c r="AC125" s="250">
        <f>IF(AC$6=$C125,IF(INDEX('Surface DEET'!$Q$9:$W$38,COLUMN(AC118)-COLUMN($E$5),1)&gt;0,INDEX('Surface DEET'!$Q$9:$W$38,COLUMN(AC118)-COLUMN($E$5),1),$E125),0)</f>
        <v>0</v>
      </c>
      <c r="AD125" s="250">
        <f>IF(AD$6=$C125,IF(INDEX('Surface DEET'!$Q$9:$W$38,COLUMN(AD118)-COLUMN($E$5),1)&gt;0,INDEX('Surface DEET'!$Q$9:$W$38,COLUMN(AD118)-COLUMN($E$5),1),$E125),0)</f>
        <v>0</v>
      </c>
      <c r="AE125" s="250">
        <f>IF(AE$6=$C125,IF(INDEX('Surface DEET'!$Q$9:$W$38,COLUMN(AE118)-COLUMN($E$5),1)&gt;0,INDEX('Surface DEET'!$Q$9:$W$38,COLUMN(AE118)-COLUMN($E$5),1),$E125),0)</f>
        <v>0</v>
      </c>
      <c r="AF125" s="250">
        <f>IF(AF$6=$C125,IF(INDEX('Surface DEET'!$Q$9:$W$38,COLUMN(AF118)-COLUMN($E$5),1)&gt;0,INDEX('Surface DEET'!$Q$9:$W$38,COLUMN(AF118)-COLUMN($E$5),1),$E125),0)</f>
        <v>0</v>
      </c>
      <c r="AG125" s="250">
        <f>IF(AG$6=$C125,IF(INDEX('Surface DEET'!$Q$9:$W$38,COLUMN(AG118)-COLUMN($E$5),1)&gt;0,INDEX('Surface DEET'!$Q$9:$W$38,COLUMN(AG118)-COLUMN($E$5),1),$E125),0)</f>
        <v>0</v>
      </c>
      <c r="AH125" s="250">
        <f>IF(AH$6=$C125,IF(INDEX('Surface DEET'!$Q$9:$W$38,COLUMN(AH118)-COLUMN($E$5),1)&gt;0,INDEX('Surface DEET'!$Q$9:$W$38,COLUMN(AH118)-COLUMN($E$5),1),$E125),0)</f>
        <v>0</v>
      </c>
      <c r="AI125" s="250">
        <f>IF(AI$6=$C125,IF(INDEX('Surface DEET'!$Q$9:$W$38,COLUMN(AI118)-COLUMN($E$5),1)&gt;0,INDEX('Surface DEET'!$Q$9:$W$38,COLUMN(AI118)-COLUMN($E$5),1),$E125),0)</f>
        <v>0</v>
      </c>
    </row>
    <row r="126" spans="1:35">
      <c r="A126" s="690"/>
      <c r="B126" s="250" t="s">
        <v>540</v>
      </c>
      <c r="C126" s="30" t="s">
        <v>621</v>
      </c>
      <c r="D126" s="296" t="s">
        <v>590</v>
      </c>
      <c r="E126" s="250">
        <v>14</v>
      </c>
      <c r="F126" s="250">
        <f>IF(F$6=$C126,IF(INDEX('Surface DEET'!$Q$9:$W$38,COLUMN(F119)-COLUMN($E$5),4)&gt;0,INDEX('Surface DEET'!$Q$9:$W$38,COLUMN(F119)-COLUMN($E$5),4),$E126),0)</f>
        <v>0</v>
      </c>
      <c r="G126" s="250">
        <f>IF(G$6=$C126,IF(INDEX('Surface DEET'!$Q$9:$W$38,COLUMN(G119)-COLUMN($E$5),4)&gt;0,INDEX('Surface DEET'!$Q$9:$W$38,COLUMN(G119)-COLUMN($E$5),4),$E126),0)</f>
        <v>0</v>
      </c>
      <c r="H126" s="250">
        <f>IF(H$6=$C126,IF(INDEX('Surface DEET'!$Q$9:$W$38,COLUMN(H119)-COLUMN($E$5),4)&gt;0,INDEX('Surface DEET'!$Q$9:$W$38,COLUMN(H119)-COLUMN($E$5),4),$E126),0)</f>
        <v>0</v>
      </c>
      <c r="I126" s="250">
        <f>IF(I$6=$C126,IF(INDEX('Surface DEET'!$Q$9:$W$38,COLUMN(I119)-COLUMN($E$5),4)&gt;0,INDEX('Surface DEET'!$Q$9:$W$38,COLUMN(I119)-COLUMN($E$5),4),$E126),0)</f>
        <v>0</v>
      </c>
      <c r="J126" s="250">
        <f>IF(J$6=$C126,IF(INDEX('Surface DEET'!$Q$9:$W$38,COLUMN(J119)-COLUMN($E$5),4)&gt;0,INDEX('Surface DEET'!$Q$9:$W$38,COLUMN(J119)-COLUMN($E$5),4),$E126),0)</f>
        <v>0</v>
      </c>
      <c r="K126" s="250">
        <f>IF(K$6=$C126,IF(INDEX('Surface DEET'!$Q$9:$W$38,COLUMN(K119)-COLUMN($E$5),4)&gt;0,INDEX('Surface DEET'!$Q$9:$W$38,COLUMN(K119)-COLUMN($E$5),4),$E126),0)</f>
        <v>0</v>
      </c>
      <c r="L126" s="250">
        <f>IF(L$6=$C126,IF(INDEX('Surface DEET'!$Q$9:$W$38,COLUMN(L119)-COLUMN($E$5),4)&gt;0,INDEX('Surface DEET'!$Q$9:$W$38,COLUMN(L119)-COLUMN($E$5),4),$E126),0)</f>
        <v>0</v>
      </c>
      <c r="M126" s="250">
        <f>IF(M$6=$C126,IF(INDEX('Surface DEET'!$Q$9:$W$38,COLUMN(M119)-COLUMN($E$5),4)&gt;0,INDEX('Surface DEET'!$Q$9:$W$38,COLUMN(M119)-COLUMN($E$5),4),$E126),0)</f>
        <v>0</v>
      </c>
      <c r="N126" s="250">
        <f>IF(N$6=$C126,IF(INDEX('Surface DEET'!$Q$9:$W$38,COLUMN(N119)-COLUMN($E$5),4)&gt;0,INDEX('Surface DEET'!$Q$9:$W$38,COLUMN(N119)-COLUMN($E$5),4),$E126),0)</f>
        <v>0</v>
      </c>
      <c r="O126" s="250">
        <f>IF(O$6=$C126,IF(INDEX('Surface DEET'!$Q$9:$W$38,COLUMN(O119)-COLUMN($E$5),4)&gt;0,INDEX('Surface DEET'!$Q$9:$W$38,COLUMN(O119)-COLUMN($E$5),4),$E126),0)</f>
        <v>0</v>
      </c>
      <c r="P126" s="250">
        <f>IF(P$6=$C126,IF(INDEX('Surface DEET'!$Q$9:$W$38,COLUMN(P119)-COLUMN($E$5),4)&gt;0,INDEX('Surface DEET'!$Q$9:$W$38,COLUMN(P119)-COLUMN($E$5),4),$E126),0)</f>
        <v>0</v>
      </c>
      <c r="Q126" s="250">
        <f>IF(Q$6=$C126,IF(INDEX('Surface DEET'!$Q$9:$W$38,COLUMN(Q119)-COLUMN($E$5),4)&gt;0,INDEX('Surface DEET'!$Q$9:$W$38,COLUMN(Q119)-COLUMN($E$5),4),$E126),0)</f>
        <v>0</v>
      </c>
      <c r="R126" s="250">
        <f>IF(R$6=$C126,IF(INDEX('Surface DEET'!$Q$9:$W$38,COLUMN(R119)-COLUMN($E$5),4)&gt;0,INDEX('Surface DEET'!$Q$9:$W$38,COLUMN(R119)-COLUMN($E$5),4),$E126),0)</f>
        <v>0</v>
      </c>
      <c r="S126" s="250">
        <f>IF(S$6=$C126,IF(INDEX('Surface DEET'!$Q$9:$W$38,COLUMN(S119)-COLUMN($E$5),4)&gt;0,INDEX('Surface DEET'!$Q$9:$W$38,COLUMN(S119)-COLUMN($E$5),4),$E126),0)</f>
        <v>0</v>
      </c>
      <c r="T126" s="250">
        <f>IF(T$6=$C126,IF(INDEX('Surface DEET'!$Q$9:$W$38,COLUMN(T119)-COLUMN($E$5),4)&gt;0,INDEX('Surface DEET'!$Q$9:$W$38,COLUMN(T119)-COLUMN($E$5),4),$E126),0)</f>
        <v>0</v>
      </c>
      <c r="U126" s="250">
        <f>IF(U$6=$C126,IF(INDEX('Surface DEET'!$Q$9:$W$38,COLUMN(U119)-COLUMN($E$5),4)&gt;0,INDEX('Surface DEET'!$Q$9:$W$38,COLUMN(U119)-COLUMN($E$5),4),$E126),0)</f>
        <v>0</v>
      </c>
      <c r="V126" s="250">
        <f>IF(V$6=$C126,IF(INDEX('Surface DEET'!$Q$9:$W$38,COLUMN(V119)-COLUMN($E$5),4)&gt;0,INDEX('Surface DEET'!$Q$9:$W$38,COLUMN(V119)-COLUMN($E$5),4),$E126),0)</f>
        <v>0</v>
      </c>
      <c r="W126" s="250">
        <f>IF(W$6=$C126,IF(INDEX('Surface DEET'!$Q$9:$W$38,COLUMN(W119)-COLUMN($E$5),4)&gt;0,INDEX('Surface DEET'!$Q$9:$W$38,COLUMN(W119)-COLUMN($E$5),4),$E126),0)</f>
        <v>0</v>
      </c>
      <c r="X126" s="250">
        <f>IF(X$6=$C126,IF(INDEX('Surface DEET'!$Q$9:$W$38,COLUMN(X119)-COLUMN($E$5),4)&gt;0,INDEX('Surface DEET'!$Q$9:$W$38,COLUMN(X119)-COLUMN($E$5),4),$E126),0)</f>
        <v>0</v>
      </c>
      <c r="Y126" s="250">
        <f>IF(Y$6=$C126,IF(INDEX('Surface DEET'!$Q$9:$W$38,COLUMN(Y119)-COLUMN($E$5),4)&gt;0,INDEX('Surface DEET'!$Q$9:$W$38,COLUMN(Y119)-COLUMN($E$5),4),$E126),0)</f>
        <v>0</v>
      </c>
      <c r="Z126" s="250">
        <f>IF(Z$6=$C126,IF(INDEX('Surface DEET'!$Q$9:$W$38,COLUMN(Z119)-COLUMN($E$5),4)&gt;0,INDEX('Surface DEET'!$Q$9:$W$38,COLUMN(Z119)-COLUMN($E$5),4),$E126),0)</f>
        <v>0</v>
      </c>
      <c r="AA126" s="250">
        <f>IF(AA$6=$C126,IF(INDEX('Surface DEET'!$Q$9:$W$38,COLUMN(AA119)-COLUMN($E$5),4)&gt;0,INDEX('Surface DEET'!$Q$9:$W$38,COLUMN(AA119)-COLUMN($E$5),4),$E126),0)</f>
        <v>0</v>
      </c>
      <c r="AB126" s="250">
        <f>IF(AB$6=$C126,IF(INDEX('Surface DEET'!$Q$9:$W$38,COLUMN(AB119)-COLUMN($E$5),4)&gt;0,INDEX('Surface DEET'!$Q$9:$W$38,COLUMN(AB119)-COLUMN($E$5),4),$E126),0)</f>
        <v>0</v>
      </c>
      <c r="AC126" s="250">
        <f>IF(AC$6=$C126,IF(INDEX('Surface DEET'!$Q$9:$W$38,COLUMN(AC119)-COLUMN($E$5),4)&gt;0,INDEX('Surface DEET'!$Q$9:$W$38,COLUMN(AC119)-COLUMN($E$5),4),$E126),0)</f>
        <v>0</v>
      </c>
      <c r="AD126" s="250">
        <f>IF(AD$6=$C126,IF(INDEX('Surface DEET'!$Q$9:$W$38,COLUMN(AD119)-COLUMN($E$5),4)&gt;0,INDEX('Surface DEET'!$Q$9:$W$38,COLUMN(AD119)-COLUMN($E$5),4),$E126),0)</f>
        <v>0</v>
      </c>
      <c r="AE126" s="250">
        <f>IF(AE$6=$C126,IF(INDEX('Surface DEET'!$Q$9:$W$38,COLUMN(AE119)-COLUMN($E$5),4)&gt;0,INDEX('Surface DEET'!$Q$9:$W$38,COLUMN(AE119)-COLUMN($E$5),4),$E126),0)</f>
        <v>0</v>
      </c>
      <c r="AF126" s="250">
        <f>IF(AF$6=$C126,IF(INDEX('Surface DEET'!$Q$9:$W$38,COLUMN(AF119)-COLUMN($E$5),4)&gt;0,INDEX('Surface DEET'!$Q$9:$W$38,COLUMN(AF119)-COLUMN($E$5),4),$E126),0)</f>
        <v>0</v>
      </c>
      <c r="AG126" s="250">
        <f>IF(AG$6=$C126,IF(INDEX('Surface DEET'!$Q$9:$W$38,COLUMN(AG119)-COLUMN($E$5),4)&gt;0,INDEX('Surface DEET'!$Q$9:$W$38,COLUMN(AG119)-COLUMN($E$5),4),$E126),0)</f>
        <v>0</v>
      </c>
      <c r="AH126" s="250">
        <f>IF(AH$6=$C126,IF(INDEX('Surface DEET'!$Q$9:$W$38,COLUMN(AH119)-COLUMN($E$5),4)&gt;0,INDEX('Surface DEET'!$Q$9:$W$38,COLUMN(AH119)-COLUMN($E$5),4),$E126),0)</f>
        <v>0</v>
      </c>
      <c r="AI126" s="250">
        <f>IF(AI$6=$C126,IF(INDEX('Surface DEET'!$Q$9:$W$38,COLUMN(AI119)-COLUMN($E$5),4)&gt;0,INDEX('Surface DEET'!$Q$9:$W$38,COLUMN(AI119)-COLUMN($E$5),4),$E126),0)</f>
        <v>0</v>
      </c>
    </row>
    <row r="127" spans="1:35">
      <c r="A127" s="690"/>
      <c r="B127" s="250" t="s">
        <v>543</v>
      </c>
      <c r="C127" s="30" t="s">
        <v>621</v>
      </c>
      <c r="D127" s="296" t="s">
        <v>618</v>
      </c>
      <c r="E127" s="250">
        <v>90</v>
      </c>
      <c r="F127" s="250">
        <f>IF(F$6=$C127,IF(INDEX('Surface DEET'!$Q$9:$W$38,COLUMN(F120)-COLUMN($E$5),7)&gt;0,INDEX('Surface DEET'!$Q$9:$W$38,COLUMN(F120)-COLUMN($E$5),7),$E127),0)</f>
        <v>0</v>
      </c>
      <c r="G127" s="250">
        <f>IF(G$6=$C127,IF(INDEX('Surface DEET'!$Q$9:$W$38,COLUMN(G120)-COLUMN($E$5),7)&gt;0,INDEX('Surface DEET'!$Q$9:$W$38,COLUMN(G120)-COLUMN($E$5),7),$E127),0)</f>
        <v>0</v>
      </c>
      <c r="H127" s="250">
        <f>IF(H$6=$C127,IF(INDEX('Surface DEET'!$Q$9:$W$38,COLUMN(H120)-COLUMN($E$5),7)&gt;0,INDEX('Surface DEET'!$Q$9:$W$38,COLUMN(H120)-COLUMN($E$5),7),$E127),0)</f>
        <v>0</v>
      </c>
      <c r="I127" s="250">
        <f>IF(I$6=$C127,IF(INDEX('Surface DEET'!$Q$9:$W$38,COLUMN(I120)-COLUMN($E$5),7)&gt;0,INDEX('Surface DEET'!$Q$9:$W$38,COLUMN(I120)-COLUMN($E$5),7),$E127),0)</f>
        <v>0</v>
      </c>
      <c r="J127" s="250">
        <f>IF(J$6=$C127,IF(INDEX('Surface DEET'!$Q$9:$W$38,COLUMN(J120)-COLUMN($E$5),7)&gt;0,INDEX('Surface DEET'!$Q$9:$W$38,COLUMN(J120)-COLUMN($E$5),7),$E127),0)</f>
        <v>0</v>
      </c>
      <c r="K127" s="250">
        <f>IF(K$6=$C127,IF(INDEX('Surface DEET'!$Q$9:$W$38,COLUMN(K120)-COLUMN($E$5),7)&gt;0,INDEX('Surface DEET'!$Q$9:$W$38,COLUMN(K120)-COLUMN($E$5),7),$E127),0)</f>
        <v>0</v>
      </c>
      <c r="L127" s="250">
        <f>IF(L$6=$C127,IF(INDEX('Surface DEET'!$Q$9:$W$38,COLUMN(L120)-COLUMN($E$5),7)&gt;0,INDEX('Surface DEET'!$Q$9:$W$38,COLUMN(L120)-COLUMN($E$5),7),$E127),0)</f>
        <v>0</v>
      </c>
      <c r="M127" s="250">
        <f>IF(M$6=$C127,IF(INDEX('Surface DEET'!$Q$9:$W$38,COLUMN(M120)-COLUMN($E$5),7)&gt;0,INDEX('Surface DEET'!$Q$9:$W$38,COLUMN(M120)-COLUMN($E$5),7),$E127),0)</f>
        <v>0</v>
      </c>
      <c r="N127" s="250">
        <f>IF(N$6=$C127,IF(INDEX('Surface DEET'!$Q$9:$W$38,COLUMN(N120)-COLUMN($E$5),7)&gt;0,INDEX('Surface DEET'!$Q$9:$W$38,COLUMN(N120)-COLUMN($E$5),7),$E127),0)</f>
        <v>0</v>
      </c>
      <c r="O127" s="250">
        <f>IF(O$6=$C127,IF(INDEX('Surface DEET'!$Q$9:$W$38,COLUMN(O120)-COLUMN($E$5),7)&gt;0,INDEX('Surface DEET'!$Q$9:$W$38,COLUMN(O120)-COLUMN($E$5),7),$E127),0)</f>
        <v>0</v>
      </c>
      <c r="P127" s="250">
        <f>IF(P$6=$C127,IF(INDEX('Surface DEET'!$Q$9:$W$38,COLUMN(P120)-COLUMN($E$5),7)&gt;0,INDEX('Surface DEET'!$Q$9:$W$38,COLUMN(P120)-COLUMN($E$5),7),$E127),0)</f>
        <v>0</v>
      </c>
      <c r="Q127" s="250">
        <f>IF(Q$6=$C127,IF(INDEX('Surface DEET'!$Q$9:$W$38,COLUMN(Q120)-COLUMN($E$5),7)&gt;0,INDEX('Surface DEET'!$Q$9:$W$38,COLUMN(Q120)-COLUMN($E$5),7),$E127),0)</f>
        <v>0</v>
      </c>
      <c r="R127" s="250">
        <f>IF(R$6=$C127,IF(INDEX('Surface DEET'!$Q$9:$W$38,COLUMN(R120)-COLUMN($E$5),7)&gt;0,INDEX('Surface DEET'!$Q$9:$W$38,COLUMN(R120)-COLUMN($E$5),7),$E127),0)</f>
        <v>0</v>
      </c>
      <c r="S127" s="250">
        <f>IF(S$6=$C127,IF(INDEX('Surface DEET'!$Q$9:$W$38,COLUMN(S120)-COLUMN($E$5),7)&gt;0,INDEX('Surface DEET'!$Q$9:$W$38,COLUMN(S120)-COLUMN($E$5),7),$E127),0)</f>
        <v>0</v>
      </c>
      <c r="T127" s="250">
        <f>IF(T$6=$C127,IF(INDEX('Surface DEET'!$Q$9:$W$38,COLUMN(T120)-COLUMN($E$5),7)&gt;0,INDEX('Surface DEET'!$Q$9:$W$38,COLUMN(T120)-COLUMN($E$5),7),$E127),0)</f>
        <v>0</v>
      </c>
      <c r="U127" s="250">
        <f>IF(U$6=$C127,IF(INDEX('Surface DEET'!$Q$9:$W$38,COLUMN(U120)-COLUMN($E$5),7)&gt;0,INDEX('Surface DEET'!$Q$9:$W$38,COLUMN(U120)-COLUMN($E$5),7),$E127),0)</f>
        <v>0</v>
      </c>
      <c r="V127" s="250">
        <f>IF(V$6=$C127,IF(INDEX('Surface DEET'!$Q$9:$W$38,COLUMN(V120)-COLUMN($E$5),7)&gt;0,INDEX('Surface DEET'!$Q$9:$W$38,COLUMN(V120)-COLUMN($E$5),7),$E127),0)</f>
        <v>0</v>
      </c>
      <c r="W127" s="250">
        <f>IF(W$6=$C127,IF(INDEX('Surface DEET'!$Q$9:$W$38,COLUMN(W120)-COLUMN($E$5),7)&gt;0,INDEX('Surface DEET'!$Q$9:$W$38,COLUMN(W120)-COLUMN($E$5),7),$E127),0)</f>
        <v>0</v>
      </c>
      <c r="X127" s="250">
        <f>IF(X$6=$C127,IF(INDEX('Surface DEET'!$Q$9:$W$38,COLUMN(X120)-COLUMN($E$5),7)&gt;0,INDEX('Surface DEET'!$Q$9:$W$38,COLUMN(X120)-COLUMN($E$5),7),$E127),0)</f>
        <v>0</v>
      </c>
      <c r="Y127" s="250">
        <f>IF(Y$6=$C127,IF(INDEX('Surface DEET'!$Q$9:$W$38,COLUMN(Y120)-COLUMN($E$5),7)&gt;0,INDEX('Surface DEET'!$Q$9:$W$38,COLUMN(Y120)-COLUMN($E$5),7),$E127),0)</f>
        <v>0</v>
      </c>
      <c r="Z127" s="250">
        <f>IF(Z$6=$C127,IF(INDEX('Surface DEET'!$Q$9:$W$38,COLUMN(Z120)-COLUMN($E$5),7)&gt;0,INDEX('Surface DEET'!$Q$9:$W$38,COLUMN(Z120)-COLUMN($E$5),7),$E127),0)</f>
        <v>0</v>
      </c>
      <c r="AA127" s="250">
        <f>IF(AA$6=$C127,IF(INDEX('Surface DEET'!$Q$9:$W$38,COLUMN(AA120)-COLUMN($E$5),7)&gt;0,INDEX('Surface DEET'!$Q$9:$W$38,COLUMN(AA120)-COLUMN($E$5),7),$E127),0)</f>
        <v>0</v>
      </c>
      <c r="AB127" s="250">
        <f>IF(AB$6=$C127,IF(INDEX('Surface DEET'!$Q$9:$W$38,COLUMN(AB120)-COLUMN($E$5),7)&gt;0,INDEX('Surface DEET'!$Q$9:$W$38,COLUMN(AB120)-COLUMN($E$5),7),$E127),0)</f>
        <v>0</v>
      </c>
      <c r="AC127" s="250">
        <f>IF(AC$6=$C127,IF(INDEX('Surface DEET'!$Q$9:$W$38,COLUMN(AC120)-COLUMN($E$5),7)&gt;0,INDEX('Surface DEET'!$Q$9:$W$38,COLUMN(AC120)-COLUMN($E$5),7),$E127),0)</f>
        <v>0</v>
      </c>
      <c r="AD127" s="250">
        <f>IF(AD$6=$C127,IF(INDEX('Surface DEET'!$Q$9:$W$38,COLUMN(AD120)-COLUMN($E$5),7)&gt;0,INDEX('Surface DEET'!$Q$9:$W$38,COLUMN(AD120)-COLUMN($E$5),7),$E127),0)</f>
        <v>0</v>
      </c>
      <c r="AE127" s="250">
        <f>IF(AE$6=$C127,IF(INDEX('Surface DEET'!$Q$9:$W$38,COLUMN(AE120)-COLUMN($E$5),7)&gt;0,INDEX('Surface DEET'!$Q$9:$W$38,COLUMN(AE120)-COLUMN($E$5),7),$E127),0)</f>
        <v>0</v>
      </c>
      <c r="AF127" s="250">
        <f>IF(AF$6=$C127,IF(INDEX('Surface DEET'!$Q$9:$W$38,COLUMN(AF120)-COLUMN($E$5),7)&gt;0,INDEX('Surface DEET'!$Q$9:$W$38,COLUMN(AF120)-COLUMN($E$5),7),$E127),0)</f>
        <v>0</v>
      </c>
      <c r="AG127" s="250">
        <f>IF(AG$6=$C127,IF(INDEX('Surface DEET'!$Q$9:$W$38,COLUMN(AG120)-COLUMN($E$5),7)&gt;0,INDEX('Surface DEET'!$Q$9:$W$38,COLUMN(AG120)-COLUMN($E$5),7),$E127),0)</f>
        <v>0</v>
      </c>
      <c r="AH127" s="250">
        <f>IF(AH$6=$C127,IF(INDEX('Surface DEET'!$Q$9:$W$38,COLUMN(AH120)-COLUMN($E$5),7)&gt;0,INDEX('Surface DEET'!$Q$9:$W$38,COLUMN(AH120)-COLUMN($E$5),7),$E127),0)</f>
        <v>0</v>
      </c>
      <c r="AI127" s="250">
        <f>IF(AI$6=$C127,IF(INDEX('Surface DEET'!$Q$9:$W$38,COLUMN(AI120)-COLUMN($E$5),7)&gt;0,INDEX('Surface DEET'!$Q$9:$W$38,COLUMN(AI120)-COLUMN($E$5),7),$E127),0)</f>
        <v>0</v>
      </c>
    </row>
    <row r="128" spans="1:35">
      <c r="A128" s="690"/>
      <c r="B128" s="250" t="s">
        <v>533</v>
      </c>
      <c r="C128" s="30" t="s">
        <v>621</v>
      </c>
      <c r="D128" s="250" t="s">
        <v>533</v>
      </c>
      <c r="F128" s="250">
        <f>IFERROR($E$122*(F125/$E$125)*($E$124*(F127/$E$127)*($E$126/F126)+(1-$E$124))+0.28*$E$121*(F125-$E$125)/$E$125,0)</f>
        <v>0</v>
      </c>
      <c r="G128" s="250">
        <f t="shared" ref="G128:AI128" si="14">IFERROR($E$122*(G125/$E$125)*($E$124*(G127/$E$127)*($E$126/G126)+(1-$E$124))+0.28*$E$121*(G125-$E$125)/$E$125,0)</f>
        <v>0</v>
      </c>
      <c r="H128" s="250">
        <f t="shared" si="14"/>
        <v>0</v>
      </c>
      <c r="I128" s="250">
        <f t="shared" si="14"/>
        <v>0</v>
      </c>
      <c r="J128" s="250">
        <f t="shared" si="14"/>
        <v>0</v>
      </c>
      <c r="K128" s="250">
        <f t="shared" si="14"/>
        <v>0</v>
      </c>
      <c r="L128" s="250">
        <f t="shared" si="14"/>
        <v>0</v>
      </c>
      <c r="M128" s="250">
        <f t="shared" si="14"/>
        <v>0</v>
      </c>
      <c r="N128" s="250">
        <f t="shared" si="14"/>
        <v>0</v>
      </c>
      <c r="O128" s="250">
        <f t="shared" si="14"/>
        <v>0</v>
      </c>
      <c r="P128" s="250">
        <f t="shared" si="14"/>
        <v>0</v>
      </c>
      <c r="Q128" s="250">
        <f t="shared" si="14"/>
        <v>0</v>
      </c>
      <c r="R128" s="250">
        <f t="shared" si="14"/>
        <v>0</v>
      </c>
      <c r="S128" s="250">
        <f t="shared" si="14"/>
        <v>0</v>
      </c>
      <c r="T128" s="250">
        <f t="shared" si="14"/>
        <v>0</v>
      </c>
      <c r="U128" s="250">
        <f t="shared" si="14"/>
        <v>0</v>
      </c>
      <c r="V128" s="250">
        <f t="shared" si="14"/>
        <v>0</v>
      </c>
      <c r="W128" s="250">
        <f t="shared" si="14"/>
        <v>0</v>
      </c>
      <c r="X128" s="250">
        <f t="shared" si="14"/>
        <v>0</v>
      </c>
      <c r="Y128" s="250">
        <f t="shared" si="14"/>
        <v>0</v>
      </c>
      <c r="Z128" s="250">
        <f t="shared" si="14"/>
        <v>0</v>
      </c>
      <c r="AA128" s="250">
        <f t="shared" si="14"/>
        <v>0</v>
      </c>
      <c r="AB128" s="250">
        <f t="shared" si="14"/>
        <v>0</v>
      </c>
      <c r="AC128" s="250">
        <f t="shared" si="14"/>
        <v>0</v>
      </c>
      <c r="AD128" s="250">
        <f t="shared" si="14"/>
        <v>0</v>
      </c>
      <c r="AE128" s="250">
        <f t="shared" si="14"/>
        <v>0</v>
      </c>
      <c r="AF128" s="250">
        <f t="shared" si="14"/>
        <v>0</v>
      </c>
      <c r="AG128" s="250">
        <f t="shared" si="14"/>
        <v>0</v>
      </c>
      <c r="AH128" s="250">
        <f t="shared" si="14"/>
        <v>0</v>
      </c>
      <c r="AI128" s="250">
        <f t="shared" si="14"/>
        <v>0</v>
      </c>
    </row>
    <row r="129" spans="1:35">
      <c r="A129" s="690" t="s">
        <v>622</v>
      </c>
      <c r="B129" s="88" t="s">
        <v>294</v>
      </c>
      <c r="C129" s="30" t="s">
        <v>622</v>
      </c>
      <c r="D129" s="88" t="s">
        <v>294</v>
      </c>
      <c r="E129" s="250">
        <f t="array" ref="E129">INDEX(CABS_CVC!$C$3:$O$870,MATCH(1, (CABS_CVC!$A$3:$A$870=Calculs_CABS!C129)*(CABS_CVC!$B$3:$B$870=Calculs_CABS!$D$2),0),MATCH(Calculs_CABS!$D$1,Liste_CABS!$B$3:$B$15,0))</f>
        <v>92</v>
      </c>
    </row>
    <row r="130" spans="1:35">
      <c r="A130" s="690"/>
      <c r="B130" s="250" t="s">
        <v>534</v>
      </c>
      <c r="C130" s="30" t="s">
        <v>622</v>
      </c>
      <c r="D130" s="250" t="s">
        <v>534</v>
      </c>
      <c r="E130" s="250">
        <v>82</v>
      </c>
    </row>
    <row r="131" spans="1:35">
      <c r="A131" s="690"/>
      <c r="B131" s="250" t="s">
        <v>535</v>
      </c>
      <c r="C131" s="30" t="s">
        <v>622</v>
      </c>
      <c r="D131" s="250" t="s">
        <v>535</v>
      </c>
      <c r="E131" s="250">
        <f>E129+E130</f>
        <v>174</v>
      </c>
    </row>
    <row r="132" spans="1:35">
      <c r="A132" s="690"/>
      <c r="B132" s="250" t="s">
        <v>536</v>
      </c>
      <c r="C132" s="30" t="s">
        <v>622</v>
      </c>
      <c r="D132" s="250" t="s">
        <v>536</v>
      </c>
      <c r="E132" s="250">
        <v>0.63</v>
      </c>
    </row>
    <row r="133" spans="1:35">
      <c r="A133" s="690"/>
      <c r="B133" s="250" t="s">
        <v>537</v>
      </c>
      <c r="C133" s="30" t="s">
        <v>622</v>
      </c>
      <c r="D133" s="296" t="s">
        <v>600</v>
      </c>
      <c r="E133" s="250">
        <v>3510</v>
      </c>
      <c r="F133" s="250">
        <f>IF(F$6=$C133,IF(INDEX('Surface DEET'!$Q$9:$W$38,COLUMN(F126)-COLUMN($E$5),1)&gt;0,INDEX('Surface DEET'!$Q$9:$W$38,COLUMN(F126)-COLUMN($E$5),1),$E133),0)</f>
        <v>0</v>
      </c>
      <c r="G133" s="250">
        <f>IF(G$6=$C133,IF(INDEX('Surface DEET'!$Q$9:$W$38,COLUMN(G126)-COLUMN($E$5),1)&gt;0,INDEX('Surface DEET'!$Q$9:$W$38,COLUMN(G126)-COLUMN($E$5),1),$E133),0)</f>
        <v>0</v>
      </c>
      <c r="H133" s="250">
        <f>IF(H$6=$C133,IF(INDEX('Surface DEET'!$Q$9:$W$38,COLUMN(H126)-COLUMN($E$5),1)&gt;0,INDEX('Surface DEET'!$Q$9:$W$38,COLUMN(H126)-COLUMN($E$5),1),$E133),0)</f>
        <v>0</v>
      </c>
      <c r="I133" s="250">
        <f>IF(I$6=$C133,IF(INDEX('Surface DEET'!$Q$9:$W$38,COLUMN(I126)-COLUMN($E$5),1)&gt;0,INDEX('Surface DEET'!$Q$9:$W$38,COLUMN(I126)-COLUMN($E$5),1),$E133),0)</f>
        <v>0</v>
      </c>
      <c r="J133" s="250">
        <f>IF(J$6=$C133,IF(INDEX('Surface DEET'!$Q$9:$W$38,COLUMN(J126)-COLUMN($E$5),1)&gt;0,INDEX('Surface DEET'!$Q$9:$W$38,COLUMN(J126)-COLUMN($E$5),1),$E133),0)</f>
        <v>0</v>
      </c>
      <c r="K133" s="250">
        <f>IF(K$6=$C133,IF(INDEX('Surface DEET'!$Q$9:$W$38,COLUMN(K126)-COLUMN($E$5),1)&gt;0,INDEX('Surface DEET'!$Q$9:$W$38,COLUMN(K126)-COLUMN($E$5),1),$E133),0)</f>
        <v>0</v>
      </c>
      <c r="L133" s="250">
        <f>IF(L$6=$C133,IF(INDEX('Surface DEET'!$Q$9:$W$38,COLUMN(L126)-COLUMN($E$5),1)&gt;0,INDEX('Surface DEET'!$Q$9:$W$38,COLUMN(L126)-COLUMN($E$5),1),$E133),0)</f>
        <v>0</v>
      </c>
      <c r="M133" s="250">
        <f>IF(M$6=$C133,IF(INDEX('Surface DEET'!$Q$9:$W$38,COLUMN(M126)-COLUMN($E$5),1)&gt;0,INDEX('Surface DEET'!$Q$9:$W$38,COLUMN(M126)-COLUMN($E$5),1),$E133),0)</f>
        <v>0</v>
      </c>
      <c r="N133" s="250">
        <f>IF(N$6=$C133,IF(INDEX('Surface DEET'!$Q$9:$W$38,COLUMN(N126)-COLUMN($E$5),1)&gt;0,INDEX('Surface DEET'!$Q$9:$W$38,COLUMN(N126)-COLUMN($E$5),1),$E133),0)</f>
        <v>0</v>
      </c>
      <c r="O133" s="250">
        <f>IF(O$6=$C133,IF(INDEX('Surface DEET'!$Q$9:$W$38,COLUMN(O126)-COLUMN($E$5),1)&gt;0,INDEX('Surface DEET'!$Q$9:$W$38,COLUMN(O126)-COLUMN($E$5),1),$E133),0)</f>
        <v>0</v>
      </c>
      <c r="P133" s="250">
        <f>IF(P$6=$C133,IF(INDEX('Surface DEET'!$Q$9:$W$38,COLUMN(P126)-COLUMN($E$5),1)&gt;0,INDEX('Surface DEET'!$Q$9:$W$38,COLUMN(P126)-COLUMN($E$5),1),$E133),0)</f>
        <v>0</v>
      </c>
      <c r="Q133" s="250">
        <f>IF(Q$6=$C133,IF(INDEX('Surface DEET'!$Q$9:$W$38,COLUMN(Q126)-COLUMN($E$5),1)&gt;0,INDEX('Surface DEET'!$Q$9:$W$38,COLUMN(Q126)-COLUMN($E$5),1),$E133),0)</f>
        <v>0</v>
      </c>
      <c r="R133" s="250">
        <f>IF(R$6=$C133,IF(INDEX('Surface DEET'!$Q$9:$W$38,COLUMN(R126)-COLUMN($E$5),1)&gt;0,INDEX('Surface DEET'!$Q$9:$W$38,COLUMN(R126)-COLUMN($E$5),1),$E133),0)</f>
        <v>0</v>
      </c>
      <c r="S133" s="250">
        <f>IF(S$6=$C133,IF(INDEX('Surface DEET'!$Q$9:$W$38,COLUMN(S126)-COLUMN($E$5),1)&gt;0,INDEX('Surface DEET'!$Q$9:$W$38,COLUMN(S126)-COLUMN($E$5),1),$E133),0)</f>
        <v>0</v>
      </c>
      <c r="T133" s="250">
        <f>IF(T$6=$C133,IF(INDEX('Surface DEET'!$Q$9:$W$38,COLUMN(T126)-COLUMN($E$5),1)&gt;0,INDEX('Surface DEET'!$Q$9:$W$38,COLUMN(T126)-COLUMN($E$5),1),$E133),0)</f>
        <v>0</v>
      </c>
      <c r="U133" s="250">
        <f>IF(U$6=$C133,IF(INDEX('Surface DEET'!$Q$9:$W$38,COLUMN(U126)-COLUMN($E$5),1)&gt;0,INDEX('Surface DEET'!$Q$9:$W$38,COLUMN(U126)-COLUMN($E$5),1),$E133),0)</f>
        <v>0</v>
      </c>
      <c r="V133" s="250">
        <f>IF(V$6=$C133,IF(INDEX('Surface DEET'!$Q$9:$W$38,COLUMN(V126)-COLUMN($E$5),1)&gt;0,INDEX('Surface DEET'!$Q$9:$W$38,COLUMN(V126)-COLUMN($E$5),1),$E133),0)</f>
        <v>0</v>
      </c>
      <c r="W133" s="250">
        <f>IF(W$6=$C133,IF(INDEX('Surface DEET'!$Q$9:$W$38,COLUMN(W126)-COLUMN($E$5),1)&gt;0,INDEX('Surface DEET'!$Q$9:$W$38,COLUMN(W126)-COLUMN($E$5),1),$E133),0)</f>
        <v>0</v>
      </c>
      <c r="X133" s="250">
        <f>IF(X$6=$C133,IF(INDEX('Surface DEET'!$Q$9:$W$38,COLUMN(X126)-COLUMN($E$5),1)&gt;0,INDEX('Surface DEET'!$Q$9:$W$38,COLUMN(X126)-COLUMN($E$5),1),$E133),0)</f>
        <v>0</v>
      </c>
      <c r="Y133" s="250">
        <f>IF(Y$6=$C133,IF(INDEX('Surface DEET'!$Q$9:$W$38,COLUMN(Y126)-COLUMN($E$5),1)&gt;0,INDEX('Surface DEET'!$Q$9:$W$38,COLUMN(Y126)-COLUMN($E$5),1),$E133),0)</f>
        <v>0</v>
      </c>
      <c r="Z133" s="250">
        <f>IF(Z$6=$C133,IF(INDEX('Surface DEET'!$Q$9:$W$38,COLUMN(Z126)-COLUMN($E$5),1)&gt;0,INDEX('Surface DEET'!$Q$9:$W$38,COLUMN(Z126)-COLUMN($E$5),1),$E133),0)</f>
        <v>0</v>
      </c>
      <c r="AA133" s="250">
        <f>IF(AA$6=$C133,IF(INDEX('Surface DEET'!$Q$9:$W$38,COLUMN(AA126)-COLUMN($E$5),1)&gt;0,INDEX('Surface DEET'!$Q$9:$W$38,COLUMN(AA126)-COLUMN($E$5),1),$E133),0)</f>
        <v>0</v>
      </c>
      <c r="AB133" s="250">
        <f>IF(AB$6=$C133,IF(INDEX('Surface DEET'!$Q$9:$W$38,COLUMN(AB126)-COLUMN($E$5),1)&gt;0,INDEX('Surface DEET'!$Q$9:$W$38,COLUMN(AB126)-COLUMN($E$5),1),$E133),0)</f>
        <v>0</v>
      </c>
      <c r="AC133" s="250">
        <f>IF(AC$6=$C133,IF(INDEX('Surface DEET'!$Q$9:$W$38,COLUMN(AC126)-COLUMN($E$5),1)&gt;0,INDEX('Surface DEET'!$Q$9:$W$38,COLUMN(AC126)-COLUMN($E$5),1),$E133),0)</f>
        <v>0</v>
      </c>
      <c r="AD133" s="250">
        <f>IF(AD$6=$C133,IF(INDEX('Surface DEET'!$Q$9:$W$38,COLUMN(AD126)-COLUMN($E$5),1)&gt;0,INDEX('Surface DEET'!$Q$9:$W$38,COLUMN(AD126)-COLUMN($E$5),1),$E133),0)</f>
        <v>0</v>
      </c>
      <c r="AE133" s="250">
        <f>IF(AE$6=$C133,IF(INDEX('Surface DEET'!$Q$9:$W$38,COLUMN(AE126)-COLUMN($E$5),1)&gt;0,INDEX('Surface DEET'!$Q$9:$W$38,COLUMN(AE126)-COLUMN($E$5),1),$E133),0)</f>
        <v>0</v>
      </c>
      <c r="AF133" s="250">
        <f>IF(AF$6=$C133,IF(INDEX('Surface DEET'!$Q$9:$W$38,COLUMN(AF126)-COLUMN($E$5),1)&gt;0,INDEX('Surface DEET'!$Q$9:$W$38,COLUMN(AF126)-COLUMN($E$5),1),$E133),0)</f>
        <v>0</v>
      </c>
      <c r="AG133" s="250">
        <f>IF(AG$6=$C133,IF(INDEX('Surface DEET'!$Q$9:$W$38,COLUMN(AG126)-COLUMN($E$5),1)&gt;0,INDEX('Surface DEET'!$Q$9:$W$38,COLUMN(AG126)-COLUMN($E$5),1),$E133),0)</f>
        <v>0</v>
      </c>
      <c r="AH133" s="250">
        <f>IF(AH$6=$C133,IF(INDEX('Surface DEET'!$Q$9:$W$38,COLUMN(AH126)-COLUMN($E$5),1)&gt;0,INDEX('Surface DEET'!$Q$9:$W$38,COLUMN(AH126)-COLUMN($E$5),1),$E133),0)</f>
        <v>0</v>
      </c>
      <c r="AI133" s="250">
        <f>IF(AI$6=$C133,IF(INDEX('Surface DEET'!$Q$9:$W$38,COLUMN(AI126)-COLUMN($E$5),1)&gt;0,INDEX('Surface DEET'!$Q$9:$W$38,COLUMN(AI126)-COLUMN($E$5),1),$E133),0)</f>
        <v>0</v>
      </c>
    </row>
    <row r="134" spans="1:35">
      <c r="A134" s="690"/>
      <c r="B134" s="250" t="s">
        <v>540</v>
      </c>
      <c r="C134" s="30" t="s">
        <v>622</v>
      </c>
      <c r="D134" s="296" t="s">
        <v>590</v>
      </c>
      <c r="E134" s="250">
        <v>11</v>
      </c>
      <c r="F134" s="250">
        <f>IF(F$6=$C134,IF(INDEX('Surface DEET'!$Q$9:$W$38,COLUMN(F127)-COLUMN($E$5),4)&gt;0,INDEX('Surface DEET'!$Q$9:$W$38,COLUMN(F127)-COLUMN($E$5),4),$E134),0)</f>
        <v>0</v>
      </c>
      <c r="G134" s="250">
        <f>IF(G$6=$C134,IF(INDEX('Surface DEET'!$Q$9:$W$38,COLUMN(G127)-COLUMN($E$5),4)&gt;0,INDEX('Surface DEET'!$Q$9:$W$38,COLUMN(G127)-COLUMN($E$5),4),$E134),0)</f>
        <v>0</v>
      </c>
      <c r="H134" s="250">
        <f>IF(H$6=$C134,IF(INDEX('Surface DEET'!$Q$9:$W$38,COLUMN(H127)-COLUMN($E$5),4)&gt;0,INDEX('Surface DEET'!$Q$9:$W$38,COLUMN(H127)-COLUMN($E$5),4),$E134),0)</f>
        <v>0</v>
      </c>
      <c r="I134" s="250">
        <f>IF(I$6=$C134,IF(INDEX('Surface DEET'!$Q$9:$W$38,COLUMN(I127)-COLUMN($E$5),4)&gt;0,INDEX('Surface DEET'!$Q$9:$W$38,COLUMN(I127)-COLUMN($E$5),4),$E134),0)</f>
        <v>0</v>
      </c>
      <c r="J134" s="250">
        <f>IF(J$6=$C134,IF(INDEX('Surface DEET'!$Q$9:$W$38,COLUMN(J127)-COLUMN($E$5),4)&gt;0,INDEX('Surface DEET'!$Q$9:$W$38,COLUMN(J127)-COLUMN($E$5),4),$E134),0)</f>
        <v>0</v>
      </c>
      <c r="K134" s="250">
        <f>IF(K$6=$C134,IF(INDEX('Surface DEET'!$Q$9:$W$38,COLUMN(K127)-COLUMN($E$5),4)&gt;0,INDEX('Surface DEET'!$Q$9:$W$38,COLUMN(K127)-COLUMN($E$5),4),$E134),0)</f>
        <v>0</v>
      </c>
      <c r="L134" s="250">
        <f>IF(L$6=$C134,IF(INDEX('Surface DEET'!$Q$9:$W$38,COLUMN(L127)-COLUMN($E$5),4)&gt;0,INDEX('Surface DEET'!$Q$9:$W$38,COLUMN(L127)-COLUMN($E$5),4),$E134),0)</f>
        <v>0</v>
      </c>
      <c r="M134" s="250">
        <f>IF(M$6=$C134,IF(INDEX('Surface DEET'!$Q$9:$W$38,COLUMN(M127)-COLUMN($E$5),4)&gt;0,INDEX('Surface DEET'!$Q$9:$W$38,COLUMN(M127)-COLUMN($E$5),4),$E134),0)</f>
        <v>0</v>
      </c>
      <c r="N134" s="250">
        <f>IF(N$6=$C134,IF(INDEX('Surface DEET'!$Q$9:$W$38,COLUMN(N127)-COLUMN($E$5),4)&gt;0,INDEX('Surface DEET'!$Q$9:$W$38,COLUMN(N127)-COLUMN($E$5),4),$E134),0)</f>
        <v>0</v>
      </c>
      <c r="O134" s="250">
        <f>IF(O$6=$C134,IF(INDEX('Surface DEET'!$Q$9:$W$38,COLUMN(O127)-COLUMN($E$5),4)&gt;0,INDEX('Surface DEET'!$Q$9:$W$38,COLUMN(O127)-COLUMN($E$5),4),$E134),0)</f>
        <v>0</v>
      </c>
      <c r="P134" s="250">
        <f>IF(P$6=$C134,IF(INDEX('Surface DEET'!$Q$9:$W$38,COLUMN(P127)-COLUMN($E$5),4)&gt;0,INDEX('Surface DEET'!$Q$9:$W$38,COLUMN(P127)-COLUMN($E$5),4),$E134),0)</f>
        <v>0</v>
      </c>
      <c r="Q134" s="250">
        <f>IF(Q$6=$C134,IF(INDEX('Surface DEET'!$Q$9:$W$38,COLUMN(Q127)-COLUMN($E$5),4)&gt;0,INDEX('Surface DEET'!$Q$9:$W$38,COLUMN(Q127)-COLUMN($E$5),4),$E134),0)</f>
        <v>0</v>
      </c>
      <c r="R134" s="250">
        <f>IF(R$6=$C134,IF(INDEX('Surface DEET'!$Q$9:$W$38,COLUMN(R127)-COLUMN($E$5),4)&gt;0,INDEX('Surface DEET'!$Q$9:$W$38,COLUMN(R127)-COLUMN($E$5),4),$E134),0)</f>
        <v>0</v>
      </c>
      <c r="S134" s="250">
        <f>IF(S$6=$C134,IF(INDEX('Surface DEET'!$Q$9:$W$38,COLUMN(S127)-COLUMN($E$5),4)&gt;0,INDEX('Surface DEET'!$Q$9:$W$38,COLUMN(S127)-COLUMN($E$5),4),$E134),0)</f>
        <v>0</v>
      </c>
      <c r="T134" s="250">
        <f>IF(T$6=$C134,IF(INDEX('Surface DEET'!$Q$9:$W$38,COLUMN(T127)-COLUMN($E$5),4)&gt;0,INDEX('Surface DEET'!$Q$9:$W$38,COLUMN(T127)-COLUMN($E$5),4),$E134),0)</f>
        <v>0</v>
      </c>
      <c r="U134" s="250">
        <f>IF(U$6=$C134,IF(INDEX('Surface DEET'!$Q$9:$W$38,COLUMN(U127)-COLUMN($E$5),4)&gt;0,INDEX('Surface DEET'!$Q$9:$W$38,COLUMN(U127)-COLUMN($E$5),4),$E134),0)</f>
        <v>0</v>
      </c>
      <c r="V134" s="250">
        <f>IF(V$6=$C134,IF(INDEX('Surface DEET'!$Q$9:$W$38,COLUMN(V127)-COLUMN($E$5),4)&gt;0,INDEX('Surface DEET'!$Q$9:$W$38,COLUMN(V127)-COLUMN($E$5),4),$E134),0)</f>
        <v>0</v>
      </c>
      <c r="W134" s="250">
        <f>IF(W$6=$C134,IF(INDEX('Surface DEET'!$Q$9:$W$38,COLUMN(W127)-COLUMN($E$5),4)&gt;0,INDEX('Surface DEET'!$Q$9:$W$38,COLUMN(W127)-COLUMN($E$5),4),$E134),0)</f>
        <v>0</v>
      </c>
      <c r="X134" s="250">
        <f>IF(X$6=$C134,IF(INDEX('Surface DEET'!$Q$9:$W$38,COLUMN(X127)-COLUMN($E$5),4)&gt;0,INDEX('Surface DEET'!$Q$9:$W$38,COLUMN(X127)-COLUMN($E$5),4),$E134),0)</f>
        <v>0</v>
      </c>
      <c r="Y134" s="250">
        <f>IF(Y$6=$C134,IF(INDEX('Surface DEET'!$Q$9:$W$38,COLUMN(Y127)-COLUMN($E$5),4)&gt;0,INDEX('Surface DEET'!$Q$9:$W$38,COLUMN(Y127)-COLUMN($E$5),4),$E134),0)</f>
        <v>0</v>
      </c>
      <c r="Z134" s="250">
        <f>IF(Z$6=$C134,IF(INDEX('Surface DEET'!$Q$9:$W$38,COLUMN(Z127)-COLUMN($E$5),4)&gt;0,INDEX('Surface DEET'!$Q$9:$W$38,COLUMN(Z127)-COLUMN($E$5),4),$E134),0)</f>
        <v>0</v>
      </c>
      <c r="AA134" s="250">
        <f>IF(AA$6=$C134,IF(INDEX('Surface DEET'!$Q$9:$W$38,COLUMN(AA127)-COLUMN($E$5),4)&gt;0,INDEX('Surface DEET'!$Q$9:$W$38,COLUMN(AA127)-COLUMN($E$5),4),$E134),0)</f>
        <v>0</v>
      </c>
      <c r="AB134" s="250">
        <f>IF(AB$6=$C134,IF(INDEX('Surface DEET'!$Q$9:$W$38,COLUMN(AB127)-COLUMN($E$5),4)&gt;0,INDEX('Surface DEET'!$Q$9:$W$38,COLUMN(AB127)-COLUMN($E$5),4),$E134),0)</f>
        <v>0</v>
      </c>
      <c r="AC134" s="250">
        <f>IF(AC$6=$C134,IF(INDEX('Surface DEET'!$Q$9:$W$38,COLUMN(AC127)-COLUMN($E$5),4)&gt;0,INDEX('Surface DEET'!$Q$9:$W$38,COLUMN(AC127)-COLUMN($E$5),4),$E134),0)</f>
        <v>0</v>
      </c>
      <c r="AD134" s="250">
        <f>IF(AD$6=$C134,IF(INDEX('Surface DEET'!$Q$9:$W$38,COLUMN(AD127)-COLUMN($E$5),4)&gt;0,INDEX('Surface DEET'!$Q$9:$W$38,COLUMN(AD127)-COLUMN($E$5),4),$E134),0)</f>
        <v>0</v>
      </c>
      <c r="AE134" s="250">
        <f>IF(AE$6=$C134,IF(INDEX('Surface DEET'!$Q$9:$W$38,COLUMN(AE127)-COLUMN($E$5),4)&gt;0,INDEX('Surface DEET'!$Q$9:$W$38,COLUMN(AE127)-COLUMN($E$5),4),$E134),0)</f>
        <v>0</v>
      </c>
      <c r="AF134" s="250">
        <f>IF(AF$6=$C134,IF(INDEX('Surface DEET'!$Q$9:$W$38,COLUMN(AF127)-COLUMN($E$5),4)&gt;0,INDEX('Surface DEET'!$Q$9:$W$38,COLUMN(AF127)-COLUMN($E$5),4),$E134),0)</f>
        <v>0</v>
      </c>
      <c r="AG134" s="250">
        <f>IF(AG$6=$C134,IF(INDEX('Surface DEET'!$Q$9:$W$38,COLUMN(AG127)-COLUMN($E$5),4)&gt;0,INDEX('Surface DEET'!$Q$9:$W$38,COLUMN(AG127)-COLUMN($E$5),4),$E134),0)</f>
        <v>0</v>
      </c>
      <c r="AH134" s="250">
        <f>IF(AH$6=$C134,IF(INDEX('Surface DEET'!$Q$9:$W$38,COLUMN(AH127)-COLUMN($E$5),4)&gt;0,INDEX('Surface DEET'!$Q$9:$W$38,COLUMN(AH127)-COLUMN($E$5),4),$E134),0)</f>
        <v>0</v>
      </c>
      <c r="AI134" s="250">
        <f>IF(AI$6=$C134,IF(INDEX('Surface DEET'!$Q$9:$W$38,COLUMN(AI127)-COLUMN($E$5),4)&gt;0,INDEX('Surface DEET'!$Q$9:$W$38,COLUMN(AI127)-COLUMN($E$5),4),$E134),0)</f>
        <v>0</v>
      </c>
    </row>
    <row r="135" spans="1:35">
      <c r="A135" s="690"/>
      <c r="B135" s="250" t="s">
        <v>543</v>
      </c>
      <c r="C135" s="30" t="s">
        <v>622</v>
      </c>
      <c r="D135" s="296" t="s">
        <v>618</v>
      </c>
      <c r="E135" s="250">
        <v>90</v>
      </c>
      <c r="F135" s="250">
        <f>IF(F$6=$C135,IF(INDEX('Surface DEET'!$Q$9:$W$38,COLUMN(F128)-COLUMN($E$5),7)&gt;0,INDEX('Surface DEET'!$Q$9:$W$38,COLUMN(F128)-COLUMN($E$5),7),$E135),0)</f>
        <v>0</v>
      </c>
      <c r="G135" s="250">
        <f>IF(G$6=$C135,IF(INDEX('Surface DEET'!$Q$9:$W$38,COLUMN(G128)-COLUMN($E$5),7)&gt;0,INDEX('Surface DEET'!$Q$9:$W$38,COLUMN(G128)-COLUMN($E$5),7),$E135),0)</f>
        <v>0</v>
      </c>
      <c r="H135" s="250">
        <f>IF(H$6=$C135,IF(INDEX('Surface DEET'!$Q$9:$W$38,COLUMN(H128)-COLUMN($E$5),7)&gt;0,INDEX('Surface DEET'!$Q$9:$W$38,COLUMN(H128)-COLUMN($E$5),7),$E135),0)</f>
        <v>0</v>
      </c>
      <c r="I135" s="250">
        <f>IF(I$6=$C135,IF(INDEX('Surface DEET'!$Q$9:$W$38,COLUMN(I128)-COLUMN($E$5),7)&gt;0,INDEX('Surface DEET'!$Q$9:$W$38,COLUMN(I128)-COLUMN($E$5),7),$E135),0)</f>
        <v>0</v>
      </c>
      <c r="J135" s="250">
        <f>IF(J$6=$C135,IF(INDEX('Surface DEET'!$Q$9:$W$38,COLUMN(J128)-COLUMN($E$5),7)&gt;0,INDEX('Surface DEET'!$Q$9:$W$38,COLUMN(J128)-COLUMN($E$5),7),$E135),0)</f>
        <v>0</v>
      </c>
      <c r="K135" s="250">
        <f>IF(K$6=$C135,IF(INDEX('Surface DEET'!$Q$9:$W$38,COLUMN(K128)-COLUMN($E$5),7)&gt;0,INDEX('Surface DEET'!$Q$9:$W$38,COLUMN(K128)-COLUMN($E$5),7),$E135),0)</f>
        <v>0</v>
      </c>
      <c r="L135" s="250">
        <f>IF(L$6=$C135,IF(INDEX('Surface DEET'!$Q$9:$W$38,COLUMN(L128)-COLUMN($E$5),7)&gt;0,INDEX('Surface DEET'!$Q$9:$W$38,COLUMN(L128)-COLUMN($E$5),7),$E135),0)</f>
        <v>0</v>
      </c>
      <c r="M135" s="250">
        <f>IF(M$6=$C135,IF(INDEX('Surface DEET'!$Q$9:$W$38,COLUMN(M128)-COLUMN($E$5),7)&gt;0,INDEX('Surface DEET'!$Q$9:$W$38,COLUMN(M128)-COLUMN($E$5),7),$E135),0)</f>
        <v>0</v>
      </c>
      <c r="N135" s="250">
        <f>IF(N$6=$C135,IF(INDEX('Surface DEET'!$Q$9:$W$38,COLUMN(N128)-COLUMN($E$5),7)&gt;0,INDEX('Surface DEET'!$Q$9:$W$38,COLUMN(N128)-COLUMN($E$5),7),$E135),0)</f>
        <v>0</v>
      </c>
      <c r="O135" s="250">
        <f>IF(O$6=$C135,IF(INDEX('Surface DEET'!$Q$9:$W$38,COLUMN(O128)-COLUMN($E$5),7)&gt;0,INDEX('Surface DEET'!$Q$9:$W$38,COLUMN(O128)-COLUMN($E$5),7),$E135),0)</f>
        <v>0</v>
      </c>
      <c r="P135" s="250">
        <f>IF(P$6=$C135,IF(INDEX('Surface DEET'!$Q$9:$W$38,COLUMN(P128)-COLUMN($E$5),7)&gt;0,INDEX('Surface DEET'!$Q$9:$W$38,COLUMN(P128)-COLUMN($E$5),7),$E135),0)</f>
        <v>0</v>
      </c>
      <c r="Q135" s="250">
        <f>IF(Q$6=$C135,IF(INDEX('Surface DEET'!$Q$9:$W$38,COLUMN(Q128)-COLUMN($E$5),7)&gt;0,INDEX('Surface DEET'!$Q$9:$W$38,COLUMN(Q128)-COLUMN($E$5),7),$E135),0)</f>
        <v>0</v>
      </c>
      <c r="R135" s="250">
        <f>IF(R$6=$C135,IF(INDEX('Surface DEET'!$Q$9:$W$38,COLUMN(R128)-COLUMN($E$5),7)&gt;0,INDEX('Surface DEET'!$Q$9:$W$38,COLUMN(R128)-COLUMN($E$5),7),$E135),0)</f>
        <v>0</v>
      </c>
      <c r="S135" s="250">
        <f>IF(S$6=$C135,IF(INDEX('Surface DEET'!$Q$9:$W$38,COLUMN(S128)-COLUMN($E$5),7)&gt;0,INDEX('Surface DEET'!$Q$9:$W$38,COLUMN(S128)-COLUMN($E$5),7),$E135),0)</f>
        <v>0</v>
      </c>
      <c r="T135" s="250">
        <f>IF(T$6=$C135,IF(INDEX('Surface DEET'!$Q$9:$W$38,COLUMN(T128)-COLUMN($E$5),7)&gt;0,INDEX('Surface DEET'!$Q$9:$W$38,COLUMN(T128)-COLUMN($E$5),7),$E135),0)</f>
        <v>0</v>
      </c>
      <c r="U135" s="250">
        <f>IF(U$6=$C135,IF(INDEX('Surface DEET'!$Q$9:$W$38,COLUMN(U128)-COLUMN($E$5),7)&gt;0,INDEX('Surface DEET'!$Q$9:$W$38,COLUMN(U128)-COLUMN($E$5),7),$E135),0)</f>
        <v>0</v>
      </c>
      <c r="V135" s="250">
        <f>IF(V$6=$C135,IF(INDEX('Surface DEET'!$Q$9:$W$38,COLUMN(V128)-COLUMN($E$5),7)&gt;0,INDEX('Surface DEET'!$Q$9:$W$38,COLUMN(V128)-COLUMN($E$5),7),$E135),0)</f>
        <v>0</v>
      </c>
      <c r="W135" s="250">
        <f>IF(W$6=$C135,IF(INDEX('Surface DEET'!$Q$9:$W$38,COLUMN(W128)-COLUMN($E$5),7)&gt;0,INDEX('Surface DEET'!$Q$9:$W$38,COLUMN(W128)-COLUMN($E$5),7),$E135),0)</f>
        <v>0</v>
      </c>
      <c r="X135" s="250">
        <f>IF(X$6=$C135,IF(INDEX('Surface DEET'!$Q$9:$W$38,COLUMN(X128)-COLUMN($E$5),7)&gt;0,INDEX('Surface DEET'!$Q$9:$W$38,COLUMN(X128)-COLUMN($E$5),7),$E135),0)</f>
        <v>0</v>
      </c>
      <c r="Y135" s="250">
        <f>IF(Y$6=$C135,IF(INDEX('Surface DEET'!$Q$9:$W$38,COLUMN(Y128)-COLUMN($E$5),7)&gt;0,INDEX('Surface DEET'!$Q$9:$W$38,COLUMN(Y128)-COLUMN($E$5),7),$E135),0)</f>
        <v>0</v>
      </c>
      <c r="Z135" s="250">
        <f>IF(Z$6=$C135,IF(INDEX('Surface DEET'!$Q$9:$W$38,COLUMN(Z128)-COLUMN($E$5),7)&gt;0,INDEX('Surface DEET'!$Q$9:$W$38,COLUMN(Z128)-COLUMN($E$5),7),$E135),0)</f>
        <v>0</v>
      </c>
      <c r="AA135" s="250">
        <f>IF(AA$6=$C135,IF(INDEX('Surface DEET'!$Q$9:$W$38,COLUMN(AA128)-COLUMN($E$5),7)&gt;0,INDEX('Surface DEET'!$Q$9:$W$38,COLUMN(AA128)-COLUMN($E$5),7),$E135),0)</f>
        <v>0</v>
      </c>
      <c r="AB135" s="250">
        <f>IF(AB$6=$C135,IF(INDEX('Surface DEET'!$Q$9:$W$38,COLUMN(AB128)-COLUMN($E$5),7)&gt;0,INDEX('Surface DEET'!$Q$9:$W$38,COLUMN(AB128)-COLUMN($E$5),7),$E135),0)</f>
        <v>0</v>
      </c>
      <c r="AC135" s="250">
        <f>IF(AC$6=$C135,IF(INDEX('Surface DEET'!$Q$9:$W$38,COLUMN(AC128)-COLUMN($E$5),7)&gt;0,INDEX('Surface DEET'!$Q$9:$W$38,COLUMN(AC128)-COLUMN($E$5),7),$E135),0)</f>
        <v>0</v>
      </c>
      <c r="AD135" s="250">
        <f>IF(AD$6=$C135,IF(INDEX('Surface DEET'!$Q$9:$W$38,COLUMN(AD128)-COLUMN($E$5),7)&gt;0,INDEX('Surface DEET'!$Q$9:$W$38,COLUMN(AD128)-COLUMN($E$5),7),$E135),0)</f>
        <v>0</v>
      </c>
      <c r="AE135" s="250">
        <f>IF(AE$6=$C135,IF(INDEX('Surface DEET'!$Q$9:$W$38,COLUMN(AE128)-COLUMN($E$5),7)&gt;0,INDEX('Surface DEET'!$Q$9:$W$38,COLUMN(AE128)-COLUMN($E$5),7),$E135),0)</f>
        <v>0</v>
      </c>
      <c r="AF135" s="250">
        <f>IF(AF$6=$C135,IF(INDEX('Surface DEET'!$Q$9:$W$38,COLUMN(AF128)-COLUMN($E$5),7)&gt;0,INDEX('Surface DEET'!$Q$9:$W$38,COLUMN(AF128)-COLUMN($E$5),7),$E135),0)</f>
        <v>0</v>
      </c>
      <c r="AG135" s="250">
        <f>IF(AG$6=$C135,IF(INDEX('Surface DEET'!$Q$9:$W$38,COLUMN(AG128)-COLUMN($E$5),7)&gt;0,INDEX('Surface DEET'!$Q$9:$W$38,COLUMN(AG128)-COLUMN($E$5),7),$E135),0)</f>
        <v>0</v>
      </c>
      <c r="AH135" s="250">
        <f>IF(AH$6=$C135,IF(INDEX('Surface DEET'!$Q$9:$W$38,COLUMN(AH128)-COLUMN($E$5),7)&gt;0,INDEX('Surface DEET'!$Q$9:$W$38,COLUMN(AH128)-COLUMN($E$5),7),$E135),0)</f>
        <v>0</v>
      </c>
      <c r="AI135" s="250">
        <f>IF(AI$6=$C135,IF(INDEX('Surface DEET'!$Q$9:$W$38,COLUMN(AI128)-COLUMN($E$5),7)&gt;0,INDEX('Surface DEET'!$Q$9:$W$38,COLUMN(AI128)-COLUMN($E$5),7),$E135),0)</f>
        <v>0</v>
      </c>
    </row>
    <row r="136" spans="1:35">
      <c r="A136" s="690"/>
      <c r="B136" s="250" t="s">
        <v>533</v>
      </c>
      <c r="C136" s="30" t="s">
        <v>622</v>
      </c>
      <c r="D136" s="250" t="s">
        <v>533</v>
      </c>
      <c r="F136" s="250">
        <f>IFERROR($E$130*(F133/$E$133)*($E$132*(F135/$E$135)*($E$134/F134)+(1-$E$132))+0.28*$E$129*(F133-$E$133)/$E$133,0)</f>
        <v>0</v>
      </c>
      <c r="G136" s="250">
        <f t="shared" ref="G136:AI136" si="15">IFERROR($E$130*(G133/$E$133)*($E$132*(G135/$E$135)*($E$134/G134)+(1-$E$132))+0.28*$E$129*(G133-$E$133)/$E$133,0)</f>
        <v>0</v>
      </c>
      <c r="H136" s="250">
        <f t="shared" si="15"/>
        <v>0</v>
      </c>
      <c r="I136" s="250">
        <f t="shared" si="15"/>
        <v>0</v>
      </c>
      <c r="J136" s="250">
        <f t="shared" si="15"/>
        <v>0</v>
      </c>
      <c r="K136" s="250">
        <f t="shared" si="15"/>
        <v>0</v>
      </c>
      <c r="L136" s="250">
        <f t="shared" si="15"/>
        <v>0</v>
      </c>
      <c r="M136" s="250">
        <f t="shared" si="15"/>
        <v>0</v>
      </c>
      <c r="N136" s="250">
        <f t="shared" si="15"/>
        <v>0</v>
      </c>
      <c r="O136" s="250">
        <f t="shared" si="15"/>
        <v>0</v>
      </c>
      <c r="P136" s="250">
        <f t="shared" si="15"/>
        <v>0</v>
      </c>
      <c r="Q136" s="250">
        <f t="shared" si="15"/>
        <v>0</v>
      </c>
      <c r="R136" s="250">
        <f t="shared" si="15"/>
        <v>0</v>
      </c>
      <c r="S136" s="250">
        <f t="shared" si="15"/>
        <v>0</v>
      </c>
      <c r="T136" s="250">
        <f t="shared" si="15"/>
        <v>0</v>
      </c>
      <c r="U136" s="250">
        <f t="shared" si="15"/>
        <v>0</v>
      </c>
      <c r="V136" s="250">
        <f t="shared" si="15"/>
        <v>0</v>
      </c>
      <c r="W136" s="250">
        <f t="shared" si="15"/>
        <v>0</v>
      </c>
      <c r="X136" s="250">
        <f t="shared" si="15"/>
        <v>0</v>
      </c>
      <c r="Y136" s="250">
        <f t="shared" si="15"/>
        <v>0</v>
      </c>
      <c r="Z136" s="250">
        <f t="shared" si="15"/>
        <v>0</v>
      </c>
      <c r="AA136" s="250">
        <f t="shared" si="15"/>
        <v>0</v>
      </c>
      <c r="AB136" s="250">
        <f t="shared" si="15"/>
        <v>0</v>
      </c>
      <c r="AC136" s="250">
        <f t="shared" si="15"/>
        <v>0</v>
      </c>
      <c r="AD136" s="250">
        <f t="shared" si="15"/>
        <v>0</v>
      </c>
      <c r="AE136" s="250">
        <f t="shared" si="15"/>
        <v>0</v>
      </c>
      <c r="AF136" s="250">
        <f t="shared" si="15"/>
        <v>0</v>
      </c>
      <c r="AG136" s="250">
        <f t="shared" si="15"/>
        <v>0</v>
      </c>
      <c r="AH136" s="250">
        <f t="shared" si="15"/>
        <v>0</v>
      </c>
      <c r="AI136" s="250">
        <f t="shared" si="15"/>
        <v>0</v>
      </c>
    </row>
    <row r="137" spans="1:35">
      <c r="A137" s="690" t="s">
        <v>623</v>
      </c>
      <c r="B137" s="88" t="s">
        <v>294</v>
      </c>
      <c r="C137" s="30" t="s">
        <v>623</v>
      </c>
      <c r="D137" s="88" t="s">
        <v>294</v>
      </c>
      <c r="E137" s="250">
        <f t="array" ref="E137">INDEX(CABS_CVC!$C$3:$O$894,MATCH(1, (CABS_CVC!$A$3:$A$894=Calculs_CABS!C137)*(CABS_CVC!$B$3:$B$894=Calculs_CABS!$D$2),0),MATCH(Calculs_CABS!$D$1,Liste_CABS!$B$3:$B$15,0))</f>
        <v>57</v>
      </c>
    </row>
    <row r="138" spans="1:35">
      <c r="A138" s="690"/>
      <c r="B138" s="250" t="s">
        <v>534</v>
      </c>
      <c r="C138" s="30" t="s">
        <v>623</v>
      </c>
      <c r="D138" s="250" t="s">
        <v>534</v>
      </c>
      <c r="E138" s="299">
        <v>22</v>
      </c>
    </row>
    <row r="139" spans="1:35">
      <c r="A139" s="690"/>
      <c r="B139" s="250" t="s">
        <v>535</v>
      </c>
      <c r="C139" s="30" t="s">
        <v>623</v>
      </c>
      <c r="D139" s="250" t="s">
        <v>535</v>
      </c>
      <c r="E139" s="250">
        <f>E137+E138</f>
        <v>79</v>
      </c>
    </row>
    <row r="140" spans="1:35">
      <c r="A140" s="690"/>
      <c r="B140" s="250" t="s">
        <v>536</v>
      </c>
      <c r="C140" s="30" t="s">
        <v>623</v>
      </c>
      <c r="D140" s="250" t="s">
        <v>536</v>
      </c>
      <c r="E140" s="250">
        <v>0</v>
      </c>
    </row>
    <row r="141" spans="1:35">
      <c r="A141" s="690"/>
      <c r="B141" s="250" t="s">
        <v>537</v>
      </c>
      <c r="C141" s="30" t="s">
        <v>623</v>
      </c>
      <c r="D141" s="296" t="s">
        <v>583</v>
      </c>
      <c r="E141" s="250">
        <v>3510</v>
      </c>
      <c r="F141" s="250">
        <f>IF(F$6=$C141,IF(INDEX('Surface DEET'!$Q$9:$W$38,COLUMN(F134)-COLUMN($E$5),1)&gt;0,INDEX('Surface DEET'!$Q$9:$W$38,COLUMN(F134)-COLUMN($E$5),1),$E141),0)</f>
        <v>0</v>
      </c>
      <c r="G141" s="250">
        <f>IF(G$6=$C141,IF(INDEX('Surface DEET'!$Q$9:$W$38,COLUMN(G134)-COLUMN($E$5),1)&gt;0,INDEX('Surface DEET'!$Q$9:$W$38,COLUMN(G134)-COLUMN($E$5),1),$E141),0)</f>
        <v>0</v>
      </c>
      <c r="H141" s="250">
        <f>IF(H$6=$C141,IF(INDEX('Surface DEET'!$Q$9:$W$38,COLUMN(H134)-COLUMN($E$5),1)&gt;0,INDEX('Surface DEET'!$Q$9:$W$38,COLUMN(H134)-COLUMN($E$5),1),$E141),0)</f>
        <v>0</v>
      </c>
      <c r="I141" s="250">
        <f>IF(I$6=$C141,IF(INDEX('Surface DEET'!$Q$9:$W$38,COLUMN(I134)-COLUMN($E$5),1)&gt;0,INDEX('Surface DEET'!$Q$9:$W$38,COLUMN(I134)-COLUMN($E$5),1),$E141),0)</f>
        <v>0</v>
      </c>
      <c r="J141" s="250">
        <f>IF(J$6=$C141,IF(INDEX('Surface DEET'!$Q$9:$W$38,COLUMN(J134)-COLUMN($E$5),1)&gt;0,INDEX('Surface DEET'!$Q$9:$W$38,COLUMN(J134)-COLUMN($E$5),1),$E141),0)</f>
        <v>0</v>
      </c>
      <c r="K141" s="250">
        <f>IF(K$6=$C141,IF(INDEX('Surface DEET'!$Q$9:$W$38,COLUMN(K134)-COLUMN($E$5),1)&gt;0,INDEX('Surface DEET'!$Q$9:$W$38,COLUMN(K134)-COLUMN($E$5),1),$E141),0)</f>
        <v>0</v>
      </c>
      <c r="L141" s="250">
        <f>IF(L$6=$C141,IF(INDEX('Surface DEET'!$Q$9:$W$38,COLUMN(L134)-COLUMN($E$5),1)&gt;0,INDEX('Surface DEET'!$Q$9:$W$38,COLUMN(L134)-COLUMN($E$5),1),$E141),0)</f>
        <v>0</v>
      </c>
      <c r="M141" s="250">
        <f>IF(M$6=$C141,IF(INDEX('Surface DEET'!$Q$9:$W$38,COLUMN(M134)-COLUMN($E$5),1)&gt;0,INDEX('Surface DEET'!$Q$9:$W$38,COLUMN(M134)-COLUMN($E$5),1),$E141),0)</f>
        <v>0</v>
      </c>
      <c r="N141" s="250">
        <f>IF(N$6=$C141,IF(INDEX('Surface DEET'!$Q$9:$W$38,COLUMN(N134)-COLUMN($E$5),1)&gt;0,INDEX('Surface DEET'!$Q$9:$W$38,COLUMN(N134)-COLUMN($E$5),1),$E141),0)</f>
        <v>0</v>
      </c>
      <c r="O141" s="250">
        <f>IF(O$6=$C141,IF(INDEX('Surface DEET'!$Q$9:$W$38,COLUMN(O134)-COLUMN($E$5),1)&gt;0,INDEX('Surface DEET'!$Q$9:$W$38,COLUMN(O134)-COLUMN($E$5),1),$E141),0)</f>
        <v>0</v>
      </c>
      <c r="P141" s="250">
        <f>IF(P$6=$C141,IF(INDEX('Surface DEET'!$Q$9:$W$38,COLUMN(P134)-COLUMN($E$5),1)&gt;0,INDEX('Surface DEET'!$Q$9:$W$38,COLUMN(P134)-COLUMN($E$5),1),$E141),0)</f>
        <v>0</v>
      </c>
      <c r="Q141" s="250">
        <f>IF(Q$6=$C141,IF(INDEX('Surface DEET'!$Q$9:$W$38,COLUMN(Q134)-COLUMN($E$5),1)&gt;0,INDEX('Surface DEET'!$Q$9:$W$38,COLUMN(Q134)-COLUMN($E$5),1),$E141),0)</f>
        <v>0</v>
      </c>
      <c r="R141" s="250">
        <f>IF(R$6=$C141,IF(INDEX('Surface DEET'!$Q$9:$W$38,COLUMN(R134)-COLUMN($E$5),1)&gt;0,INDEX('Surface DEET'!$Q$9:$W$38,COLUMN(R134)-COLUMN($E$5),1),$E141),0)</f>
        <v>0</v>
      </c>
      <c r="S141" s="250">
        <f>IF(S$6=$C141,IF(INDEX('Surface DEET'!$Q$9:$W$38,COLUMN(S134)-COLUMN($E$5),1)&gt;0,INDEX('Surface DEET'!$Q$9:$W$38,COLUMN(S134)-COLUMN($E$5),1),$E141),0)</f>
        <v>0</v>
      </c>
      <c r="T141" s="250">
        <f>IF(T$6=$C141,IF(INDEX('Surface DEET'!$Q$9:$W$38,COLUMN(T134)-COLUMN($E$5),1)&gt;0,INDEX('Surface DEET'!$Q$9:$W$38,COLUMN(T134)-COLUMN($E$5),1),$E141),0)</f>
        <v>0</v>
      </c>
      <c r="U141" s="250">
        <f>IF(U$6=$C141,IF(INDEX('Surface DEET'!$Q$9:$W$38,COLUMN(U134)-COLUMN($E$5),1)&gt;0,INDEX('Surface DEET'!$Q$9:$W$38,COLUMN(U134)-COLUMN($E$5),1),$E141),0)</f>
        <v>0</v>
      </c>
      <c r="V141" s="250">
        <f>IF(V$6=$C141,IF(INDEX('Surface DEET'!$Q$9:$W$38,COLUMN(V134)-COLUMN($E$5),1)&gt;0,INDEX('Surface DEET'!$Q$9:$W$38,COLUMN(V134)-COLUMN($E$5),1),$E141),0)</f>
        <v>0</v>
      </c>
      <c r="W141" s="250">
        <f>IF(W$6=$C141,IF(INDEX('Surface DEET'!$Q$9:$W$38,COLUMN(W134)-COLUMN($E$5),1)&gt;0,INDEX('Surface DEET'!$Q$9:$W$38,COLUMN(W134)-COLUMN($E$5),1),$E141),0)</f>
        <v>0</v>
      </c>
      <c r="X141" s="250">
        <f>IF(X$6=$C141,IF(INDEX('Surface DEET'!$Q$9:$W$38,COLUMN(X134)-COLUMN($E$5),1)&gt;0,INDEX('Surface DEET'!$Q$9:$W$38,COLUMN(X134)-COLUMN($E$5),1),$E141),0)</f>
        <v>0</v>
      </c>
      <c r="Y141" s="250">
        <f>IF(Y$6=$C141,IF(INDEX('Surface DEET'!$Q$9:$W$38,COLUMN(Y134)-COLUMN($E$5),1)&gt;0,INDEX('Surface DEET'!$Q$9:$W$38,COLUMN(Y134)-COLUMN($E$5),1),$E141),0)</f>
        <v>0</v>
      </c>
      <c r="Z141" s="250">
        <f>IF(Z$6=$C141,IF(INDEX('Surface DEET'!$Q$9:$W$38,COLUMN(Z134)-COLUMN($E$5),1)&gt;0,INDEX('Surface DEET'!$Q$9:$W$38,COLUMN(Z134)-COLUMN($E$5),1),$E141),0)</f>
        <v>0</v>
      </c>
      <c r="AA141" s="250">
        <f>IF(AA$6=$C141,IF(INDEX('Surface DEET'!$Q$9:$W$38,COLUMN(AA134)-COLUMN($E$5),1)&gt;0,INDEX('Surface DEET'!$Q$9:$W$38,COLUMN(AA134)-COLUMN($E$5),1),$E141),0)</f>
        <v>0</v>
      </c>
      <c r="AB141" s="250">
        <f>IF(AB$6=$C141,IF(INDEX('Surface DEET'!$Q$9:$W$38,COLUMN(AB134)-COLUMN($E$5),1)&gt;0,INDEX('Surface DEET'!$Q$9:$W$38,COLUMN(AB134)-COLUMN($E$5),1),$E141),0)</f>
        <v>0</v>
      </c>
      <c r="AC141" s="250">
        <f>IF(AC$6=$C141,IF(INDEX('Surface DEET'!$Q$9:$W$38,COLUMN(AC134)-COLUMN($E$5),1)&gt;0,INDEX('Surface DEET'!$Q$9:$W$38,COLUMN(AC134)-COLUMN($E$5),1),$E141),0)</f>
        <v>0</v>
      </c>
      <c r="AD141" s="250">
        <f>IF(AD$6=$C141,IF(INDEX('Surface DEET'!$Q$9:$W$38,COLUMN(AD134)-COLUMN($E$5),1)&gt;0,INDEX('Surface DEET'!$Q$9:$W$38,COLUMN(AD134)-COLUMN($E$5),1),$E141),0)</f>
        <v>0</v>
      </c>
      <c r="AE141" s="250">
        <f>IF(AE$6=$C141,IF(INDEX('Surface DEET'!$Q$9:$W$38,COLUMN(AE134)-COLUMN($E$5),1)&gt;0,INDEX('Surface DEET'!$Q$9:$W$38,COLUMN(AE134)-COLUMN($E$5),1),$E141),0)</f>
        <v>0</v>
      </c>
      <c r="AF141" s="250">
        <f>IF(AF$6=$C141,IF(INDEX('Surface DEET'!$Q$9:$W$38,COLUMN(AF134)-COLUMN($E$5),1)&gt;0,INDEX('Surface DEET'!$Q$9:$W$38,COLUMN(AF134)-COLUMN($E$5),1),$E141),0)</f>
        <v>0</v>
      </c>
      <c r="AG141" s="250">
        <f>IF(AG$6=$C141,IF(INDEX('Surface DEET'!$Q$9:$W$38,COLUMN(AG134)-COLUMN($E$5),1)&gt;0,INDEX('Surface DEET'!$Q$9:$W$38,COLUMN(AG134)-COLUMN($E$5),1),$E141),0)</f>
        <v>0</v>
      </c>
      <c r="AH141" s="250">
        <f>IF(AH$6=$C141,IF(INDEX('Surface DEET'!$Q$9:$W$38,COLUMN(AH134)-COLUMN($E$5),1)&gt;0,INDEX('Surface DEET'!$Q$9:$W$38,COLUMN(AH134)-COLUMN($E$5),1),$E141),0)</f>
        <v>0</v>
      </c>
      <c r="AI141" s="250">
        <f>IF(AI$6=$C141,IF(INDEX('Surface DEET'!$Q$9:$W$38,COLUMN(AI134)-COLUMN($E$5),1)&gt;0,INDEX('Surface DEET'!$Q$9:$W$38,COLUMN(AI134)-COLUMN($E$5),1),$E141),0)</f>
        <v>0</v>
      </c>
    </row>
    <row r="142" spans="1:35">
      <c r="A142" s="690"/>
      <c r="B142" s="250" t="s">
        <v>533</v>
      </c>
      <c r="C142" s="30" t="s">
        <v>623</v>
      </c>
      <c r="D142" s="250" t="s">
        <v>533</v>
      </c>
      <c r="F142" s="250">
        <f>$E$138*(F141/$E$141)+0.28*$E$137*(F141-$E$141)/$E$141</f>
        <v>-15.96</v>
      </c>
      <c r="G142" s="250">
        <f t="shared" ref="G142:AI142" si="16">$E$138*(G141/$E$141)+0.28*$E$137*(G141-$E$141)/$E$141</f>
        <v>-15.96</v>
      </c>
      <c r="H142" s="250">
        <f t="shared" si="16"/>
        <v>-15.96</v>
      </c>
      <c r="I142" s="250">
        <f t="shared" si="16"/>
        <v>-15.96</v>
      </c>
      <c r="J142" s="250">
        <f t="shared" si="16"/>
        <v>-15.96</v>
      </c>
      <c r="K142" s="250">
        <f t="shared" si="16"/>
        <v>-15.96</v>
      </c>
      <c r="L142" s="250">
        <f t="shared" si="16"/>
        <v>-15.96</v>
      </c>
      <c r="M142" s="250">
        <f t="shared" si="16"/>
        <v>-15.96</v>
      </c>
      <c r="N142" s="250">
        <f t="shared" si="16"/>
        <v>-15.96</v>
      </c>
      <c r="O142" s="250">
        <f t="shared" si="16"/>
        <v>-15.96</v>
      </c>
      <c r="P142" s="250">
        <f t="shared" si="16"/>
        <v>-15.96</v>
      </c>
      <c r="Q142" s="250">
        <f t="shared" si="16"/>
        <v>-15.96</v>
      </c>
      <c r="R142" s="250">
        <f t="shared" si="16"/>
        <v>-15.96</v>
      </c>
      <c r="S142" s="250">
        <f t="shared" si="16"/>
        <v>-15.96</v>
      </c>
      <c r="T142" s="250">
        <f t="shared" si="16"/>
        <v>-15.96</v>
      </c>
      <c r="U142" s="250">
        <f t="shared" si="16"/>
        <v>-15.96</v>
      </c>
      <c r="V142" s="250">
        <f t="shared" si="16"/>
        <v>-15.96</v>
      </c>
      <c r="W142" s="250">
        <f t="shared" si="16"/>
        <v>-15.96</v>
      </c>
      <c r="X142" s="250">
        <f t="shared" si="16"/>
        <v>-15.96</v>
      </c>
      <c r="Y142" s="250">
        <f t="shared" si="16"/>
        <v>-15.96</v>
      </c>
      <c r="Z142" s="250">
        <f t="shared" si="16"/>
        <v>-15.96</v>
      </c>
      <c r="AA142" s="250">
        <f t="shared" si="16"/>
        <v>-15.96</v>
      </c>
      <c r="AB142" s="250">
        <f t="shared" si="16"/>
        <v>-15.96</v>
      </c>
      <c r="AC142" s="250">
        <f t="shared" si="16"/>
        <v>-15.96</v>
      </c>
      <c r="AD142" s="250">
        <f t="shared" si="16"/>
        <v>-15.96</v>
      </c>
      <c r="AE142" s="250">
        <f t="shared" si="16"/>
        <v>-15.96</v>
      </c>
      <c r="AF142" s="250">
        <f t="shared" si="16"/>
        <v>-15.96</v>
      </c>
      <c r="AG142" s="250">
        <f t="shared" si="16"/>
        <v>-15.96</v>
      </c>
      <c r="AH142" s="250">
        <f t="shared" si="16"/>
        <v>-15.96</v>
      </c>
      <c r="AI142" s="250">
        <f t="shared" si="16"/>
        <v>-15.96</v>
      </c>
    </row>
    <row r="143" spans="1:35">
      <c r="A143" s="690" t="s">
        <v>624</v>
      </c>
      <c r="B143" s="88" t="s">
        <v>294</v>
      </c>
      <c r="C143" s="30" t="s">
        <v>624</v>
      </c>
      <c r="D143" s="88" t="s">
        <v>294</v>
      </c>
      <c r="E143" s="250">
        <f t="array" ref="E143">INDEX(CABS_CVC!$C$3:$O$894,MATCH(1, (CABS_CVC!$A$3:$A$894=Calculs_CABS!C143)*(CABS_CVC!$B$3:$B$894=Calculs_CABS!$D$2),0),MATCH(Calculs_CABS!$D$1,Liste_CABS!$B$3:$B$15,0))</f>
        <v>73</v>
      </c>
    </row>
    <row r="144" spans="1:35">
      <c r="A144" s="690"/>
      <c r="B144" s="250" t="s">
        <v>534</v>
      </c>
      <c r="C144" s="30" t="s">
        <v>624</v>
      </c>
      <c r="D144" s="250" t="s">
        <v>534</v>
      </c>
      <c r="E144" s="299">
        <v>75</v>
      </c>
    </row>
    <row r="145" spans="1:35">
      <c r="A145" s="690"/>
      <c r="B145" s="250" t="s">
        <v>535</v>
      </c>
      <c r="C145" s="30" t="s">
        <v>624</v>
      </c>
      <c r="D145" s="250" t="s">
        <v>535</v>
      </c>
      <c r="E145" s="250">
        <f>E143+E144</f>
        <v>148</v>
      </c>
    </row>
    <row r="146" spans="1:35">
      <c r="A146" s="690"/>
      <c r="B146" s="250" t="s">
        <v>536</v>
      </c>
      <c r="C146" s="30" t="s">
        <v>624</v>
      </c>
      <c r="D146" s="250" t="s">
        <v>536</v>
      </c>
      <c r="E146" s="250">
        <v>0</v>
      </c>
    </row>
    <row r="147" spans="1:35">
      <c r="A147" s="690"/>
      <c r="B147" s="250" t="s">
        <v>537</v>
      </c>
      <c r="C147" s="30" t="s">
        <v>624</v>
      </c>
      <c r="D147" s="296" t="s">
        <v>583</v>
      </c>
      <c r="E147" s="250">
        <v>8760</v>
      </c>
      <c r="F147" s="250">
        <f>IF(F$6=$C147,IF(INDEX('Surface DEET'!$Q$9:$W$38,COLUMN(F140)-COLUMN($E$5),1)&gt;0,INDEX('Surface DEET'!$Q$9:$W$38,COLUMN(F140)-COLUMN($E$5),1),$E147),0)</f>
        <v>0</v>
      </c>
      <c r="G147" s="250">
        <f>IF(G$6=$C147,IF(INDEX('Surface DEET'!$Q$9:$W$38,COLUMN(G140)-COLUMN($E$5),1)&gt;0,INDEX('Surface DEET'!$Q$9:$W$38,COLUMN(G140)-COLUMN($E$5),1),$E147),0)</f>
        <v>0</v>
      </c>
      <c r="H147" s="250">
        <f>IF(H$6=$C147,IF(INDEX('Surface DEET'!$Q$9:$W$38,COLUMN(H140)-COLUMN($E$5),1)&gt;0,INDEX('Surface DEET'!$Q$9:$W$38,COLUMN(H140)-COLUMN($E$5),1),$E147),0)</f>
        <v>0</v>
      </c>
      <c r="I147" s="250">
        <f>IF(I$6=$C147,IF(INDEX('Surface DEET'!$Q$9:$W$38,COLUMN(I140)-COLUMN($E$5),1)&gt;0,INDEX('Surface DEET'!$Q$9:$W$38,COLUMN(I140)-COLUMN($E$5),1),$E147),0)</f>
        <v>0</v>
      </c>
      <c r="J147" s="250">
        <f>IF(J$6=$C147,IF(INDEX('Surface DEET'!$Q$9:$W$38,COLUMN(J140)-COLUMN($E$5),1)&gt;0,INDEX('Surface DEET'!$Q$9:$W$38,COLUMN(J140)-COLUMN($E$5),1),$E147),0)</f>
        <v>0</v>
      </c>
      <c r="K147" s="250">
        <f>IF(K$6=$C147,IF(INDEX('Surface DEET'!$Q$9:$W$38,COLUMN(K140)-COLUMN($E$5),1)&gt;0,INDEX('Surface DEET'!$Q$9:$W$38,COLUMN(K140)-COLUMN($E$5),1),$E147),0)</f>
        <v>0</v>
      </c>
      <c r="L147" s="250">
        <f>IF(L$6=$C147,IF(INDEX('Surface DEET'!$Q$9:$W$38,COLUMN(L140)-COLUMN($E$5),1)&gt;0,INDEX('Surface DEET'!$Q$9:$W$38,COLUMN(L140)-COLUMN($E$5),1),$E147),0)</f>
        <v>0</v>
      </c>
      <c r="M147" s="250">
        <f>IF(M$6=$C147,IF(INDEX('Surface DEET'!$Q$9:$W$38,COLUMN(M140)-COLUMN($E$5),1)&gt;0,INDEX('Surface DEET'!$Q$9:$W$38,COLUMN(M140)-COLUMN($E$5),1),$E147),0)</f>
        <v>0</v>
      </c>
      <c r="N147" s="250">
        <f>IF(N$6=$C147,IF(INDEX('Surface DEET'!$Q$9:$W$38,COLUMN(N140)-COLUMN($E$5),1)&gt;0,INDEX('Surface DEET'!$Q$9:$W$38,COLUMN(N140)-COLUMN($E$5),1),$E147),0)</f>
        <v>0</v>
      </c>
      <c r="O147" s="250">
        <f>IF(O$6=$C147,IF(INDEX('Surface DEET'!$Q$9:$W$38,COLUMN(O140)-COLUMN($E$5),1)&gt;0,INDEX('Surface DEET'!$Q$9:$W$38,COLUMN(O140)-COLUMN($E$5),1),$E147),0)</f>
        <v>0</v>
      </c>
      <c r="P147" s="250">
        <f>IF(P$6=$C147,IF(INDEX('Surface DEET'!$Q$9:$W$38,COLUMN(P140)-COLUMN($E$5),1)&gt;0,INDEX('Surface DEET'!$Q$9:$W$38,COLUMN(P140)-COLUMN($E$5),1),$E147),0)</f>
        <v>0</v>
      </c>
      <c r="Q147" s="250">
        <f>IF(Q$6=$C147,IF(INDEX('Surface DEET'!$Q$9:$W$38,COLUMN(Q140)-COLUMN($E$5),1)&gt;0,INDEX('Surface DEET'!$Q$9:$W$38,COLUMN(Q140)-COLUMN($E$5),1),$E147),0)</f>
        <v>0</v>
      </c>
      <c r="R147" s="250">
        <f>IF(R$6=$C147,IF(INDEX('Surface DEET'!$Q$9:$W$38,COLUMN(R140)-COLUMN($E$5),1)&gt;0,INDEX('Surface DEET'!$Q$9:$W$38,COLUMN(R140)-COLUMN($E$5),1),$E147),0)</f>
        <v>0</v>
      </c>
      <c r="S147" s="250">
        <f>IF(S$6=$C147,IF(INDEX('Surface DEET'!$Q$9:$W$38,COLUMN(S140)-COLUMN($E$5),1)&gt;0,INDEX('Surface DEET'!$Q$9:$W$38,COLUMN(S140)-COLUMN($E$5),1),$E147),0)</f>
        <v>0</v>
      </c>
      <c r="T147" s="250">
        <f>IF(T$6=$C147,IF(INDEX('Surface DEET'!$Q$9:$W$38,COLUMN(T140)-COLUMN($E$5),1)&gt;0,INDEX('Surface DEET'!$Q$9:$W$38,COLUMN(T140)-COLUMN($E$5),1),$E147),0)</f>
        <v>0</v>
      </c>
      <c r="U147" s="250">
        <f>IF(U$6=$C147,IF(INDEX('Surface DEET'!$Q$9:$W$38,COLUMN(U140)-COLUMN($E$5),1)&gt;0,INDEX('Surface DEET'!$Q$9:$W$38,COLUMN(U140)-COLUMN($E$5),1),$E147),0)</f>
        <v>0</v>
      </c>
      <c r="V147" s="250">
        <f>IF(V$6=$C147,IF(INDEX('Surface DEET'!$Q$9:$W$38,COLUMN(V140)-COLUMN($E$5),1)&gt;0,INDEX('Surface DEET'!$Q$9:$W$38,COLUMN(V140)-COLUMN($E$5),1),$E147),0)</f>
        <v>0</v>
      </c>
      <c r="W147" s="250">
        <f>IF(W$6=$C147,IF(INDEX('Surface DEET'!$Q$9:$W$38,COLUMN(W140)-COLUMN($E$5),1)&gt;0,INDEX('Surface DEET'!$Q$9:$W$38,COLUMN(W140)-COLUMN($E$5),1),$E147),0)</f>
        <v>0</v>
      </c>
      <c r="X147" s="250">
        <f>IF(X$6=$C147,IF(INDEX('Surface DEET'!$Q$9:$W$38,COLUMN(X140)-COLUMN($E$5),1)&gt;0,INDEX('Surface DEET'!$Q$9:$W$38,COLUMN(X140)-COLUMN($E$5),1),$E147),0)</f>
        <v>0</v>
      </c>
      <c r="Y147" s="250">
        <f>IF(Y$6=$C147,IF(INDEX('Surface DEET'!$Q$9:$W$38,COLUMN(Y140)-COLUMN($E$5),1)&gt;0,INDEX('Surface DEET'!$Q$9:$W$38,COLUMN(Y140)-COLUMN($E$5),1),$E147),0)</f>
        <v>0</v>
      </c>
      <c r="Z147" s="250">
        <f>IF(Z$6=$C147,IF(INDEX('Surface DEET'!$Q$9:$W$38,COLUMN(Z140)-COLUMN($E$5),1)&gt;0,INDEX('Surface DEET'!$Q$9:$W$38,COLUMN(Z140)-COLUMN($E$5),1),$E147),0)</f>
        <v>0</v>
      </c>
      <c r="AA147" s="250">
        <f>IF(AA$6=$C147,IF(INDEX('Surface DEET'!$Q$9:$W$38,COLUMN(AA140)-COLUMN($E$5),1)&gt;0,INDEX('Surface DEET'!$Q$9:$W$38,COLUMN(AA140)-COLUMN($E$5),1),$E147),0)</f>
        <v>0</v>
      </c>
      <c r="AB147" s="250">
        <f>IF(AB$6=$C147,IF(INDEX('Surface DEET'!$Q$9:$W$38,COLUMN(AB140)-COLUMN($E$5),1)&gt;0,INDEX('Surface DEET'!$Q$9:$W$38,COLUMN(AB140)-COLUMN($E$5),1),$E147),0)</f>
        <v>0</v>
      </c>
      <c r="AC147" s="250">
        <f>IF(AC$6=$C147,IF(INDEX('Surface DEET'!$Q$9:$W$38,COLUMN(AC140)-COLUMN($E$5),1)&gt;0,INDEX('Surface DEET'!$Q$9:$W$38,COLUMN(AC140)-COLUMN($E$5),1),$E147),0)</f>
        <v>0</v>
      </c>
      <c r="AD147" s="250">
        <f>IF(AD$6=$C147,IF(INDEX('Surface DEET'!$Q$9:$W$38,COLUMN(AD140)-COLUMN($E$5),1)&gt;0,INDEX('Surface DEET'!$Q$9:$W$38,COLUMN(AD140)-COLUMN($E$5),1),$E147),0)</f>
        <v>0</v>
      </c>
      <c r="AE147" s="250">
        <f>IF(AE$6=$C147,IF(INDEX('Surface DEET'!$Q$9:$W$38,COLUMN(AE140)-COLUMN($E$5),1)&gt;0,INDEX('Surface DEET'!$Q$9:$W$38,COLUMN(AE140)-COLUMN($E$5),1),$E147),0)</f>
        <v>0</v>
      </c>
      <c r="AF147" s="250">
        <f>IF(AF$6=$C147,IF(INDEX('Surface DEET'!$Q$9:$W$38,COLUMN(AF140)-COLUMN($E$5),1)&gt;0,INDEX('Surface DEET'!$Q$9:$W$38,COLUMN(AF140)-COLUMN($E$5),1),$E147),0)</f>
        <v>0</v>
      </c>
      <c r="AG147" s="250">
        <f>IF(AG$6=$C147,IF(INDEX('Surface DEET'!$Q$9:$W$38,COLUMN(AG140)-COLUMN($E$5),1)&gt;0,INDEX('Surface DEET'!$Q$9:$W$38,COLUMN(AG140)-COLUMN($E$5),1),$E147),0)</f>
        <v>0</v>
      </c>
      <c r="AH147" s="250">
        <f>IF(AH$6=$C147,IF(INDEX('Surface DEET'!$Q$9:$W$38,COLUMN(AH140)-COLUMN($E$5),1)&gt;0,INDEX('Surface DEET'!$Q$9:$W$38,COLUMN(AH140)-COLUMN($E$5),1),$E147),0)</f>
        <v>0</v>
      </c>
      <c r="AI147" s="250">
        <f>IF(AI$6=$C147,IF(INDEX('Surface DEET'!$Q$9:$W$38,COLUMN(AI140)-COLUMN($E$5),1)&gt;0,INDEX('Surface DEET'!$Q$9:$W$38,COLUMN(AI140)-COLUMN($E$5),1),$E147),0)</f>
        <v>0</v>
      </c>
    </row>
    <row r="148" spans="1:35">
      <c r="A148" s="690"/>
      <c r="B148" s="250" t="s">
        <v>533</v>
      </c>
      <c r="C148" s="30" t="s">
        <v>624</v>
      </c>
      <c r="D148" s="250" t="s">
        <v>533</v>
      </c>
      <c r="F148" s="250">
        <f>$E$144*(F147/$E$147)+0.28*$E$143*(F147-$E$147)/$E$147</f>
        <v>-20.440000000000001</v>
      </c>
      <c r="G148" s="250">
        <f t="shared" ref="G148:AI148" si="17">$E$144*(G147/$E$147)+0.28*$E$143*(G147-$E$147)/$E$147</f>
        <v>-20.440000000000001</v>
      </c>
      <c r="H148" s="250">
        <f t="shared" si="17"/>
        <v>-20.440000000000001</v>
      </c>
      <c r="I148" s="250">
        <f t="shared" si="17"/>
        <v>-20.440000000000001</v>
      </c>
      <c r="J148" s="250">
        <f t="shared" si="17"/>
        <v>-20.440000000000001</v>
      </c>
      <c r="K148" s="250">
        <f t="shared" si="17"/>
        <v>-20.440000000000001</v>
      </c>
      <c r="L148" s="250">
        <f t="shared" si="17"/>
        <v>-20.440000000000001</v>
      </c>
      <c r="M148" s="250">
        <f t="shared" si="17"/>
        <v>-20.440000000000001</v>
      </c>
      <c r="N148" s="250">
        <f t="shared" si="17"/>
        <v>-20.440000000000001</v>
      </c>
      <c r="O148" s="250">
        <f t="shared" si="17"/>
        <v>-20.440000000000001</v>
      </c>
      <c r="P148" s="250">
        <f t="shared" si="17"/>
        <v>-20.440000000000001</v>
      </c>
      <c r="Q148" s="250">
        <f t="shared" si="17"/>
        <v>-20.440000000000001</v>
      </c>
      <c r="R148" s="250">
        <f t="shared" si="17"/>
        <v>-20.440000000000001</v>
      </c>
      <c r="S148" s="250">
        <f t="shared" si="17"/>
        <v>-20.440000000000001</v>
      </c>
      <c r="T148" s="250">
        <f t="shared" si="17"/>
        <v>-20.440000000000001</v>
      </c>
      <c r="U148" s="250">
        <f t="shared" si="17"/>
        <v>-20.440000000000001</v>
      </c>
      <c r="V148" s="250">
        <f t="shared" si="17"/>
        <v>-20.440000000000001</v>
      </c>
      <c r="W148" s="250">
        <f t="shared" si="17"/>
        <v>-20.440000000000001</v>
      </c>
      <c r="X148" s="250">
        <f t="shared" si="17"/>
        <v>-20.440000000000001</v>
      </c>
      <c r="Y148" s="250">
        <f t="shared" si="17"/>
        <v>-20.440000000000001</v>
      </c>
      <c r="Z148" s="250">
        <f t="shared" si="17"/>
        <v>-20.440000000000001</v>
      </c>
      <c r="AA148" s="250">
        <f t="shared" si="17"/>
        <v>-20.440000000000001</v>
      </c>
      <c r="AB148" s="250">
        <f t="shared" si="17"/>
        <v>-20.440000000000001</v>
      </c>
      <c r="AC148" s="250">
        <f t="shared" si="17"/>
        <v>-20.440000000000001</v>
      </c>
      <c r="AD148" s="250">
        <f t="shared" si="17"/>
        <v>-20.440000000000001</v>
      </c>
      <c r="AE148" s="250">
        <f t="shared" si="17"/>
        <v>-20.440000000000001</v>
      </c>
      <c r="AF148" s="250">
        <f t="shared" si="17"/>
        <v>-20.440000000000001</v>
      </c>
      <c r="AG148" s="250">
        <f t="shared" si="17"/>
        <v>-20.440000000000001</v>
      </c>
      <c r="AH148" s="250">
        <f t="shared" si="17"/>
        <v>-20.440000000000001</v>
      </c>
      <c r="AI148" s="250">
        <f t="shared" si="17"/>
        <v>-20.440000000000001</v>
      </c>
    </row>
    <row r="149" spans="1:35">
      <c r="A149" s="690" t="s">
        <v>625</v>
      </c>
      <c r="B149" s="88" t="s">
        <v>294</v>
      </c>
      <c r="C149" s="30" t="s">
        <v>625</v>
      </c>
      <c r="D149" s="88" t="s">
        <v>294</v>
      </c>
      <c r="E149" s="250">
        <f t="array" ref="E149">INDEX(CABS_CVC!$C$3:$O$894,MATCH(1, (CABS_CVC!$A$3:$A$894=Calculs_CABS!C149)*(CABS_CVC!$B$3:$B$894=Calculs_CABS!$D$2),0),MATCH(Calculs_CABS!$D$1,Liste_CABS!$B$3:$B$15,0))</f>
        <v>40</v>
      </c>
    </row>
    <row r="150" spans="1:35">
      <c r="A150" s="690"/>
      <c r="B150" s="250" t="s">
        <v>534</v>
      </c>
      <c r="C150" s="30" t="s">
        <v>625</v>
      </c>
      <c r="D150" s="250" t="s">
        <v>534</v>
      </c>
      <c r="E150" s="250">
        <v>914</v>
      </c>
    </row>
    <row r="151" spans="1:35">
      <c r="A151" s="690"/>
      <c r="B151" s="250" t="s">
        <v>535</v>
      </c>
      <c r="C151" s="30" t="s">
        <v>625</v>
      </c>
      <c r="D151" s="250" t="s">
        <v>535</v>
      </c>
      <c r="E151" s="250">
        <f>E149+E150</f>
        <v>954</v>
      </c>
    </row>
    <row r="152" spans="1:35">
      <c r="A152" s="690"/>
      <c r="B152" s="250" t="s">
        <v>536</v>
      </c>
      <c r="C152" s="30" t="s">
        <v>625</v>
      </c>
      <c r="D152" s="250" t="s">
        <v>536</v>
      </c>
      <c r="E152" s="250">
        <v>0.99</v>
      </c>
    </row>
    <row r="153" spans="1:35">
      <c r="A153" s="690"/>
      <c r="B153" s="250" t="s">
        <v>537</v>
      </c>
      <c r="C153" s="30" t="s">
        <v>625</v>
      </c>
      <c r="D153" s="250" t="s">
        <v>597</v>
      </c>
      <c r="E153" s="250">
        <v>2600</v>
      </c>
      <c r="F153" s="250">
        <f>IF(F$6=$C153,IF(INDEX('Surface DEET'!$Q$9:$W$38,COLUMN(F146)-COLUMN($E$5),1)&gt;0,INDEX('Surface DEET'!$Q$9:$W$38,COLUMN(F146)-COLUMN($E$5),1),$E153),0)</f>
        <v>0</v>
      </c>
      <c r="G153" s="250">
        <f>IF(G$6=$C153,IF(INDEX('Surface DEET'!$Q$9:$W$38,COLUMN(G146)-COLUMN($E$5),1)&gt;0,INDEX('Surface DEET'!$Q$9:$W$38,COLUMN(G146)-COLUMN($E$5),1),$E153),0)</f>
        <v>0</v>
      </c>
      <c r="H153" s="250">
        <f>IF(H$6=$C153,IF(INDEX('Surface DEET'!$Q$9:$W$38,COLUMN(H146)-COLUMN($E$5),1)&gt;0,INDEX('Surface DEET'!$Q$9:$W$38,COLUMN(H146)-COLUMN($E$5),1),$E153),0)</f>
        <v>0</v>
      </c>
      <c r="I153" s="250">
        <f>IF(I$6=$C153,IF(INDEX('Surface DEET'!$Q$9:$W$38,COLUMN(I146)-COLUMN($E$5),1)&gt;0,INDEX('Surface DEET'!$Q$9:$W$38,COLUMN(I146)-COLUMN($E$5),1),$E153),0)</f>
        <v>0</v>
      </c>
      <c r="J153" s="250">
        <f>IF(J$6=$C153,IF(INDEX('Surface DEET'!$Q$9:$W$38,COLUMN(J146)-COLUMN($E$5),1)&gt;0,INDEX('Surface DEET'!$Q$9:$W$38,COLUMN(J146)-COLUMN($E$5),1),$E153),0)</f>
        <v>0</v>
      </c>
      <c r="K153" s="250">
        <f>IF(K$6=$C153,IF(INDEX('Surface DEET'!$Q$9:$W$38,COLUMN(K146)-COLUMN($E$5),1)&gt;0,INDEX('Surface DEET'!$Q$9:$W$38,COLUMN(K146)-COLUMN($E$5),1),$E153),0)</f>
        <v>0</v>
      </c>
      <c r="L153" s="250">
        <f>IF(L$6=$C153,IF(INDEX('Surface DEET'!$Q$9:$W$38,COLUMN(L146)-COLUMN($E$5),1)&gt;0,INDEX('Surface DEET'!$Q$9:$W$38,COLUMN(L146)-COLUMN($E$5),1),$E153),0)</f>
        <v>0</v>
      </c>
      <c r="M153" s="250">
        <f>IF(M$6=$C153,IF(INDEX('Surface DEET'!$Q$9:$W$38,COLUMN(M146)-COLUMN($E$5),1)&gt;0,INDEX('Surface DEET'!$Q$9:$W$38,COLUMN(M146)-COLUMN($E$5),1),$E153),0)</f>
        <v>0</v>
      </c>
      <c r="N153" s="250">
        <f>IF(N$6=$C153,IF(INDEX('Surface DEET'!$Q$9:$W$38,COLUMN(N146)-COLUMN($E$5),1)&gt;0,INDEX('Surface DEET'!$Q$9:$W$38,COLUMN(N146)-COLUMN($E$5),1),$E153),0)</f>
        <v>0</v>
      </c>
      <c r="O153" s="250">
        <f>IF(O$6=$C153,IF(INDEX('Surface DEET'!$Q$9:$W$38,COLUMN(O146)-COLUMN($E$5),1)&gt;0,INDEX('Surface DEET'!$Q$9:$W$38,COLUMN(O146)-COLUMN($E$5),1),$E153),0)</f>
        <v>0</v>
      </c>
      <c r="P153" s="250">
        <f>IF(P$6=$C153,IF(INDEX('Surface DEET'!$Q$9:$W$38,COLUMN(P146)-COLUMN($E$5),1)&gt;0,INDEX('Surface DEET'!$Q$9:$W$38,COLUMN(P146)-COLUMN($E$5),1),$E153),0)</f>
        <v>0</v>
      </c>
      <c r="Q153" s="250">
        <f>IF(Q$6=$C153,IF(INDEX('Surface DEET'!$Q$9:$W$38,COLUMN(Q146)-COLUMN($E$5),1)&gt;0,INDEX('Surface DEET'!$Q$9:$W$38,COLUMN(Q146)-COLUMN($E$5),1),$E153),0)</f>
        <v>0</v>
      </c>
      <c r="R153" s="250">
        <f>IF(R$6=$C153,IF(INDEX('Surface DEET'!$Q$9:$W$38,COLUMN(R146)-COLUMN($E$5),1)&gt;0,INDEX('Surface DEET'!$Q$9:$W$38,COLUMN(R146)-COLUMN($E$5),1),$E153),0)</f>
        <v>0</v>
      </c>
      <c r="S153" s="250">
        <f>IF(S$6=$C153,IF(INDEX('Surface DEET'!$Q$9:$W$38,COLUMN(S146)-COLUMN($E$5),1)&gt;0,INDEX('Surface DEET'!$Q$9:$W$38,COLUMN(S146)-COLUMN($E$5),1),$E153),0)</f>
        <v>0</v>
      </c>
      <c r="T153" s="250">
        <f>IF(T$6=$C153,IF(INDEX('Surface DEET'!$Q$9:$W$38,COLUMN(T146)-COLUMN($E$5),1)&gt;0,INDEX('Surface DEET'!$Q$9:$W$38,COLUMN(T146)-COLUMN($E$5),1),$E153),0)</f>
        <v>0</v>
      </c>
      <c r="U153" s="250">
        <f>IF(U$6=$C153,IF(INDEX('Surface DEET'!$Q$9:$W$38,COLUMN(U146)-COLUMN($E$5),1)&gt;0,INDEX('Surface DEET'!$Q$9:$W$38,COLUMN(U146)-COLUMN($E$5),1),$E153),0)</f>
        <v>0</v>
      </c>
      <c r="V153" s="250">
        <f>IF(V$6=$C153,IF(INDEX('Surface DEET'!$Q$9:$W$38,COLUMN(V146)-COLUMN($E$5),1)&gt;0,INDEX('Surface DEET'!$Q$9:$W$38,COLUMN(V146)-COLUMN($E$5),1),$E153),0)</f>
        <v>0</v>
      </c>
      <c r="W153" s="250">
        <f>IF(W$6=$C153,IF(INDEX('Surface DEET'!$Q$9:$W$38,COLUMN(W146)-COLUMN($E$5),1)&gt;0,INDEX('Surface DEET'!$Q$9:$W$38,COLUMN(W146)-COLUMN($E$5),1),$E153),0)</f>
        <v>0</v>
      </c>
      <c r="X153" s="250">
        <f>IF(X$6=$C153,IF(INDEX('Surface DEET'!$Q$9:$W$38,COLUMN(X146)-COLUMN($E$5),1)&gt;0,INDEX('Surface DEET'!$Q$9:$W$38,COLUMN(X146)-COLUMN($E$5),1),$E153),0)</f>
        <v>0</v>
      </c>
      <c r="Y153" s="250">
        <f>IF(Y$6=$C153,IF(INDEX('Surface DEET'!$Q$9:$W$38,COLUMN(Y146)-COLUMN($E$5),1)&gt;0,INDEX('Surface DEET'!$Q$9:$W$38,COLUMN(Y146)-COLUMN($E$5),1),$E153),0)</f>
        <v>0</v>
      </c>
      <c r="Z153" s="250">
        <f>IF(Z$6=$C153,IF(INDEX('Surface DEET'!$Q$9:$W$38,COLUMN(Z146)-COLUMN($E$5),1)&gt;0,INDEX('Surface DEET'!$Q$9:$W$38,COLUMN(Z146)-COLUMN($E$5),1),$E153),0)</f>
        <v>0</v>
      </c>
      <c r="AA153" s="250">
        <f>IF(AA$6=$C153,IF(INDEX('Surface DEET'!$Q$9:$W$38,COLUMN(AA146)-COLUMN($E$5),1)&gt;0,INDEX('Surface DEET'!$Q$9:$W$38,COLUMN(AA146)-COLUMN($E$5),1),$E153),0)</f>
        <v>0</v>
      </c>
      <c r="AB153" s="250">
        <f>IF(AB$6=$C153,IF(INDEX('Surface DEET'!$Q$9:$W$38,COLUMN(AB146)-COLUMN($E$5),1)&gt;0,INDEX('Surface DEET'!$Q$9:$W$38,COLUMN(AB146)-COLUMN($E$5),1),$E153),0)</f>
        <v>0</v>
      </c>
      <c r="AC153" s="250">
        <f>IF(AC$6=$C153,IF(INDEX('Surface DEET'!$Q$9:$W$38,COLUMN(AC146)-COLUMN($E$5),1)&gt;0,INDEX('Surface DEET'!$Q$9:$W$38,COLUMN(AC146)-COLUMN($E$5),1),$E153),0)</f>
        <v>0</v>
      </c>
      <c r="AD153" s="250">
        <f>IF(AD$6=$C153,IF(INDEX('Surface DEET'!$Q$9:$W$38,COLUMN(AD146)-COLUMN($E$5),1)&gt;0,INDEX('Surface DEET'!$Q$9:$W$38,COLUMN(AD146)-COLUMN($E$5),1),$E153),0)</f>
        <v>0</v>
      </c>
      <c r="AE153" s="250">
        <f>IF(AE$6=$C153,IF(INDEX('Surface DEET'!$Q$9:$W$38,COLUMN(AE146)-COLUMN($E$5),1)&gt;0,INDEX('Surface DEET'!$Q$9:$W$38,COLUMN(AE146)-COLUMN($E$5),1),$E153),0)</f>
        <v>0</v>
      </c>
      <c r="AF153" s="250">
        <f>IF(AF$6=$C153,IF(INDEX('Surface DEET'!$Q$9:$W$38,COLUMN(AF146)-COLUMN($E$5),1)&gt;0,INDEX('Surface DEET'!$Q$9:$W$38,COLUMN(AF146)-COLUMN($E$5),1),$E153),0)</f>
        <v>0</v>
      </c>
      <c r="AG153" s="250">
        <f>IF(AG$6=$C153,IF(INDEX('Surface DEET'!$Q$9:$W$38,COLUMN(AG146)-COLUMN($E$5),1)&gt;0,INDEX('Surface DEET'!$Q$9:$W$38,COLUMN(AG146)-COLUMN($E$5),1),$E153),0)</f>
        <v>0</v>
      </c>
      <c r="AH153" s="250">
        <f>IF(AH$6=$C153,IF(INDEX('Surface DEET'!$Q$9:$W$38,COLUMN(AH146)-COLUMN($E$5),1)&gt;0,INDEX('Surface DEET'!$Q$9:$W$38,COLUMN(AH146)-COLUMN($E$5),1),$E153),0)</f>
        <v>0</v>
      </c>
      <c r="AI153" s="250">
        <f>IF(AI$6=$C153,IF(INDEX('Surface DEET'!$Q$9:$W$38,COLUMN(AI146)-COLUMN($E$5),1)&gt;0,INDEX('Surface DEET'!$Q$9:$W$38,COLUMN(AI146)-COLUMN($E$5),1),$E153),0)</f>
        <v>0</v>
      </c>
    </row>
    <row r="154" spans="1:35">
      <c r="A154" s="690"/>
      <c r="B154" s="250" t="s">
        <v>540</v>
      </c>
      <c r="C154" s="30" t="s">
        <v>625</v>
      </c>
      <c r="D154" s="250" t="s">
        <v>626</v>
      </c>
      <c r="E154" s="250">
        <v>3120</v>
      </c>
      <c r="F154" s="250">
        <f>IF(F$6=$C154,IF(INDEX('Surface DEET'!$Q$9:$W$38,COLUMN(F147)-COLUMN($E$5),4)&gt;0,INDEX('Surface DEET'!$Q$9:$W$38,COLUMN(F147)-COLUMN($E$5),4),$E154),0)</f>
        <v>0</v>
      </c>
      <c r="G154" s="250">
        <f>IF(G$6=$C154,IF(INDEX('Surface DEET'!$Q$9:$W$38,COLUMN(G147)-COLUMN($E$5),4)&gt;0,INDEX('Surface DEET'!$Q$9:$W$38,COLUMN(G147)-COLUMN($E$5),4),$E154),0)</f>
        <v>0</v>
      </c>
      <c r="H154" s="250">
        <f>IF(H$6=$C154,IF(INDEX('Surface DEET'!$Q$9:$W$38,COLUMN(H147)-COLUMN($E$5),4)&gt;0,INDEX('Surface DEET'!$Q$9:$W$38,COLUMN(H147)-COLUMN($E$5),4),$E154),0)</f>
        <v>0</v>
      </c>
      <c r="I154" s="250">
        <f>IF(I$6=$C154,IF(INDEX('Surface DEET'!$Q$9:$W$38,COLUMN(I147)-COLUMN($E$5),4)&gt;0,INDEX('Surface DEET'!$Q$9:$W$38,COLUMN(I147)-COLUMN($E$5),4),$E154),0)</f>
        <v>0</v>
      </c>
      <c r="J154" s="250">
        <f>IF(J$6=$C154,IF(INDEX('Surface DEET'!$Q$9:$W$38,COLUMN(J147)-COLUMN($E$5),4)&gt;0,INDEX('Surface DEET'!$Q$9:$W$38,COLUMN(J147)-COLUMN($E$5),4),$E154),0)</f>
        <v>0</v>
      </c>
      <c r="K154" s="250">
        <f>IF(K$6=$C154,IF(INDEX('Surface DEET'!$Q$9:$W$38,COLUMN(K147)-COLUMN($E$5),4)&gt;0,INDEX('Surface DEET'!$Q$9:$W$38,COLUMN(K147)-COLUMN($E$5),4),$E154),0)</f>
        <v>0</v>
      </c>
      <c r="L154" s="250">
        <f>IF(L$6=$C154,IF(INDEX('Surface DEET'!$Q$9:$W$38,COLUMN(L147)-COLUMN($E$5),4)&gt;0,INDEX('Surface DEET'!$Q$9:$W$38,COLUMN(L147)-COLUMN($E$5),4),$E154),0)</f>
        <v>0</v>
      </c>
      <c r="M154" s="250">
        <f>IF(M$6=$C154,IF(INDEX('Surface DEET'!$Q$9:$W$38,COLUMN(M147)-COLUMN($E$5),4)&gt;0,INDEX('Surface DEET'!$Q$9:$W$38,COLUMN(M147)-COLUMN($E$5),4),$E154),0)</f>
        <v>0</v>
      </c>
      <c r="N154" s="250">
        <f>IF(N$6=$C154,IF(INDEX('Surface DEET'!$Q$9:$W$38,COLUMN(N147)-COLUMN($E$5),4)&gt;0,INDEX('Surface DEET'!$Q$9:$W$38,COLUMN(N147)-COLUMN($E$5),4),$E154),0)</f>
        <v>0</v>
      </c>
      <c r="O154" s="250">
        <f>IF(O$6=$C154,IF(INDEX('Surface DEET'!$Q$9:$W$38,COLUMN(O147)-COLUMN($E$5),4)&gt;0,INDEX('Surface DEET'!$Q$9:$W$38,COLUMN(O147)-COLUMN($E$5),4),$E154),0)</f>
        <v>0</v>
      </c>
      <c r="P154" s="250">
        <f>IF(P$6=$C154,IF(INDEX('Surface DEET'!$Q$9:$W$38,COLUMN(P147)-COLUMN($E$5),4)&gt;0,INDEX('Surface DEET'!$Q$9:$W$38,COLUMN(P147)-COLUMN($E$5),4),$E154),0)</f>
        <v>0</v>
      </c>
      <c r="Q154" s="250">
        <f>IF(Q$6=$C154,IF(INDEX('Surface DEET'!$Q$9:$W$38,COLUMN(Q147)-COLUMN($E$5),4)&gt;0,INDEX('Surface DEET'!$Q$9:$W$38,COLUMN(Q147)-COLUMN($E$5),4),$E154),0)</f>
        <v>0</v>
      </c>
      <c r="R154" s="250">
        <f>IF(R$6=$C154,IF(INDEX('Surface DEET'!$Q$9:$W$38,COLUMN(R147)-COLUMN($E$5),4)&gt;0,INDEX('Surface DEET'!$Q$9:$W$38,COLUMN(R147)-COLUMN($E$5),4),$E154),0)</f>
        <v>0</v>
      </c>
      <c r="S154" s="250">
        <f>IF(S$6=$C154,IF(INDEX('Surface DEET'!$Q$9:$W$38,COLUMN(S147)-COLUMN($E$5),4)&gt;0,INDEX('Surface DEET'!$Q$9:$W$38,COLUMN(S147)-COLUMN($E$5),4),$E154),0)</f>
        <v>0</v>
      </c>
      <c r="T154" s="250">
        <f>IF(T$6=$C154,IF(INDEX('Surface DEET'!$Q$9:$W$38,COLUMN(T147)-COLUMN($E$5),4)&gt;0,INDEX('Surface DEET'!$Q$9:$W$38,COLUMN(T147)-COLUMN($E$5),4),$E154),0)</f>
        <v>0</v>
      </c>
      <c r="U154" s="250">
        <f>IF(U$6=$C154,IF(INDEX('Surface DEET'!$Q$9:$W$38,COLUMN(U147)-COLUMN($E$5),4)&gt;0,INDEX('Surface DEET'!$Q$9:$W$38,COLUMN(U147)-COLUMN($E$5),4),$E154),0)</f>
        <v>0</v>
      </c>
      <c r="V154" s="250">
        <f>IF(V$6=$C154,IF(INDEX('Surface DEET'!$Q$9:$W$38,COLUMN(V147)-COLUMN($E$5),4)&gt;0,INDEX('Surface DEET'!$Q$9:$W$38,COLUMN(V147)-COLUMN($E$5),4),$E154),0)</f>
        <v>0</v>
      </c>
      <c r="W154" s="250">
        <f>IF(W$6=$C154,IF(INDEX('Surface DEET'!$Q$9:$W$38,COLUMN(W147)-COLUMN($E$5),4)&gt;0,INDEX('Surface DEET'!$Q$9:$W$38,COLUMN(W147)-COLUMN($E$5),4),$E154),0)</f>
        <v>0</v>
      </c>
      <c r="X154" s="250">
        <f>IF(X$6=$C154,IF(INDEX('Surface DEET'!$Q$9:$W$38,COLUMN(X147)-COLUMN($E$5),4)&gt;0,INDEX('Surface DEET'!$Q$9:$W$38,COLUMN(X147)-COLUMN($E$5),4),$E154),0)</f>
        <v>0</v>
      </c>
      <c r="Y154" s="250">
        <f>IF(Y$6=$C154,IF(INDEX('Surface DEET'!$Q$9:$W$38,COLUMN(Y147)-COLUMN($E$5),4)&gt;0,INDEX('Surface DEET'!$Q$9:$W$38,COLUMN(Y147)-COLUMN($E$5),4),$E154),0)</f>
        <v>0</v>
      </c>
      <c r="Z154" s="250">
        <f>IF(Z$6=$C154,IF(INDEX('Surface DEET'!$Q$9:$W$38,COLUMN(Z147)-COLUMN($E$5),4)&gt;0,INDEX('Surface DEET'!$Q$9:$W$38,COLUMN(Z147)-COLUMN($E$5),4),$E154),0)</f>
        <v>0</v>
      </c>
      <c r="AA154" s="250">
        <f>IF(AA$6=$C154,IF(INDEX('Surface DEET'!$Q$9:$W$38,COLUMN(AA147)-COLUMN($E$5),4)&gt;0,INDEX('Surface DEET'!$Q$9:$W$38,COLUMN(AA147)-COLUMN($E$5),4),$E154),0)</f>
        <v>0</v>
      </c>
      <c r="AB154" s="250">
        <f>IF(AB$6=$C154,IF(INDEX('Surface DEET'!$Q$9:$W$38,COLUMN(AB147)-COLUMN($E$5),4)&gt;0,INDEX('Surface DEET'!$Q$9:$W$38,COLUMN(AB147)-COLUMN($E$5),4),$E154),0)</f>
        <v>0</v>
      </c>
      <c r="AC154" s="250">
        <f>IF(AC$6=$C154,IF(INDEX('Surface DEET'!$Q$9:$W$38,COLUMN(AC147)-COLUMN($E$5),4)&gt;0,INDEX('Surface DEET'!$Q$9:$W$38,COLUMN(AC147)-COLUMN($E$5),4),$E154),0)</f>
        <v>0</v>
      </c>
      <c r="AD154" s="250">
        <f>IF(AD$6=$C154,IF(INDEX('Surface DEET'!$Q$9:$W$38,COLUMN(AD147)-COLUMN($E$5),4)&gt;0,INDEX('Surface DEET'!$Q$9:$W$38,COLUMN(AD147)-COLUMN($E$5),4),$E154),0)</f>
        <v>0</v>
      </c>
      <c r="AE154" s="250">
        <f>IF(AE$6=$C154,IF(INDEX('Surface DEET'!$Q$9:$W$38,COLUMN(AE147)-COLUMN($E$5),4)&gt;0,INDEX('Surface DEET'!$Q$9:$W$38,COLUMN(AE147)-COLUMN($E$5),4),$E154),0)</f>
        <v>0</v>
      </c>
      <c r="AF154" s="250">
        <f>IF(AF$6=$C154,IF(INDEX('Surface DEET'!$Q$9:$W$38,COLUMN(AF147)-COLUMN($E$5),4)&gt;0,INDEX('Surface DEET'!$Q$9:$W$38,COLUMN(AF147)-COLUMN($E$5),4),$E154),0)</f>
        <v>0</v>
      </c>
      <c r="AG154" s="250">
        <f>IF(AG$6=$C154,IF(INDEX('Surface DEET'!$Q$9:$W$38,COLUMN(AG147)-COLUMN($E$5),4)&gt;0,INDEX('Surface DEET'!$Q$9:$W$38,COLUMN(AG147)-COLUMN($E$5),4),$E154),0)</f>
        <v>0</v>
      </c>
      <c r="AH154" s="250">
        <f>IF(AH$6=$C154,IF(INDEX('Surface DEET'!$Q$9:$W$38,COLUMN(AH147)-COLUMN($E$5),4)&gt;0,INDEX('Surface DEET'!$Q$9:$W$38,COLUMN(AH147)-COLUMN($E$5),4),$E154),0)</f>
        <v>0</v>
      </c>
      <c r="AI154" s="250">
        <f>IF(AI$6=$C154,IF(INDEX('Surface DEET'!$Q$9:$W$38,COLUMN(AI147)-COLUMN($E$5),4)&gt;0,INDEX('Surface DEET'!$Q$9:$W$38,COLUMN(AI147)-COLUMN($E$5),4),$E154),0)</f>
        <v>0</v>
      </c>
    </row>
    <row r="155" spans="1:35">
      <c r="A155" s="690"/>
      <c r="B155" s="250" t="s">
        <v>543</v>
      </c>
      <c r="C155" s="30" t="s">
        <v>625</v>
      </c>
      <c r="D155" s="250" t="s">
        <v>627</v>
      </c>
      <c r="F155" s="250">
        <f>IF(F$6=$C155,IF(INDEX('Surface DEET'!$F$9:$W$38,COLUMN(F148)-COLUMN($E$5),7)&gt;0,INDEX('Surface DEET'!$F$9:$W$38,COLUMN(F148)-COLUMN($E$5),1),$E155),0)</f>
        <v>0</v>
      </c>
      <c r="G155" s="250">
        <f>IF(G$6=$C155,IF(INDEX('Surface DEET'!$F$9:$W$38,COLUMN(G148)-COLUMN($E$5),7)&gt;0,INDEX('Surface DEET'!$F$9:$W$38,COLUMN(G148)-COLUMN($E$5),1),$E155),0)</f>
        <v>0</v>
      </c>
      <c r="H155" s="250">
        <f>IF(H$6=$C155,IF(INDEX('Surface DEET'!$F$9:$W$38,COLUMN(H148)-COLUMN($E$5),7)&gt;0,INDEX('Surface DEET'!$F$9:$W$38,COLUMN(H148)-COLUMN($E$5),1),$E155),0)</f>
        <v>0</v>
      </c>
      <c r="I155" s="250">
        <f>IF(I$6=$C155,IF(INDEX('Surface DEET'!$F$9:$W$38,COLUMN(I148)-COLUMN($E$5),7)&gt;0,INDEX('Surface DEET'!$F$9:$W$38,COLUMN(I148)-COLUMN($E$5),1),$E155),0)</f>
        <v>0</v>
      </c>
      <c r="J155" s="250">
        <f>IF(J$6=$C155,IF(INDEX('Surface DEET'!$F$9:$W$38,COLUMN(J148)-COLUMN($E$5),7)&gt;0,INDEX('Surface DEET'!$F$9:$W$38,COLUMN(J148)-COLUMN($E$5),1),$E155),0)</f>
        <v>0</v>
      </c>
      <c r="K155" s="250">
        <f>IF(K$6=$C155,IF(INDEX('Surface DEET'!$F$9:$W$38,COLUMN(K148)-COLUMN($E$5),7)&gt;0,INDEX('Surface DEET'!$F$9:$W$38,COLUMN(K148)-COLUMN($E$5),1),$E155),0)</f>
        <v>0</v>
      </c>
      <c r="L155" s="250">
        <f>IF(L$6=$C155,IF(INDEX('Surface DEET'!$F$9:$W$38,COLUMN(L148)-COLUMN($E$5),7)&gt;0,INDEX('Surface DEET'!$F$9:$W$38,COLUMN(L148)-COLUMN($E$5),1),$E155),0)</f>
        <v>0</v>
      </c>
      <c r="M155" s="250">
        <f>IF(M$6=$C155,IF(INDEX('Surface DEET'!$F$9:$W$38,COLUMN(M148)-COLUMN($E$5),7)&gt;0,INDEX('Surface DEET'!$F$9:$W$38,COLUMN(M148)-COLUMN($E$5),1),$E155),0)</f>
        <v>0</v>
      </c>
      <c r="N155" s="250">
        <f>IF(N$6=$C155,IF(INDEX('Surface DEET'!$F$9:$W$38,COLUMN(N148)-COLUMN($E$5),7)&gt;0,INDEX('Surface DEET'!$F$9:$W$38,COLUMN(N148)-COLUMN($E$5),1),$E155),0)</f>
        <v>0</v>
      </c>
      <c r="O155" s="250">
        <f>IF(O$6=$C155,IF(INDEX('Surface DEET'!$F$9:$W$38,COLUMN(O148)-COLUMN($E$5),7)&gt;0,INDEX('Surface DEET'!$F$9:$W$38,COLUMN(O148)-COLUMN($E$5),1),$E155),0)</f>
        <v>0</v>
      </c>
      <c r="P155" s="250">
        <f>IF(P$6=$C155,IF(INDEX('Surface DEET'!$F$9:$W$38,COLUMN(P148)-COLUMN($E$5),7)&gt;0,INDEX('Surface DEET'!$F$9:$W$38,COLUMN(P148)-COLUMN($E$5),1),$E155),0)</f>
        <v>0</v>
      </c>
      <c r="Q155" s="250">
        <f>IF(Q$6=$C155,IF(INDEX('Surface DEET'!$F$9:$W$38,COLUMN(Q148)-COLUMN($E$5),7)&gt;0,INDEX('Surface DEET'!$F$9:$W$38,COLUMN(Q148)-COLUMN($E$5),1),$E155),0)</f>
        <v>0</v>
      </c>
      <c r="R155" s="250">
        <f>IF(R$6=$C155,IF(INDEX('Surface DEET'!$F$9:$W$38,COLUMN(R148)-COLUMN($E$5),7)&gt;0,INDEX('Surface DEET'!$F$9:$W$38,COLUMN(R148)-COLUMN($E$5),1),$E155),0)</f>
        <v>0</v>
      </c>
      <c r="S155" s="250">
        <f>IF(S$6=$C155,IF(INDEX('Surface DEET'!$F$9:$W$38,COLUMN(S148)-COLUMN($E$5),7)&gt;0,INDEX('Surface DEET'!$F$9:$W$38,COLUMN(S148)-COLUMN($E$5),1),$E155),0)</f>
        <v>0</v>
      </c>
      <c r="T155" s="250">
        <f>IF(T$6=$C155,IF(INDEX('Surface DEET'!$F$9:$W$38,COLUMN(T148)-COLUMN($E$5),7)&gt;0,INDEX('Surface DEET'!$F$9:$W$38,COLUMN(T148)-COLUMN($E$5),1),$E155),0)</f>
        <v>0</v>
      </c>
      <c r="U155" s="250">
        <f>IF(U$6=$C155,IF(INDEX('Surface DEET'!$F$9:$W$38,COLUMN(U148)-COLUMN($E$5),7)&gt;0,INDEX('Surface DEET'!$F$9:$W$38,COLUMN(U148)-COLUMN($E$5),1),$E155),0)</f>
        <v>0</v>
      </c>
      <c r="V155" s="250">
        <f>IF(V$6=$C155,IF(INDEX('Surface DEET'!$F$9:$W$38,COLUMN(V148)-COLUMN($E$5),7)&gt;0,INDEX('Surface DEET'!$F$9:$W$38,COLUMN(V148)-COLUMN($E$5),1),$E155),0)</f>
        <v>0</v>
      </c>
      <c r="W155" s="250">
        <f>IF(W$6=$C155,IF(INDEX('Surface DEET'!$F$9:$W$38,COLUMN(W148)-COLUMN($E$5),7)&gt;0,INDEX('Surface DEET'!$F$9:$W$38,COLUMN(W148)-COLUMN($E$5),1),$E155),0)</f>
        <v>0</v>
      </c>
      <c r="X155" s="250">
        <f>IF(X$6=$C155,IF(INDEX('Surface DEET'!$F$9:$W$38,COLUMN(X148)-COLUMN($E$5),7)&gt;0,INDEX('Surface DEET'!$F$9:$W$38,COLUMN(X148)-COLUMN($E$5),1),$E155),0)</f>
        <v>0</v>
      </c>
      <c r="Y155" s="250">
        <f>IF(Y$6=$C155,IF(INDEX('Surface DEET'!$F$9:$W$38,COLUMN(Y148)-COLUMN($E$5),7)&gt;0,INDEX('Surface DEET'!$F$9:$W$38,COLUMN(Y148)-COLUMN($E$5),1),$E155),0)</f>
        <v>0</v>
      </c>
      <c r="Z155" s="250">
        <f>IF(Z$6=$C155,IF(INDEX('Surface DEET'!$F$9:$W$38,COLUMN(Z148)-COLUMN($E$5),7)&gt;0,INDEX('Surface DEET'!$F$9:$W$38,COLUMN(Z148)-COLUMN($E$5),1),$E155),0)</f>
        <v>0</v>
      </c>
      <c r="AA155" s="250">
        <f>IF(AA$6=$C155,IF(INDEX('Surface DEET'!$F$9:$W$38,COLUMN(AA148)-COLUMN($E$5),7)&gt;0,INDEX('Surface DEET'!$F$9:$W$38,COLUMN(AA148)-COLUMN($E$5),1),$E155),0)</f>
        <v>0</v>
      </c>
      <c r="AB155" s="250">
        <f>IF(AB$6=$C155,IF(INDEX('Surface DEET'!$F$9:$W$38,COLUMN(AB148)-COLUMN($E$5),7)&gt;0,INDEX('Surface DEET'!$F$9:$W$38,COLUMN(AB148)-COLUMN($E$5),1),$E155),0)</f>
        <v>0</v>
      </c>
      <c r="AC155" s="250">
        <f>IF(AC$6=$C155,IF(INDEX('Surface DEET'!$F$9:$W$38,COLUMN(AC148)-COLUMN($E$5),7)&gt;0,INDEX('Surface DEET'!$F$9:$W$38,COLUMN(AC148)-COLUMN($E$5),1),$E155),0)</f>
        <v>0</v>
      </c>
      <c r="AD155" s="250">
        <f>IF(AD$6=$C155,IF(INDEX('Surface DEET'!$F$9:$W$38,COLUMN(AD148)-COLUMN($E$5),7)&gt;0,INDEX('Surface DEET'!$F$9:$W$38,COLUMN(AD148)-COLUMN($E$5),1),$E155),0)</f>
        <v>0</v>
      </c>
      <c r="AE155" s="250">
        <f>IF(AE$6=$C155,IF(INDEX('Surface DEET'!$F$9:$W$38,COLUMN(AE148)-COLUMN($E$5),7)&gt;0,INDEX('Surface DEET'!$F$9:$W$38,COLUMN(AE148)-COLUMN($E$5),1),$E155),0)</f>
        <v>0</v>
      </c>
      <c r="AF155" s="250">
        <f>IF(AF$6=$C155,IF(INDEX('Surface DEET'!$F$9:$W$38,COLUMN(AF148)-COLUMN($E$5),7)&gt;0,INDEX('Surface DEET'!$F$9:$W$38,COLUMN(AF148)-COLUMN($E$5),1),$E155),0)</f>
        <v>0</v>
      </c>
      <c r="AG155" s="250">
        <f>IF(AG$6=$C155,IF(INDEX('Surface DEET'!$F$9:$W$38,COLUMN(AG148)-COLUMN($E$5),7)&gt;0,INDEX('Surface DEET'!$F$9:$W$38,COLUMN(AG148)-COLUMN($E$5),1),$E155),0)</f>
        <v>0</v>
      </c>
      <c r="AH155" s="250">
        <f>IF(AH$6=$C155,IF(INDEX('Surface DEET'!$F$9:$W$38,COLUMN(AH148)-COLUMN($E$5),7)&gt;0,INDEX('Surface DEET'!$F$9:$W$38,COLUMN(AH148)-COLUMN($E$5),1),$E155),0)</f>
        <v>0</v>
      </c>
      <c r="AI155" s="250">
        <f>IF(AI$6=$C155,IF(INDEX('Surface DEET'!$F$9:$W$38,COLUMN(AI148)-COLUMN($E$5),7)&gt;0,INDEX('Surface DEET'!$F$9:$W$38,COLUMN(AI148)-COLUMN($E$5),1),$E155),0)</f>
        <v>0</v>
      </c>
    </row>
    <row r="156" spans="1:35">
      <c r="A156" s="690"/>
      <c r="B156" s="250" t="s">
        <v>533</v>
      </c>
      <c r="C156" s="30" t="s">
        <v>625</v>
      </c>
      <c r="D156" s="250" t="s">
        <v>533</v>
      </c>
      <c r="F156" s="250">
        <f>IFERROR(1127*F154/F155+(1-$E$152)*$E$150*(F153/$E$153)+0.25*$E$149*(F153-$E$153)/$E$153,0)</f>
        <v>0</v>
      </c>
      <c r="G156" s="250">
        <f>IFERROR(1127*G154/G155+(1-$E$152)*$E$150*(G153/$E$153)+0.25*$E$149*(G153-$E$153)/$E$153,0)</f>
        <v>0</v>
      </c>
      <c r="H156" s="250">
        <f t="shared" ref="H156:AI156" si="18">IFERROR(1127*H154/H155+(1-$E$152)*$E$150*(H153/$E$153)+0.25*$E$149*(H153-$E$153)/$E$153,0)</f>
        <v>0</v>
      </c>
      <c r="I156" s="250">
        <f t="shared" si="18"/>
        <v>0</v>
      </c>
      <c r="J156" s="250">
        <f t="shared" si="18"/>
        <v>0</v>
      </c>
      <c r="K156" s="250">
        <f t="shared" si="18"/>
        <v>0</v>
      </c>
      <c r="L156" s="250">
        <f t="shared" si="18"/>
        <v>0</v>
      </c>
      <c r="M156" s="250">
        <f t="shared" si="18"/>
        <v>0</v>
      </c>
      <c r="N156" s="250">
        <f t="shared" si="18"/>
        <v>0</v>
      </c>
      <c r="O156" s="250">
        <f t="shared" si="18"/>
        <v>0</v>
      </c>
      <c r="P156" s="250">
        <f t="shared" si="18"/>
        <v>0</v>
      </c>
      <c r="Q156" s="250">
        <f t="shared" si="18"/>
        <v>0</v>
      </c>
      <c r="R156" s="250">
        <f t="shared" si="18"/>
        <v>0</v>
      </c>
      <c r="S156" s="250">
        <f t="shared" si="18"/>
        <v>0</v>
      </c>
      <c r="T156" s="250">
        <f t="shared" si="18"/>
        <v>0</v>
      </c>
      <c r="U156" s="250">
        <f t="shared" si="18"/>
        <v>0</v>
      </c>
      <c r="V156" s="250">
        <f t="shared" si="18"/>
        <v>0</v>
      </c>
      <c r="W156" s="250">
        <f t="shared" si="18"/>
        <v>0</v>
      </c>
      <c r="X156" s="250">
        <f t="shared" si="18"/>
        <v>0</v>
      </c>
      <c r="Y156" s="250">
        <f t="shared" si="18"/>
        <v>0</v>
      </c>
      <c r="Z156" s="250">
        <f t="shared" si="18"/>
        <v>0</v>
      </c>
      <c r="AA156" s="250">
        <f t="shared" si="18"/>
        <v>0</v>
      </c>
      <c r="AB156" s="250">
        <f t="shared" si="18"/>
        <v>0</v>
      </c>
      <c r="AC156" s="250">
        <f t="shared" si="18"/>
        <v>0</v>
      </c>
      <c r="AD156" s="250">
        <f t="shared" si="18"/>
        <v>0</v>
      </c>
      <c r="AE156" s="250">
        <f t="shared" si="18"/>
        <v>0</v>
      </c>
      <c r="AF156" s="250">
        <f t="shared" si="18"/>
        <v>0</v>
      </c>
      <c r="AG156" s="250">
        <f t="shared" si="18"/>
        <v>0</v>
      </c>
      <c r="AH156" s="250">
        <f t="shared" si="18"/>
        <v>0</v>
      </c>
      <c r="AI156" s="250">
        <f t="shared" si="18"/>
        <v>0</v>
      </c>
    </row>
    <row r="157" spans="1:35">
      <c r="A157" s="691" t="s">
        <v>628</v>
      </c>
      <c r="B157" s="88" t="s">
        <v>294</v>
      </c>
      <c r="C157" s="30" t="s">
        <v>628</v>
      </c>
      <c r="D157" s="88" t="s">
        <v>294</v>
      </c>
      <c r="E157" s="250">
        <f t="array" ref="E157">INDEX(CABS_CVC!$C$3:$O$894,MATCH(1, (CABS_CVC!$A$3:$A$894=Calculs_CABS!C157)*(CABS_CVC!$B$3:$B$894=Calculs_CABS!$D$2),0),MATCH(Calculs_CABS!$D$1,Liste_CABS!$B$3:$B$15,0))</f>
        <v>88</v>
      </c>
    </row>
    <row r="158" spans="1:35">
      <c r="A158" s="691"/>
      <c r="B158" s="250" t="s">
        <v>534</v>
      </c>
      <c r="C158" s="30" t="s">
        <v>628</v>
      </c>
      <c r="D158" s="250" t="s">
        <v>534</v>
      </c>
      <c r="E158" s="250">
        <v>276</v>
      </c>
    </row>
    <row r="159" spans="1:35">
      <c r="A159" s="691"/>
      <c r="B159" s="250" t="s">
        <v>535</v>
      </c>
      <c r="C159" s="30" t="s">
        <v>628</v>
      </c>
      <c r="D159" s="250" t="s">
        <v>535</v>
      </c>
      <c r="E159" s="250">
        <f>E157+E158</f>
        <v>364</v>
      </c>
    </row>
    <row r="160" spans="1:35">
      <c r="A160" s="691"/>
      <c r="B160" s="250" t="s">
        <v>536</v>
      </c>
      <c r="C160" s="30" t="s">
        <v>628</v>
      </c>
      <c r="D160" s="250" t="s">
        <v>536</v>
      </c>
      <c r="E160" s="250">
        <v>0.89</v>
      </c>
    </row>
    <row r="161" spans="1:35">
      <c r="A161" s="691"/>
      <c r="B161" s="250" t="s">
        <v>537</v>
      </c>
      <c r="C161" s="30" t="s">
        <v>628</v>
      </c>
      <c r="D161" s="250" t="s">
        <v>629</v>
      </c>
      <c r="E161" s="250">
        <v>8760</v>
      </c>
      <c r="F161" s="250">
        <f>IF(F$6=$C161,IF(INDEX('Surface DEET'!$Q$9:$W$38,COLUMN(F154)-COLUMN($E$5),1)&gt;0,INDEX('Surface DEET'!$Q$9:$W$38,COLUMN(F154)-COLUMN($E$5),1),$E161),0)</f>
        <v>0</v>
      </c>
      <c r="G161" s="250">
        <f>IF(G$6=$C161,IF(INDEX('Surface DEET'!$Q$9:$W$38,COLUMN(G154)-COLUMN($E$5),1)&gt;0,INDEX('Surface DEET'!$Q$9:$W$38,COLUMN(G154)-COLUMN($E$5),1),$E161),0)</f>
        <v>0</v>
      </c>
      <c r="H161" s="250">
        <f>IF(H$6=$C161,IF(INDEX('Surface DEET'!$Q$9:$W$38,COLUMN(H154)-COLUMN($E$5),1)&gt;0,INDEX('Surface DEET'!$Q$9:$W$38,COLUMN(H154)-COLUMN($E$5),1),$E161),0)</f>
        <v>0</v>
      </c>
      <c r="I161" s="250">
        <f>IF(I$6=$C161,IF(INDEX('Surface DEET'!$Q$9:$W$38,COLUMN(I154)-COLUMN($E$5),1)&gt;0,INDEX('Surface DEET'!$Q$9:$W$38,COLUMN(I154)-COLUMN($E$5),1),$E161),0)</f>
        <v>0</v>
      </c>
      <c r="J161" s="250">
        <f>IF(J$6=$C161,IF(INDEX('Surface DEET'!$Q$9:$W$38,COLUMN(J154)-COLUMN($E$5),1)&gt;0,INDEX('Surface DEET'!$Q$9:$W$38,COLUMN(J154)-COLUMN($E$5),1),$E161),0)</f>
        <v>0</v>
      </c>
      <c r="K161" s="250">
        <f>IF(K$6=$C161,IF(INDEX('Surface DEET'!$Q$9:$W$38,COLUMN(K154)-COLUMN($E$5),1)&gt;0,INDEX('Surface DEET'!$Q$9:$W$38,COLUMN(K154)-COLUMN($E$5),1),$E161),0)</f>
        <v>0</v>
      </c>
      <c r="L161" s="250">
        <f>IF(L$6=$C161,IF(INDEX('Surface DEET'!$Q$9:$W$38,COLUMN(L154)-COLUMN($E$5),1)&gt;0,INDEX('Surface DEET'!$Q$9:$W$38,COLUMN(L154)-COLUMN($E$5),1),$E161),0)</f>
        <v>0</v>
      </c>
      <c r="M161" s="250">
        <f>IF(M$6=$C161,IF(INDEX('Surface DEET'!$Q$9:$W$38,COLUMN(M154)-COLUMN($E$5),1)&gt;0,INDEX('Surface DEET'!$Q$9:$W$38,COLUMN(M154)-COLUMN($E$5),1),$E161),0)</f>
        <v>0</v>
      </c>
      <c r="N161" s="250">
        <f>IF(N$6=$C161,IF(INDEX('Surface DEET'!$Q$9:$W$38,COLUMN(N154)-COLUMN($E$5),1)&gt;0,INDEX('Surface DEET'!$Q$9:$W$38,COLUMN(N154)-COLUMN($E$5),1),$E161),0)</f>
        <v>0</v>
      </c>
      <c r="O161" s="250">
        <f>IF(O$6=$C161,IF(INDEX('Surface DEET'!$Q$9:$W$38,COLUMN(O154)-COLUMN($E$5),1)&gt;0,INDEX('Surface DEET'!$Q$9:$W$38,COLUMN(O154)-COLUMN($E$5),1),$E161),0)</f>
        <v>0</v>
      </c>
      <c r="P161" s="250">
        <f>IF(P$6=$C161,IF(INDEX('Surface DEET'!$Q$9:$W$38,COLUMN(P154)-COLUMN($E$5),1)&gt;0,INDEX('Surface DEET'!$Q$9:$W$38,COLUMN(P154)-COLUMN($E$5),1),$E161),0)</f>
        <v>0</v>
      </c>
      <c r="Q161" s="250">
        <f>IF(Q$6=$C161,IF(INDEX('Surface DEET'!$Q$9:$W$38,COLUMN(Q154)-COLUMN($E$5),1)&gt;0,INDEX('Surface DEET'!$Q$9:$W$38,COLUMN(Q154)-COLUMN($E$5),1),$E161),0)</f>
        <v>0</v>
      </c>
      <c r="R161" s="250">
        <f>IF(R$6=$C161,IF(INDEX('Surface DEET'!$Q$9:$W$38,COLUMN(R154)-COLUMN($E$5),1)&gt;0,INDEX('Surface DEET'!$Q$9:$W$38,COLUMN(R154)-COLUMN($E$5),1),$E161),0)</f>
        <v>0</v>
      </c>
      <c r="S161" s="250">
        <f>IF(S$6=$C161,IF(INDEX('Surface DEET'!$Q$9:$W$38,COLUMN(S154)-COLUMN($E$5),1)&gt;0,INDEX('Surface DEET'!$Q$9:$W$38,COLUMN(S154)-COLUMN($E$5),1),$E161),0)</f>
        <v>0</v>
      </c>
      <c r="T161" s="250">
        <f>IF(T$6=$C161,IF(INDEX('Surface DEET'!$Q$9:$W$38,COLUMN(T154)-COLUMN($E$5),1)&gt;0,INDEX('Surface DEET'!$Q$9:$W$38,COLUMN(T154)-COLUMN($E$5),1),$E161),0)</f>
        <v>0</v>
      </c>
      <c r="U161" s="250">
        <f>IF(U$6=$C161,IF(INDEX('Surface DEET'!$Q$9:$W$38,COLUMN(U154)-COLUMN($E$5),1)&gt;0,INDEX('Surface DEET'!$Q$9:$W$38,COLUMN(U154)-COLUMN($E$5),1),$E161),0)</f>
        <v>0</v>
      </c>
      <c r="V161" s="250">
        <f>IF(V$6=$C161,IF(INDEX('Surface DEET'!$Q$9:$W$38,COLUMN(V154)-COLUMN($E$5),1)&gt;0,INDEX('Surface DEET'!$Q$9:$W$38,COLUMN(V154)-COLUMN($E$5),1),$E161),0)</f>
        <v>0</v>
      </c>
      <c r="W161" s="250">
        <f>IF(W$6=$C161,IF(INDEX('Surface DEET'!$Q$9:$W$38,COLUMN(W154)-COLUMN($E$5),1)&gt;0,INDEX('Surface DEET'!$Q$9:$W$38,COLUMN(W154)-COLUMN($E$5),1),$E161),0)</f>
        <v>0</v>
      </c>
      <c r="X161" s="250">
        <f>IF(X$6=$C161,IF(INDEX('Surface DEET'!$Q$9:$W$38,COLUMN(X154)-COLUMN($E$5),1)&gt;0,INDEX('Surface DEET'!$Q$9:$W$38,COLUMN(X154)-COLUMN($E$5),1),$E161),0)</f>
        <v>0</v>
      </c>
      <c r="Y161" s="250">
        <f>IF(Y$6=$C161,IF(INDEX('Surface DEET'!$Q$9:$W$38,COLUMN(Y154)-COLUMN($E$5),1)&gt;0,INDEX('Surface DEET'!$Q$9:$W$38,COLUMN(Y154)-COLUMN($E$5),1),$E161),0)</f>
        <v>0</v>
      </c>
      <c r="Z161" s="250">
        <f>IF(Z$6=$C161,IF(INDEX('Surface DEET'!$Q$9:$W$38,COLUMN(Z154)-COLUMN($E$5),1)&gt;0,INDEX('Surface DEET'!$Q$9:$W$38,COLUMN(Z154)-COLUMN($E$5),1),$E161),0)</f>
        <v>0</v>
      </c>
      <c r="AA161" s="250">
        <f>IF(AA$6=$C161,IF(INDEX('Surface DEET'!$Q$9:$W$38,COLUMN(AA154)-COLUMN($E$5),1)&gt;0,INDEX('Surface DEET'!$Q$9:$W$38,COLUMN(AA154)-COLUMN($E$5),1),$E161),0)</f>
        <v>0</v>
      </c>
      <c r="AB161" s="250">
        <f>IF(AB$6=$C161,IF(INDEX('Surface DEET'!$Q$9:$W$38,COLUMN(AB154)-COLUMN($E$5),1)&gt;0,INDEX('Surface DEET'!$Q$9:$W$38,COLUMN(AB154)-COLUMN($E$5),1),$E161),0)</f>
        <v>0</v>
      </c>
      <c r="AC161" s="250">
        <f>IF(AC$6=$C161,IF(INDEX('Surface DEET'!$Q$9:$W$38,COLUMN(AC154)-COLUMN($E$5),1)&gt;0,INDEX('Surface DEET'!$Q$9:$W$38,COLUMN(AC154)-COLUMN($E$5),1),$E161),0)</f>
        <v>0</v>
      </c>
      <c r="AD161" s="250">
        <f>IF(AD$6=$C161,IF(INDEX('Surface DEET'!$Q$9:$W$38,COLUMN(AD154)-COLUMN($E$5),1)&gt;0,INDEX('Surface DEET'!$Q$9:$W$38,COLUMN(AD154)-COLUMN($E$5),1),$E161),0)</f>
        <v>0</v>
      </c>
      <c r="AE161" s="250">
        <f>IF(AE$6=$C161,IF(INDEX('Surface DEET'!$Q$9:$W$38,COLUMN(AE154)-COLUMN($E$5),1)&gt;0,INDEX('Surface DEET'!$Q$9:$W$38,COLUMN(AE154)-COLUMN($E$5),1),$E161),0)</f>
        <v>0</v>
      </c>
      <c r="AF161" s="250">
        <f>IF(AF$6=$C161,IF(INDEX('Surface DEET'!$Q$9:$W$38,COLUMN(AF154)-COLUMN($E$5),1)&gt;0,INDEX('Surface DEET'!$Q$9:$W$38,COLUMN(AF154)-COLUMN($E$5),1),$E161),0)</f>
        <v>0</v>
      </c>
      <c r="AG161" s="250">
        <f>IF(AG$6=$C161,IF(INDEX('Surface DEET'!$Q$9:$W$38,COLUMN(AG154)-COLUMN($E$5),1)&gt;0,INDEX('Surface DEET'!$Q$9:$W$38,COLUMN(AG154)-COLUMN($E$5),1),$E161),0)</f>
        <v>0</v>
      </c>
      <c r="AH161" s="250">
        <f>IF(AH$6=$C161,IF(INDEX('Surface DEET'!$Q$9:$W$38,COLUMN(AH154)-COLUMN($E$5),1)&gt;0,INDEX('Surface DEET'!$Q$9:$W$38,COLUMN(AH154)-COLUMN($E$5),1),$E161),0)</f>
        <v>0</v>
      </c>
      <c r="AI161" s="250">
        <f>IF(AI$6=$C161,IF(INDEX('Surface DEET'!$Q$9:$W$38,COLUMN(AI154)-COLUMN($E$5),1)&gt;0,INDEX('Surface DEET'!$Q$9:$W$38,COLUMN(AI154)-COLUMN($E$5),1),$E161),0)</f>
        <v>0</v>
      </c>
    </row>
    <row r="162" spans="1:35">
      <c r="A162" s="691"/>
      <c r="B162" s="250" t="s">
        <v>540</v>
      </c>
      <c r="C162" s="30" t="s">
        <v>628</v>
      </c>
      <c r="D162" s="250" t="s">
        <v>630</v>
      </c>
      <c r="E162" s="250">
        <v>30</v>
      </c>
      <c r="F162" s="250">
        <f>IF(F$6=$C162,IF(INDEX('Surface DEET'!$Q$9:$W$38,COLUMN(F155)-COLUMN($E$5),4)&gt;0,INDEX('Surface DEET'!$Q$9:$W$38,COLUMN(F155)-COLUMN($E$5),4),$E162),0)</f>
        <v>0</v>
      </c>
      <c r="G162" s="250">
        <f>IF(G$6=$C162,IF(INDEX('Surface DEET'!$Q$9:$W$38,COLUMN(G155)-COLUMN($E$5),4)&gt;0,INDEX('Surface DEET'!$Q$9:$W$38,COLUMN(G155)-COLUMN($E$5),4),$E162),0)</f>
        <v>0</v>
      </c>
      <c r="H162" s="250">
        <f>IF(H$6=$C162,IF(INDEX('Surface DEET'!$Q$9:$W$38,COLUMN(H155)-COLUMN($E$5),4)&gt;0,INDEX('Surface DEET'!$Q$9:$W$38,COLUMN(H155)-COLUMN($E$5),4),$E162),0)</f>
        <v>0</v>
      </c>
      <c r="I162" s="250">
        <f>IF(I$6=$C162,IF(INDEX('Surface DEET'!$Q$9:$W$38,COLUMN(I155)-COLUMN($E$5),4)&gt;0,INDEX('Surface DEET'!$Q$9:$W$38,COLUMN(I155)-COLUMN($E$5),4),$E162),0)</f>
        <v>0</v>
      </c>
      <c r="J162" s="250">
        <f>IF(J$6=$C162,IF(INDEX('Surface DEET'!$Q$9:$W$38,COLUMN(J155)-COLUMN($E$5),4)&gt;0,INDEX('Surface DEET'!$Q$9:$W$38,COLUMN(J155)-COLUMN($E$5),4),$E162),0)</f>
        <v>0</v>
      </c>
      <c r="K162" s="250">
        <f>IF(K$6=$C162,IF(INDEX('Surface DEET'!$Q$9:$W$38,COLUMN(K155)-COLUMN($E$5),4)&gt;0,INDEX('Surface DEET'!$Q$9:$W$38,COLUMN(K155)-COLUMN($E$5),4),$E162),0)</f>
        <v>0</v>
      </c>
      <c r="L162" s="250">
        <f>IF(L$6=$C162,IF(INDEX('Surface DEET'!$Q$9:$W$38,COLUMN(L155)-COLUMN($E$5),4)&gt;0,INDEX('Surface DEET'!$Q$9:$W$38,COLUMN(L155)-COLUMN($E$5),4),$E162),0)</f>
        <v>0</v>
      </c>
      <c r="M162" s="250">
        <f>IF(M$6=$C162,IF(INDEX('Surface DEET'!$Q$9:$W$38,COLUMN(M155)-COLUMN($E$5),4)&gt;0,INDEX('Surface DEET'!$Q$9:$W$38,COLUMN(M155)-COLUMN($E$5),4),$E162),0)</f>
        <v>0</v>
      </c>
      <c r="N162" s="250">
        <f>IF(N$6=$C162,IF(INDEX('Surface DEET'!$Q$9:$W$38,COLUMN(N155)-COLUMN($E$5),4)&gt;0,INDEX('Surface DEET'!$Q$9:$W$38,COLUMN(N155)-COLUMN($E$5),4),$E162),0)</f>
        <v>0</v>
      </c>
      <c r="O162" s="250">
        <f>IF(O$6=$C162,IF(INDEX('Surface DEET'!$Q$9:$W$38,COLUMN(O155)-COLUMN($E$5),4)&gt;0,INDEX('Surface DEET'!$Q$9:$W$38,COLUMN(O155)-COLUMN($E$5),4),$E162),0)</f>
        <v>0</v>
      </c>
      <c r="P162" s="250">
        <f>IF(P$6=$C162,IF(INDEX('Surface DEET'!$Q$9:$W$38,COLUMN(P155)-COLUMN($E$5),4)&gt;0,INDEX('Surface DEET'!$Q$9:$W$38,COLUMN(P155)-COLUMN($E$5),4),$E162),0)</f>
        <v>0</v>
      </c>
      <c r="Q162" s="250">
        <f>IF(Q$6=$C162,IF(INDEX('Surface DEET'!$Q$9:$W$38,COLUMN(Q155)-COLUMN($E$5),4)&gt;0,INDEX('Surface DEET'!$Q$9:$W$38,COLUMN(Q155)-COLUMN($E$5),4),$E162),0)</f>
        <v>0</v>
      </c>
      <c r="R162" s="250">
        <f>IF(R$6=$C162,IF(INDEX('Surface DEET'!$Q$9:$W$38,COLUMN(R155)-COLUMN($E$5),4)&gt;0,INDEX('Surface DEET'!$Q$9:$W$38,COLUMN(R155)-COLUMN($E$5),4),$E162),0)</f>
        <v>0</v>
      </c>
      <c r="S162" s="250">
        <f>IF(S$6=$C162,IF(INDEX('Surface DEET'!$Q$9:$W$38,COLUMN(S155)-COLUMN($E$5),4)&gt;0,INDEX('Surface DEET'!$Q$9:$W$38,COLUMN(S155)-COLUMN($E$5),4),$E162),0)</f>
        <v>0</v>
      </c>
      <c r="T162" s="250">
        <f>IF(T$6=$C162,IF(INDEX('Surface DEET'!$Q$9:$W$38,COLUMN(T155)-COLUMN($E$5),4)&gt;0,INDEX('Surface DEET'!$Q$9:$W$38,COLUMN(T155)-COLUMN($E$5),4),$E162),0)</f>
        <v>0</v>
      </c>
      <c r="U162" s="250">
        <f>IF(U$6=$C162,IF(INDEX('Surface DEET'!$Q$9:$W$38,COLUMN(U155)-COLUMN($E$5),4)&gt;0,INDEX('Surface DEET'!$Q$9:$W$38,COLUMN(U155)-COLUMN($E$5),4),$E162),0)</f>
        <v>0</v>
      </c>
      <c r="V162" s="250">
        <f>IF(V$6=$C162,IF(INDEX('Surface DEET'!$Q$9:$W$38,COLUMN(V155)-COLUMN($E$5),4)&gt;0,INDEX('Surface DEET'!$Q$9:$W$38,COLUMN(V155)-COLUMN($E$5),4),$E162),0)</f>
        <v>0</v>
      </c>
      <c r="W162" s="250">
        <f>IF(W$6=$C162,IF(INDEX('Surface DEET'!$Q$9:$W$38,COLUMN(W155)-COLUMN($E$5),4)&gt;0,INDEX('Surface DEET'!$Q$9:$W$38,COLUMN(W155)-COLUMN($E$5),4),$E162),0)</f>
        <v>0</v>
      </c>
      <c r="X162" s="250">
        <f>IF(X$6=$C162,IF(INDEX('Surface DEET'!$Q$9:$W$38,COLUMN(X155)-COLUMN($E$5),4)&gt;0,INDEX('Surface DEET'!$Q$9:$W$38,COLUMN(X155)-COLUMN($E$5),4),$E162),0)</f>
        <v>0</v>
      </c>
      <c r="Y162" s="250">
        <f>IF(Y$6=$C162,IF(INDEX('Surface DEET'!$Q$9:$W$38,COLUMN(Y155)-COLUMN($E$5),4)&gt;0,INDEX('Surface DEET'!$Q$9:$W$38,COLUMN(Y155)-COLUMN($E$5),4),$E162),0)</f>
        <v>0</v>
      </c>
      <c r="Z162" s="250">
        <f>IF(Z$6=$C162,IF(INDEX('Surface DEET'!$Q$9:$W$38,COLUMN(Z155)-COLUMN($E$5),4)&gt;0,INDEX('Surface DEET'!$Q$9:$W$38,COLUMN(Z155)-COLUMN($E$5),4),$E162),0)</f>
        <v>0</v>
      </c>
      <c r="AA162" s="250">
        <f>IF(AA$6=$C162,IF(INDEX('Surface DEET'!$Q$9:$W$38,COLUMN(AA155)-COLUMN($E$5),4)&gt;0,INDEX('Surface DEET'!$Q$9:$W$38,COLUMN(AA155)-COLUMN($E$5),4),$E162),0)</f>
        <v>0</v>
      </c>
      <c r="AB162" s="250">
        <f>IF(AB$6=$C162,IF(INDEX('Surface DEET'!$Q$9:$W$38,COLUMN(AB155)-COLUMN($E$5),4)&gt;0,INDEX('Surface DEET'!$Q$9:$W$38,COLUMN(AB155)-COLUMN($E$5),4),$E162),0)</f>
        <v>0</v>
      </c>
      <c r="AC162" s="250">
        <f>IF(AC$6=$C162,IF(INDEX('Surface DEET'!$Q$9:$W$38,COLUMN(AC155)-COLUMN($E$5),4)&gt;0,INDEX('Surface DEET'!$Q$9:$W$38,COLUMN(AC155)-COLUMN($E$5),4),$E162),0)</f>
        <v>0</v>
      </c>
      <c r="AD162" s="250">
        <f>IF(AD$6=$C162,IF(INDEX('Surface DEET'!$Q$9:$W$38,COLUMN(AD155)-COLUMN($E$5),4)&gt;0,INDEX('Surface DEET'!$Q$9:$W$38,COLUMN(AD155)-COLUMN($E$5),4),$E162),0)</f>
        <v>0</v>
      </c>
      <c r="AE162" s="250">
        <f>IF(AE$6=$C162,IF(INDEX('Surface DEET'!$Q$9:$W$38,COLUMN(AE155)-COLUMN($E$5),4)&gt;0,INDEX('Surface DEET'!$Q$9:$W$38,COLUMN(AE155)-COLUMN($E$5),4),$E162),0)</f>
        <v>0</v>
      </c>
      <c r="AF162" s="250">
        <f>IF(AF$6=$C162,IF(INDEX('Surface DEET'!$Q$9:$W$38,COLUMN(AF155)-COLUMN($E$5),4)&gt;0,INDEX('Surface DEET'!$Q$9:$W$38,COLUMN(AF155)-COLUMN($E$5),4),$E162),0)</f>
        <v>0</v>
      </c>
      <c r="AG162" s="250">
        <f>IF(AG$6=$C162,IF(INDEX('Surface DEET'!$Q$9:$W$38,COLUMN(AG155)-COLUMN($E$5),4)&gt;0,INDEX('Surface DEET'!$Q$9:$W$38,COLUMN(AG155)-COLUMN($E$5),4),$E162),0)</f>
        <v>0</v>
      </c>
      <c r="AH162" s="250">
        <f>IF(AH$6=$C162,IF(INDEX('Surface DEET'!$Q$9:$W$38,COLUMN(AH155)-COLUMN($E$5),4)&gt;0,INDEX('Surface DEET'!$Q$9:$W$38,COLUMN(AH155)-COLUMN($E$5),4),$E162),0)</f>
        <v>0</v>
      </c>
      <c r="AI162" s="250">
        <f>IF(AI$6=$C162,IF(INDEX('Surface DEET'!$Q$9:$W$38,COLUMN(AI155)-COLUMN($E$5),4)&gt;0,INDEX('Surface DEET'!$Q$9:$W$38,COLUMN(AI155)-COLUMN($E$5),4),$E162),0)</f>
        <v>0</v>
      </c>
    </row>
    <row r="163" spans="1:35">
      <c r="A163" s="691"/>
      <c r="B163" s="250" t="s">
        <v>543</v>
      </c>
      <c r="C163" s="30" t="s">
        <v>628</v>
      </c>
      <c r="D163" s="250" t="s">
        <v>631</v>
      </c>
      <c r="E163" s="250">
        <v>40</v>
      </c>
      <c r="F163" s="250">
        <f>IF(F$6=$C163,IF(INDEX('Surface DEET'!$Q$9:$W$38,COLUMN(F156)-COLUMN($E$5),7)&gt;0,INDEX('Surface DEET'!$Q$9:$W$38,COLUMN(F156)-COLUMN($E$5),7),$E163),0)</f>
        <v>0</v>
      </c>
      <c r="G163" s="250">
        <f>IF(G$6=$C163,IF(INDEX('Surface DEET'!$Q$9:$W$38,COLUMN(G156)-COLUMN($E$5),7)&gt;0,INDEX('Surface DEET'!$Q$9:$W$38,COLUMN(G156)-COLUMN($E$5),7),$E163),0)</f>
        <v>0</v>
      </c>
      <c r="H163" s="250">
        <f>IF(H$6=$C163,IF(INDEX('Surface DEET'!$Q$9:$W$38,COLUMN(H156)-COLUMN($E$5),7)&gt;0,INDEX('Surface DEET'!$Q$9:$W$38,COLUMN(H156)-COLUMN($E$5),7),$E163),0)</f>
        <v>0</v>
      </c>
      <c r="I163" s="250">
        <f>IF(I$6=$C163,IF(INDEX('Surface DEET'!$Q$9:$W$38,COLUMN(I156)-COLUMN($E$5),7)&gt;0,INDEX('Surface DEET'!$Q$9:$W$38,COLUMN(I156)-COLUMN($E$5),7),$E163),0)</f>
        <v>0</v>
      </c>
      <c r="J163" s="250">
        <f>IF(J$6=$C163,IF(INDEX('Surface DEET'!$Q$9:$W$38,COLUMN(J156)-COLUMN($E$5),7)&gt;0,INDEX('Surface DEET'!$Q$9:$W$38,COLUMN(J156)-COLUMN($E$5),7),$E163),0)</f>
        <v>0</v>
      </c>
      <c r="K163" s="250">
        <f>IF(K$6=$C163,IF(INDEX('Surface DEET'!$Q$9:$W$38,COLUMN(K156)-COLUMN($E$5),7)&gt;0,INDEX('Surface DEET'!$Q$9:$W$38,COLUMN(K156)-COLUMN($E$5),7),$E163),0)</f>
        <v>0</v>
      </c>
      <c r="L163" s="250">
        <f>IF(L$6=$C163,IF(INDEX('Surface DEET'!$Q$9:$W$38,COLUMN(L156)-COLUMN($E$5),7)&gt;0,INDEX('Surface DEET'!$Q$9:$W$38,COLUMN(L156)-COLUMN($E$5),7),$E163),0)</f>
        <v>0</v>
      </c>
      <c r="M163" s="250">
        <f>IF(M$6=$C163,IF(INDEX('Surface DEET'!$Q$9:$W$38,COLUMN(M156)-COLUMN($E$5),7)&gt;0,INDEX('Surface DEET'!$Q$9:$W$38,COLUMN(M156)-COLUMN($E$5),7),$E163),0)</f>
        <v>0</v>
      </c>
      <c r="N163" s="250">
        <f>IF(N$6=$C163,IF(INDEX('Surface DEET'!$Q$9:$W$38,COLUMN(N156)-COLUMN($E$5),7)&gt;0,INDEX('Surface DEET'!$Q$9:$W$38,COLUMN(N156)-COLUMN($E$5),7),$E163),0)</f>
        <v>0</v>
      </c>
      <c r="O163" s="250">
        <f>IF(O$6=$C163,IF(INDEX('Surface DEET'!$Q$9:$W$38,COLUMN(O156)-COLUMN($E$5),7)&gt;0,INDEX('Surface DEET'!$Q$9:$W$38,COLUMN(O156)-COLUMN($E$5),7),$E163),0)</f>
        <v>0</v>
      </c>
      <c r="P163" s="250">
        <f>IF(P$6=$C163,IF(INDEX('Surface DEET'!$Q$9:$W$38,COLUMN(P156)-COLUMN($E$5),7)&gt;0,INDEX('Surface DEET'!$Q$9:$W$38,COLUMN(P156)-COLUMN($E$5),7),$E163),0)</f>
        <v>0</v>
      </c>
      <c r="Q163" s="250">
        <f>IF(Q$6=$C163,IF(INDEX('Surface DEET'!$Q$9:$W$38,COLUMN(Q156)-COLUMN($E$5),7)&gt;0,INDEX('Surface DEET'!$Q$9:$W$38,COLUMN(Q156)-COLUMN($E$5),7),$E163),0)</f>
        <v>0</v>
      </c>
      <c r="R163" s="250">
        <f>IF(R$6=$C163,IF(INDEX('Surface DEET'!$Q$9:$W$38,COLUMN(R156)-COLUMN($E$5),7)&gt;0,INDEX('Surface DEET'!$Q$9:$W$38,COLUMN(R156)-COLUMN($E$5),7),$E163),0)</f>
        <v>0</v>
      </c>
      <c r="S163" s="250">
        <f>IF(S$6=$C163,IF(INDEX('Surface DEET'!$Q$9:$W$38,COLUMN(S156)-COLUMN($E$5),7)&gt;0,INDEX('Surface DEET'!$Q$9:$W$38,COLUMN(S156)-COLUMN($E$5),7),$E163),0)</f>
        <v>0</v>
      </c>
      <c r="T163" s="250">
        <f>IF(T$6=$C163,IF(INDEX('Surface DEET'!$Q$9:$W$38,COLUMN(T156)-COLUMN($E$5),7)&gt;0,INDEX('Surface DEET'!$Q$9:$W$38,COLUMN(T156)-COLUMN($E$5),7),$E163),0)</f>
        <v>0</v>
      </c>
      <c r="U163" s="250">
        <f>IF(U$6=$C163,IF(INDEX('Surface DEET'!$Q$9:$W$38,COLUMN(U156)-COLUMN($E$5),7)&gt;0,INDEX('Surface DEET'!$Q$9:$W$38,COLUMN(U156)-COLUMN($E$5),7),$E163),0)</f>
        <v>0</v>
      </c>
      <c r="V163" s="250">
        <f>IF(V$6=$C163,IF(INDEX('Surface DEET'!$Q$9:$W$38,COLUMN(V156)-COLUMN($E$5),7)&gt;0,INDEX('Surface DEET'!$Q$9:$W$38,COLUMN(V156)-COLUMN($E$5),7),$E163),0)</f>
        <v>0</v>
      </c>
      <c r="W163" s="250">
        <f>IF(W$6=$C163,IF(INDEX('Surface DEET'!$Q$9:$W$38,COLUMN(W156)-COLUMN($E$5),7)&gt;0,INDEX('Surface DEET'!$Q$9:$W$38,COLUMN(W156)-COLUMN($E$5),7),$E163),0)</f>
        <v>0</v>
      </c>
      <c r="X163" s="250">
        <f>IF(X$6=$C163,IF(INDEX('Surface DEET'!$Q$9:$W$38,COLUMN(X156)-COLUMN($E$5),7)&gt;0,INDEX('Surface DEET'!$Q$9:$W$38,COLUMN(X156)-COLUMN($E$5),7),$E163),0)</f>
        <v>0</v>
      </c>
      <c r="Y163" s="250">
        <f>IF(Y$6=$C163,IF(INDEX('Surface DEET'!$Q$9:$W$38,COLUMN(Y156)-COLUMN($E$5),7)&gt;0,INDEX('Surface DEET'!$Q$9:$W$38,COLUMN(Y156)-COLUMN($E$5),7),$E163),0)</f>
        <v>0</v>
      </c>
      <c r="Z163" s="250">
        <f>IF(Z$6=$C163,IF(INDEX('Surface DEET'!$Q$9:$W$38,COLUMN(Z156)-COLUMN($E$5),7)&gt;0,INDEX('Surface DEET'!$Q$9:$W$38,COLUMN(Z156)-COLUMN($E$5),7),$E163),0)</f>
        <v>0</v>
      </c>
      <c r="AA163" s="250">
        <f>IF(AA$6=$C163,IF(INDEX('Surface DEET'!$Q$9:$W$38,COLUMN(AA156)-COLUMN($E$5),7)&gt;0,INDEX('Surface DEET'!$Q$9:$W$38,COLUMN(AA156)-COLUMN($E$5),7),$E163),0)</f>
        <v>0</v>
      </c>
      <c r="AB163" s="250">
        <f>IF(AB$6=$C163,IF(INDEX('Surface DEET'!$Q$9:$W$38,COLUMN(AB156)-COLUMN($E$5),7)&gt;0,INDEX('Surface DEET'!$Q$9:$W$38,COLUMN(AB156)-COLUMN($E$5),7),$E163),0)</f>
        <v>0</v>
      </c>
      <c r="AC163" s="250">
        <f>IF(AC$6=$C163,IF(INDEX('Surface DEET'!$Q$9:$W$38,COLUMN(AC156)-COLUMN($E$5),7)&gt;0,INDEX('Surface DEET'!$Q$9:$W$38,COLUMN(AC156)-COLUMN($E$5),7),$E163),0)</f>
        <v>0</v>
      </c>
      <c r="AD163" s="250">
        <f>IF(AD$6=$C163,IF(INDEX('Surface DEET'!$Q$9:$W$38,COLUMN(AD156)-COLUMN($E$5),7)&gt;0,INDEX('Surface DEET'!$Q$9:$W$38,COLUMN(AD156)-COLUMN($E$5),7),$E163),0)</f>
        <v>0</v>
      </c>
      <c r="AE163" s="250">
        <f>IF(AE$6=$C163,IF(INDEX('Surface DEET'!$Q$9:$W$38,COLUMN(AE156)-COLUMN($E$5),7)&gt;0,INDEX('Surface DEET'!$Q$9:$W$38,COLUMN(AE156)-COLUMN($E$5),7),$E163),0)</f>
        <v>0</v>
      </c>
      <c r="AF163" s="250">
        <f>IF(AF$6=$C163,IF(INDEX('Surface DEET'!$Q$9:$W$38,COLUMN(AF156)-COLUMN($E$5),7)&gt;0,INDEX('Surface DEET'!$Q$9:$W$38,COLUMN(AF156)-COLUMN($E$5),7),$E163),0)</f>
        <v>0</v>
      </c>
      <c r="AG163" s="250">
        <f>IF(AG$6=$C163,IF(INDEX('Surface DEET'!$Q$9:$W$38,COLUMN(AG156)-COLUMN($E$5),7)&gt;0,INDEX('Surface DEET'!$Q$9:$W$38,COLUMN(AG156)-COLUMN($E$5),7),$E163),0)</f>
        <v>0</v>
      </c>
      <c r="AH163" s="250">
        <f>IF(AH$6=$C163,IF(INDEX('Surface DEET'!$Q$9:$W$38,COLUMN(AH156)-COLUMN($E$5),7)&gt;0,INDEX('Surface DEET'!$Q$9:$W$38,COLUMN(AH156)-COLUMN($E$5),7),$E163),0)</f>
        <v>0</v>
      </c>
      <c r="AI163" s="250">
        <f>IF(AI$6=$C163,IF(INDEX('Surface DEET'!$Q$9:$W$38,COLUMN(AI156)-COLUMN($E$5),7)&gt;0,INDEX('Surface DEET'!$Q$9:$W$38,COLUMN(AI156)-COLUMN($E$5),7),$E163),0)</f>
        <v>0</v>
      </c>
    </row>
    <row r="164" spans="1:35">
      <c r="A164" s="691"/>
      <c r="B164" s="250" t="s">
        <v>533</v>
      </c>
      <c r="C164" s="30" t="s">
        <v>628</v>
      </c>
      <c r="D164" s="250" t="s">
        <v>533</v>
      </c>
      <c r="F164" s="250">
        <f>IFERROR($E$158*(F161/$E$161+$E$160*(F163/$E$163)*($E$162/F162)+(1-$E$160))+0.28*$E$157*(F161-$E$161)/$E$161,0)</f>
        <v>0</v>
      </c>
      <c r="G164" s="250">
        <f t="shared" ref="G164:AI164" si="19">IFERROR($E$158*(G161/$E$161+$E$160*(G163/$E$163)*($E$162/G162)+1-$E$160)+0.28*$E$157*(G161-$E$161)/$E$161,0)</f>
        <v>0</v>
      </c>
      <c r="H164" s="250">
        <f t="shared" si="19"/>
        <v>0</v>
      </c>
      <c r="I164" s="250">
        <f t="shared" si="19"/>
        <v>0</v>
      </c>
      <c r="J164" s="250">
        <f t="shared" si="19"/>
        <v>0</v>
      </c>
      <c r="K164" s="250">
        <f t="shared" si="19"/>
        <v>0</v>
      </c>
      <c r="L164" s="250">
        <f t="shared" si="19"/>
        <v>0</v>
      </c>
      <c r="M164" s="250">
        <f t="shared" si="19"/>
        <v>0</v>
      </c>
      <c r="N164" s="250">
        <f t="shared" si="19"/>
        <v>0</v>
      </c>
      <c r="O164" s="250">
        <f t="shared" si="19"/>
        <v>0</v>
      </c>
      <c r="P164" s="250">
        <f t="shared" si="19"/>
        <v>0</v>
      </c>
      <c r="Q164" s="250">
        <f t="shared" si="19"/>
        <v>0</v>
      </c>
      <c r="R164" s="250">
        <f t="shared" si="19"/>
        <v>0</v>
      </c>
      <c r="S164" s="250">
        <f t="shared" si="19"/>
        <v>0</v>
      </c>
      <c r="T164" s="250">
        <f t="shared" si="19"/>
        <v>0</v>
      </c>
      <c r="U164" s="250">
        <f t="shared" si="19"/>
        <v>0</v>
      </c>
      <c r="V164" s="250">
        <f t="shared" si="19"/>
        <v>0</v>
      </c>
      <c r="W164" s="250">
        <f t="shared" si="19"/>
        <v>0</v>
      </c>
      <c r="X164" s="250">
        <f t="shared" si="19"/>
        <v>0</v>
      </c>
      <c r="Y164" s="250">
        <f t="shared" si="19"/>
        <v>0</v>
      </c>
      <c r="Z164" s="250">
        <f t="shared" si="19"/>
        <v>0</v>
      </c>
      <c r="AA164" s="250">
        <f t="shared" si="19"/>
        <v>0</v>
      </c>
      <c r="AB164" s="250">
        <f t="shared" si="19"/>
        <v>0</v>
      </c>
      <c r="AC164" s="250">
        <f t="shared" si="19"/>
        <v>0</v>
      </c>
      <c r="AD164" s="250">
        <f t="shared" si="19"/>
        <v>0</v>
      </c>
      <c r="AE164" s="250">
        <f t="shared" si="19"/>
        <v>0</v>
      </c>
      <c r="AF164" s="250">
        <f t="shared" si="19"/>
        <v>0</v>
      </c>
      <c r="AG164" s="250">
        <f t="shared" si="19"/>
        <v>0</v>
      </c>
      <c r="AH164" s="250">
        <f t="shared" si="19"/>
        <v>0</v>
      </c>
      <c r="AI164" s="250">
        <f t="shared" si="19"/>
        <v>0</v>
      </c>
    </row>
    <row r="165" spans="1:35">
      <c r="B165" s="88" t="s">
        <v>294</v>
      </c>
      <c r="C165" s="250" t="s">
        <v>632</v>
      </c>
      <c r="D165" s="88" t="s">
        <v>294</v>
      </c>
      <c r="E165" s="250">
        <f t="array" ref="E165">INDEX(CABS_CVC!$C$3:$O$894,MATCH(1, (CABS_CVC!$A$3:$A$894=Calculs_CABS!C165)*(CABS_CVC!$B$3:$B$894=Calculs_CABS!$D$2),0),MATCH(Calculs_CABS!$D$1,Liste_CABS!$B$3:$B$15,0))</f>
        <v>92</v>
      </c>
    </row>
    <row r="166" spans="1:35">
      <c r="B166" s="250" t="s">
        <v>534</v>
      </c>
      <c r="C166" s="250" t="s">
        <v>632</v>
      </c>
      <c r="D166" s="250" t="s">
        <v>534</v>
      </c>
      <c r="E166" s="250">
        <v>289</v>
      </c>
    </row>
    <row r="167" spans="1:35">
      <c r="B167" s="250" t="s">
        <v>535</v>
      </c>
      <c r="C167" s="250" t="s">
        <v>632</v>
      </c>
      <c r="D167" s="250" t="s">
        <v>535</v>
      </c>
      <c r="E167" s="250">
        <f>E165+E166</f>
        <v>381</v>
      </c>
    </row>
    <row r="168" spans="1:35">
      <c r="B168" s="250" t="s">
        <v>536</v>
      </c>
      <c r="C168" s="250" t="s">
        <v>632</v>
      </c>
      <c r="D168" s="250" t="s">
        <v>536</v>
      </c>
      <c r="E168" s="250">
        <v>0.87</v>
      </c>
    </row>
    <row r="169" spans="1:35">
      <c r="B169" s="250" t="s">
        <v>537</v>
      </c>
      <c r="C169" s="250" t="s">
        <v>632</v>
      </c>
      <c r="D169" s="250" t="s">
        <v>633</v>
      </c>
      <c r="E169" s="250">
        <v>8760</v>
      </c>
      <c r="F169" s="250">
        <f>IF(F$6=$C169,IF(INDEX('Surface DEET'!$Q$9:$W$38,COLUMN(F162)-COLUMN($E$5),1)&gt;0,INDEX('Surface DEET'!$Q$9:$W$38,COLUMN(F162)-COLUMN($E$5),1),$E169),0)</f>
        <v>0</v>
      </c>
      <c r="G169" s="250">
        <f>IF(G$6=$C169,IF(INDEX('Surface DEET'!$Q$9:$W$38,COLUMN(G162)-COLUMN($E$5),1)&gt;0,INDEX('Surface DEET'!$Q$9:$W$38,COLUMN(G162)-COLUMN($E$5),1),$E169),0)</f>
        <v>0</v>
      </c>
      <c r="H169" s="250">
        <f>IF(H$6=$C169,IF(INDEX('Surface DEET'!$Q$9:$W$38,COLUMN(H162)-COLUMN($E$5),1)&gt;0,INDEX('Surface DEET'!$Q$9:$W$38,COLUMN(H162)-COLUMN($E$5),1),$E169),0)</f>
        <v>0</v>
      </c>
      <c r="I169" s="250">
        <f>IF(I$6=$C169,IF(INDEX('Surface DEET'!$Q$9:$W$38,COLUMN(I162)-COLUMN($E$5),1)&gt;0,INDEX('Surface DEET'!$Q$9:$W$38,COLUMN(I162)-COLUMN($E$5),1),$E169),0)</f>
        <v>0</v>
      </c>
      <c r="J169" s="250">
        <f>IF(J$6=$C169,IF(INDEX('Surface DEET'!$Q$9:$W$38,COLUMN(J162)-COLUMN($E$5),1)&gt;0,INDEX('Surface DEET'!$Q$9:$W$38,COLUMN(J162)-COLUMN($E$5),1),$E169),0)</f>
        <v>0</v>
      </c>
      <c r="K169" s="250">
        <f>IF(K$6=$C169,IF(INDEX('Surface DEET'!$Q$9:$W$38,COLUMN(K162)-COLUMN($E$5),1)&gt;0,INDEX('Surface DEET'!$Q$9:$W$38,COLUMN(K162)-COLUMN($E$5),1),$E169),0)</f>
        <v>0</v>
      </c>
      <c r="L169" s="250">
        <f>IF(L$6=$C169,IF(INDEX('Surface DEET'!$Q$9:$W$38,COLUMN(L162)-COLUMN($E$5),1)&gt;0,INDEX('Surface DEET'!$Q$9:$W$38,COLUMN(L162)-COLUMN($E$5),1),$E169),0)</f>
        <v>0</v>
      </c>
      <c r="M169" s="250">
        <f>IF(M$6=$C169,IF(INDEX('Surface DEET'!$Q$9:$W$38,COLUMN(M162)-COLUMN($E$5),1)&gt;0,INDEX('Surface DEET'!$Q$9:$W$38,COLUMN(M162)-COLUMN($E$5),1),$E169),0)</f>
        <v>0</v>
      </c>
      <c r="N169" s="250">
        <f>IF(N$6=$C169,IF(INDEX('Surface DEET'!$Q$9:$W$38,COLUMN(N162)-COLUMN($E$5),1)&gt;0,INDEX('Surface DEET'!$Q$9:$W$38,COLUMN(N162)-COLUMN($E$5),1),$E169),0)</f>
        <v>0</v>
      </c>
      <c r="O169" s="250">
        <f>IF(O$6=$C169,IF(INDEX('Surface DEET'!$Q$9:$W$38,COLUMN(O162)-COLUMN($E$5),1)&gt;0,INDEX('Surface DEET'!$Q$9:$W$38,COLUMN(O162)-COLUMN($E$5),1),$E169),0)</f>
        <v>0</v>
      </c>
      <c r="P169" s="250">
        <f>IF(P$6=$C169,IF(INDEX('Surface DEET'!$Q$9:$W$38,COLUMN(P162)-COLUMN($E$5),1)&gt;0,INDEX('Surface DEET'!$Q$9:$W$38,COLUMN(P162)-COLUMN($E$5),1),$E169),0)</f>
        <v>0</v>
      </c>
      <c r="Q169" s="250">
        <f>IF(Q$6=$C169,IF(INDEX('Surface DEET'!$Q$9:$W$38,COLUMN(Q162)-COLUMN($E$5),1)&gt;0,INDEX('Surface DEET'!$Q$9:$W$38,COLUMN(Q162)-COLUMN($E$5),1),$E169),0)</f>
        <v>0</v>
      </c>
      <c r="R169" s="250">
        <f>IF(R$6=$C169,IF(INDEX('Surface DEET'!$Q$9:$W$38,COLUMN(R162)-COLUMN($E$5),1)&gt;0,INDEX('Surface DEET'!$Q$9:$W$38,COLUMN(R162)-COLUMN($E$5),1),$E169),0)</f>
        <v>0</v>
      </c>
      <c r="S169" s="250">
        <f>IF(S$6=$C169,IF(INDEX('Surface DEET'!$Q$9:$W$38,COLUMN(S162)-COLUMN($E$5),1)&gt;0,INDEX('Surface DEET'!$Q$9:$W$38,COLUMN(S162)-COLUMN($E$5),1),$E169),0)</f>
        <v>0</v>
      </c>
      <c r="T169" s="250">
        <f>IF(T$6=$C169,IF(INDEX('Surface DEET'!$Q$9:$W$38,COLUMN(T162)-COLUMN($E$5),1)&gt;0,INDEX('Surface DEET'!$Q$9:$W$38,COLUMN(T162)-COLUMN($E$5),1),$E169),0)</f>
        <v>0</v>
      </c>
      <c r="U169" s="250">
        <f>IF(U$6=$C169,IF(INDEX('Surface DEET'!$Q$9:$W$38,COLUMN(U162)-COLUMN($E$5),1)&gt;0,INDEX('Surface DEET'!$Q$9:$W$38,COLUMN(U162)-COLUMN($E$5),1),$E169),0)</f>
        <v>0</v>
      </c>
      <c r="V169" s="250">
        <f>IF(V$6=$C169,IF(INDEX('Surface DEET'!$Q$9:$W$38,COLUMN(V162)-COLUMN($E$5),1)&gt;0,INDEX('Surface DEET'!$Q$9:$W$38,COLUMN(V162)-COLUMN($E$5),1),$E169),0)</f>
        <v>0</v>
      </c>
      <c r="W169" s="250">
        <f>IF(W$6=$C169,IF(INDEX('Surface DEET'!$Q$9:$W$38,COLUMN(W162)-COLUMN($E$5),1)&gt;0,INDEX('Surface DEET'!$Q$9:$W$38,COLUMN(W162)-COLUMN($E$5),1),$E169),0)</f>
        <v>0</v>
      </c>
      <c r="X169" s="250">
        <f>IF(X$6=$C169,IF(INDEX('Surface DEET'!$Q$9:$W$38,COLUMN(X162)-COLUMN($E$5),1)&gt;0,INDEX('Surface DEET'!$Q$9:$W$38,COLUMN(X162)-COLUMN($E$5),1),$E169),0)</f>
        <v>0</v>
      </c>
      <c r="Y169" s="250">
        <f>IF(Y$6=$C169,IF(INDEX('Surface DEET'!$Q$9:$W$38,COLUMN(Y162)-COLUMN($E$5),1)&gt;0,INDEX('Surface DEET'!$Q$9:$W$38,COLUMN(Y162)-COLUMN($E$5),1),$E169),0)</f>
        <v>0</v>
      </c>
      <c r="Z169" s="250">
        <f>IF(Z$6=$C169,IF(INDEX('Surface DEET'!$Q$9:$W$38,COLUMN(Z162)-COLUMN($E$5),1)&gt;0,INDEX('Surface DEET'!$Q$9:$W$38,COLUMN(Z162)-COLUMN($E$5),1),$E169),0)</f>
        <v>0</v>
      </c>
      <c r="AA169" s="250">
        <f>IF(AA$6=$C169,IF(INDEX('Surface DEET'!$Q$9:$W$38,COLUMN(AA162)-COLUMN($E$5),1)&gt;0,INDEX('Surface DEET'!$Q$9:$W$38,COLUMN(AA162)-COLUMN($E$5),1),$E169),0)</f>
        <v>0</v>
      </c>
      <c r="AB169" s="250">
        <f>IF(AB$6=$C169,IF(INDEX('Surface DEET'!$Q$9:$W$38,COLUMN(AB162)-COLUMN($E$5),1)&gt;0,INDEX('Surface DEET'!$Q$9:$W$38,COLUMN(AB162)-COLUMN($E$5),1),$E169),0)</f>
        <v>0</v>
      </c>
      <c r="AC169" s="250">
        <f>IF(AC$6=$C169,IF(INDEX('Surface DEET'!$Q$9:$W$38,COLUMN(AC162)-COLUMN($E$5),1)&gt;0,INDEX('Surface DEET'!$Q$9:$W$38,COLUMN(AC162)-COLUMN($E$5),1),$E169),0)</f>
        <v>0</v>
      </c>
      <c r="AD169" s="250">
        <f>IF(AD$6=$C169,IF(INDEX('Surface DEET'!$Q$9:$W$38,COLUMN(AD162)-COLUMN($E$5),1)&gt;0,INDEX('Surface DEET'!$Q$9:$W$38,COLUMN(AD162)-COLUMN($E$5),1),$E169),0)</f>
        <v>0</v>
      </c>
      <c r="AE169" s="250">
        <f>IF(AE$6=$C169,IF(INDEX('Surface DEET'!$Q$9:$W$38,COLUMN(AE162)-COLUMN($E$5),1)&gt;0,INDEX('Surface DEET'!$Q$9:$W$38,COLUMN(AE162)-COLUMN($E$5),1),$E169),0)</f>
        <v>0</v>
      </c>
      <c r="AF169" s="250">
        <f>IF(AF$6=$C169,IF(INDEX('Surface DEET'!$Q$9:$W$38,COLUMN(AF162)-COLUMN($E$5),1)&gt;0,INDEX('Surface DEET'!$Q$9:$W$38,COLUMN(AF162)-COLUMN($E$5),1),$E169),0)</f>
        <v>0</v>
      </c>
      <c r="AG169" s="250">
        <f>IF(AG$6=$C169,IF(INDEX('Surface DEET'!$Q$9:$W$38,COLUMN(AG162)-COLUMN($E$5),1)&gt;0,INDEX('Surface DEET'!$Q$9:$W$38,COLUMN(AG162)-COLUMN($E$5),1),$E169),0)</f>
        <v>0</v>
      </c>
      <c r="AH169" s="250">
        <f>IF(AH$6=$C169,IF(INDEX('Surface DEET'!$Q$9:$W$38,COLUMN(AH162)-COLUMN($E$5),1)&gt;0,INDEX('Surface DEET'!$Q$9:$W$38,COLUMN(AH162)-COLUMN($E$5),1),$E169),0)</f>
        <v>0</v>
      </c>
      <c r="AI169" s="250">
        <f>IF(AI$6=$C169,IF(INDEX('Surface DEET'!$Q$9:$W$38,COLUMN(AI162)-COLUMN($E$5),1)&gt;0,INDEX('Surface DEET'!$Q$9:$W$38,COLUMN(AI162)-COLUMN($E$5),1),$E169),0)</f>
        <v>0</v>
      </c>
    </row>
    <row r="170" spans="1:35">
      <c r="B170" s="250" t="s">
        <v>540</v>
      </c>
      <c r="C170" s="250" t="s">
        <v>632</v>
      </c>
      <c r="D170" s="250" t="s">
        <v>634</v>
      </c>
      <c r="E170" s="250">
        <v>15</v>
      </c>
      <c r="F170" s="250">
        <f>IF(F$6=$C170,IF(INDEX('Surface DEET'!$Q$9:$W$38,COLUMN(F163)-COLUMN($E$5),4)&gt;0,INDEX('Surface DEET'!$Q$9:$W$38,COLUMN(F163)-COLUMN($E$5),4),$E170),0)</f>
        <v>0</v>
      </c>
      <c r="G170" s="250">
        <f>IF(G$6=$C170,IF(INDEX('Surface DEET'!$Q$9:$W$38,COLUMN(G163)-COLUMN($E$5),4)&gt;0,INDEX('Surface DEET'!$Q$9:$W$38,COLUMN(G163)-COLUMN($E$5),4),$E170),0)</f>
        <v>0</v>
      </c>
      <c r="H170" s="250">
        <f>IF(H$6=$C170,IF(INDEX('Surface DEET'!$Q$9:$W$38,COLUMN(H163)-COLUMN($E$5),4)&gt;0,INDEX('Surface DEET'!$Q$9:$W$38,COLUMN(H163)-COLUMN($E$5),4),$E170),0)</f>
        <v>0</v>
      </c>
      <c r="I170" s="250">
        <f>IF(I$6=$C170,IF(INDEX('Surface DEET'!$Q$9:$W$38,COLUMN(I163)-COLUMN($E$5),4)&gt;0,INDEX('Surface DEET'!$Q$9:$W$38,COLUMN(I163)-COLUMN($E$5),4),$E170),0)</f>
        <v>0</v>
      </c>
      <c r="J170" s="250">
        <f>IF(J$6=$C170,IF(INDEX('Surface DEET'!$Q$9:$W$38,COLUMN(J163)-COLUMN($E$5),4)&gt;0,INDEX('Surface DEET'!$Q$9:$W$38,COLUMN(J163)-COLUMN($E$5),4),$E170),0)</f>
        <v>0</v>
      </c>
      <c r="K170" s="250">
        <f>IF(K$6=$C170,IF(INDEX('Surface DEET'!$Q$9:$W$38,COLUMN(K163)-COLUMN($E$5),4)&gt;0,INDEX('Surface DEET'!$Q$9:$W$38,COLUMN(K163)-COLUMN($E$5),4),$E170),0)</f>
        <v>0</v>
      </c>
      <c r="L170" s="250">
        <f>IF(L$6=$C170,IF(INDEX('Surface DEET'!$Q$9:$W$38,COLUMN(L163)-COLUMN($E$5),4)&gt;0,INDEX('Surface DEET'!$Q$9:$W$38,COLUMN(L163)-COLUMN($E$5),4),$E170),0)</f>
        <v>0</v>
      </c>
      <c r="M170" s="250">
        <f>IF(M$6=$C170,IF(INDEX('Surface DEET'!$Q$9:$W$38,COLUMN(M163)-COLUMN($E$5),4)&gt;0,INDEX('Surface DEET'!$Q$9:$W$38,COLUMN(M163)-COLUMN($E$5),4),$E170),0)</f>
        <v>0</v>
      </c>
      <c r="N170" s="250">
        <f>IF(N$6=$C170,IF(INDEX('Surface DEET'!$Q$9:$W$38,COLUMN(N163)-COLUMN($E$5),4)&gt;0,INDEX('Surface DEET'!$Q$9:$W$38,COLUMN(N163)-COLUMN($E$5),4),$E170),0)</f>
        <v>0</v>
      </c>
      <c r="O170" s="250">
        <f>IF(O$6=$C170,IF(INDEX('Surface DEET'!$Q$9:$W$38,COLUMN(O163)-COLUMN($E$5),4)&gt;0,INDEX('Surface DEET'!$Q$9:$W$38,COLUMN(O163)-COLUMN($E$5),4),$E170),0)</f>
        <v>0</v>
      </c>
      <c r="P170" s="250">
        <f>IF(P$6=$C170,IF(INDEX('Surface DEET'!$Q$9:$W$38,COLUMN(P163)-COLUMN($E$5),4)&gt;0,INDEX('Surface DEET'!$Q$9:$W$38,COLUMN(P163)-COLUMN($E$5),4),$E170),0)</f>
        <v>0</v>
      </c>
      <c r="Q170" s="250">
        <f>IF(Q$6=$C170,IF(INDEX('Surface DEET'!$Q$9:$W$38,COLUMN(Q163)-COLUMN($E$5),4)&gt;0,INDEX('Surface DEET'!$Q$9:$W$38,COLUMN(Q163)-COLUMN($E$5),4),$E170),0)</f>
        <v>0</v>
      </c>
      <c r="R170" s="250">
        <f>IF(R$6=$C170,IF(INDEX('Surface DEET'!$Q$9:$W$38,COLUMN(R163)-COLUMN($E$5),4)&gt;0,INDEX('Surface DEET'!$Q$9:$W$38,COLUMN(R163)-COLUMN($E$5),4),$E170),0)</f>
        <v>0</v>
      </c>
      <c r="S170" s="250">
        <f>IF(S$6=$C170,IF(INDEX('Surface DEET'!$Q$9:$W$38,COLUMN(S163)-COLUMN($E$5),4)&gt;0,INDEX('Surface DEET'!$Q$9:$W$38,COLUMN(S163)-COLUMN($E$5),4),$E170),0)</f>
        <v>0</v>
      </c>
      <c r="T170" s="250">
        <f>IF(T$6=$C170,IF(INDEX('Surface DEET'!$Q$9:$W$38,COLUMN(T163)-COLUMN($E$5),4)&gt;0,INDEX('Surface DEET'!$Q$9:$W$38,COLUMN(T163)-COLUMN($E$5),4),$E170),0)</f>
        <v>0</v>
      </c>
      <c r="U170" s="250">
        <f>IF(U$6=$C170,IF(INDEX('Surface DEET'!$Q$9:$W$38,COLUMN(U163)-COLUMN($E$5),4)&gt;0,INDEX('Surface DEET'!$Q$9:$W$38,COLUMN(U163)-COLUMN($E$5),4),$E170),0)</f>
        <v>0</v>
      </c>
      <c r="V170" s="250">
        <f>IF(V$6=$C170,IF(INDEX('Surface DEET'!$Q$9:$W$38,COLUMN(V163)-COLUMN($E$5),4)&gt;0,INDEX('Surface DEET'!$Q$9:$W$38,COLUMN(V163)-COLUMN($E$5),4),$E170),0)</f>
        <v>0</v>
      </c>
      <c r="W170" s="250">
        <f>IF(W$6=$C170,IF(INDEX('Surface DEET'!$Q$9:$W$38,COLUMN(W163)-COLUMN($E$5),4)&gt;0,INDEX('Surface DEET'!$Q$9:$W$38,COLUMN(W163)-COLUMN($E$5),4),$E170),0)</f>
        <v>0</v>
      </c>
      <c r="X170" s="250">
        <f>IF(X$6=$C170,IF(INDEX('Surface DEET'!$Q$9:$W$38,COLUMN(X163)-COLUMN($E$5),4)&gt;0,INDEX('Surface DEET'!$Q$9:$W$38,COLUMN(X163)-COLUMN($E$5),4),$E170),0)</f>
        <v>0</v>
      </c>
      <c r="Y170" s="250">
        <f>IF(Y$6=$C170,IF(INDEX('Surface DEET'!$Q$9:$W$38,COLUMN(Y163)-COLUMN($E$5),4)&gt;0,INDEX('Surface DEET'!$Q$9:$W$38,COLUMN(Y163)-COLUMN($E$5),4),$E170),0)</f>
        <v>0</v>
      </c>
      <c r="Z170" s="250">
        <f>IF(Z$6=$C170,IF(INDEX('Surface DEET'!$Q$9:$W$38,COLUMN(Z163)-COLUMN($E$5),4)&gt;0,INDEX('Surface DEET'!$Q$9:$W$38,COLUMN(Z163)-COLUMN($E$5),4),$E170),0)</f>
        <v>0</v>
      </c>
      <c r="AA170" s="250">
        <f>IF(AA$6=$C170,IF(INDEX('Surface DEET'!$Q$9:$W$38,COLUMN(AA163)-COLUMN($E$5),4)&gt;0,INDEX('Surface DEET'!$Q$9:$W$38,COLUMN(AA163)-COLUMN($E$5),4),$E170),0)</f>
        <v>0</v>
      </c>
      <c r="AB170" s="250">
        <f>IF(AB$6=$C170,IF(INDEX('Surface DEET'!$Q$9:$W$38,COLUMN(AB163)-COLUMN($E$5),4)&gt;0,INDEX('Surface DEET'!$Q$9:$W$38,COLUMN(AB163)-COLUMN($E$5),4),$E170),0)</f>
        <v>0</v>
      </c>
      <c r="AC170" s="250">
        <f>IF(AC$6=$C170,IF(INDEX('Surface DEET'!$Q$9:$W$38,COLUMN(AC163)-COLUMN($E$5),4)&gt;0,INDEX('Surface DEET'!$Q$9:$W$38,COLUMN(AC163)-COLUMN($E$5),4),$E170),0)</f>
        <v>0</v>
      </c>
      <c r="AD170" s="250">
        <f>IF(AD$6=$C170,IF(INDEX('Surface DEET'!$Q$9:$W$38,COLUMN(AD163)-COLUMN($E$5),4)&gt;0,INDEX('Surface DEET'!$Q$9:$W$38,COLUMN(AD163)-COLUMN($E$5),4),$E170),0)</f>
        <v>0</v>
      </c>
      <c r="AE170" s="250">
        <f>IF(AE$6=$C170,IF(INDEX('Surface DEET'!$Q$9:$W$38,COLUMN(AE163)-COLUMN($E$5),4)&gt;0,INDEX('Surface DEET'!$Q$9:$W$38,COLUMN(AE163)-COLUMN($E$5),4),$E170),0)</f>
        <v>0</v>
      </c>
      <c r="AF170" s="250">
        <f>IF(AF$6=$C170,IF(INDEX('Surface DEET'!$Q$9:$W$38,COLUMN(AF163)-COLUMN($E$5),4)&gt;0,INDEX('Surface DEET'!$Q$9:$W$38,COLUMN(AF163)-COLUMN($E$5),4),$E170),0)</f>
        <v>0</v>
      </c>
      <c r="AG170" s="250">
        <f>IF(AG$6=$C170,IF(INDEX('Surface DEET'!$Q$9:$W$38,COLUMN(AG163)-COLUMN($E$5),4)&gt;0,INDEX('Surface DEET'!$Q$9:$W$38,COLUMN(AG163)-COLUMN($E$5),4),$E170),0)</f>
        <v>0</v>
      </c>
      <c r="AH170" s="250">
        <f>IF(AH$6=$C170,IF(INDEX('Surface DEET'!$Q$9:$W$38,COLUMN(AH163)-COLUMN($E$5),4)&gt;0,INDEX('Surface DEET'!$Q$9:$W$38,COLUMN(AH163)-COLUMN($E$5),4),$E170),0)</f>
        <v>0</v>
      </c>
      <c r="AI170" s="250">
        <f>IF(AI$6=$C170,IF(INDEX('Surface DEET'!$Q$9:$W$38,COLUMN(AI163)-COLUMN($E$5),4)&gt;0,INDEX('Surface DEET'!$Q$9:$W$38,COLUMN(AI163)-COLUMN($E$5),4),$E170),0)</f>
        <v>0</v>
      </c>
    </row>
    <row r="171" spans="1:35">
      <c r="B171" s="250" t="s">
        <v>543</v>
      </c>
      <c r="C171" s="250" t="s">
        <v>632</v>
      </c>
      <c r="D171" s="250" t="s">
        <v>631</v>
      </c>
      <c r="E171" s="250">
        <v>90</v>
      </c>
      <c r="F171" s="250">
        <f>IF(F$6=$C171,IF(INDEX('Surface DEET'!$Q$9:$W$38,COLUMN(F164)-COLUMN($E$5),7)&gt;0,INDEX('Surface DEET'!$Q$9:$W$38,COLUMN(F164)-COLUMN($E$5),7),$E171),0)</f>
        <v>0</v>
      </c>
      <c r="G171" s="250">
        <f>IF(G$6=$C171,IF(INDEX('Surface DEET'!$Q$9:$W$38,COLUMN(G164)-COLUMN($E$5),7)&gt;0,INDEX('Surface DEET'!$Q$9:$W$38,COLUMN(G164)-COLUMN($E$5),7),$E171),0)</f>
        <v>0</v>
      </c>
      <c r="H171" s="250">
        <f>IF(H$6=$C171,IF(INDEX('Surface DEET'!$Q$9:$W$38,COLUMN(H164)-COLUMN($E$5),7)&gt;0,INDEX('Surface DEET'!$Q$9:$W$38,COLUMN(H164)-COLUMN($E$5),7),$E171),0)</f>
        <v>0</v>
      </c>
      <c r="I171" s="250">
        <f>IF(I$6=$C171,IF(INDEX('Surface DEET'!$Q$9:$W$38,COLUMN(I164)-COLUMN($E$5),7)&gt;0,INDEX('Surface DEET'!$Q$9:$W$38,COLUMN(I164)-COLUMN($E$5),7),$E171),0)</f>
        <v>0</v>
      </c>
      <c r="J171" s="250">
        <f>IF(J$6=$C171,IF(INDEX('Surface DEET'!$Q$9:$W$38,COLUMN(J164)-COLUMN($E$5),7)&gt;0,INDEX('Surface DEET'!$Q$9:$W$38,COLUMN(J164)-COLUMN($E$5),7),$E171),0)</f>
        <v>0</v>
      </c>
      <c r="K171" s="250">
        <f>IF(K$6=$C171,IF(INDEX('Surface DEET'!$Q$9:$W$38,COLUMN(K164)-COLUMN($E$5),7)&gt;0,INDEX('Surface DEET'!$Q$9:$W$38,COLUMN(K164)-COLUMN($E$5),7),$E171),0)</f>
        <v>0</v>
      </c>
      <c r="L171" s="250">
        <f>IF(L$6=$C171,IF(INDEX('Surface DEET'!$Q$9:$W$38,COLUMN(L164)-COLUMN($E$5),7)&gt;0,INDEX('Surface DEET'!$Q$9:$W$38,COLUMN(L164)-COLUMN($E$5),7),$E171),0)</f>
        <v>0</v>
      </c>
      <c r="M171" s="250">
        <f>IF(M$6=$C171,IF(INDEX('Surface DEET'!$Q$9:$W$38,COLUMN(M164)-COLUMN($E$5),7)&gt;0,INDEX('Surface DEET'!$Q$9:$W$38,COLUMN(M164)-COLUMN($E$5),7),$E171),0)</f>
        <v>0</v>
      </c>
      <c r="N171" s="250">
        <f>IF(N$6=$C171,IF(INDEX('Surface DEET'!$Q$9:$W$38,COLUMN(N164)-COLUMN($E$5),7)&gt;0,INDEX('Surface DEET'!$Q$9:$W$38,COLUMN(N164)-COLUMN($E$5),7),$E171),0)</f>
        <v>0</v>
      </c>
      <c r="O171" s="250">
        <f>IF(O$6=$C171,IF(INDEX('Surface DEET'!$Q$9:$W$38,COLUMN(O164)-COLUMN($E$5),7)&gt;0,INDEX('Surface DEET'!$Q$9:$W$38,COLUMN(O164)-COLUMN($E$5),7),$E171),0)</f>
        <v>0</v>
      </c>
      <c r="P171" s="250">
        <f>IF(P$6=$C171,IF(INDEX('Surface DEET'!$Q$9:$W$38,COLUMN(P164)-COLUMN($E$5),7)&gt;0,INDEX('Surface DEET'!$Q$9:$W$38,COLUMN(P164)-COLUMN($E$5),7),$E171),0)</f>
        <v>0</v>
      </c>
      <c r="Q171" s="250">
        <f>IF(Q$6=$C171,IF(INDEX('Surface DEET'!$Q$9:$W$38,COLUMN(Q164)-COLUMN($E$5),7)&gt;0,INDEX('Surface DEET'!$Q$9:$W$38,COLUMN(Q164)-COLUMN($E$5),7),$E171),0)</f>
        <v>0</v>
      </c>
      <c r="R171" s="250">
        <f>IF(R$6=$C171,IF(INDEX('Surface DEET'!$Q$9:$W$38,COLUMN(R164)-COLUMN($E$5),7)&gt;0,INDEX('Surface DEET'!$Q$9:$W$38,COLUMN(R164)-COLUMN($E$5),7),$E171),0)</f>
        <v>0</v>
      </c>
      <c r="S171" s="250">
        <f>IF(S$6=$C171,IF(INDEX('Surface DEET'!$Q$9:$W$38,COLUMN(S164)-COLUMN($E$5),7)&gt;0,INDEX('Surface DEET'!$Q$9:$W$38,COLUMN(S164)-COLUMN($E$5),7),$E171),0)</f>
        <v>0</v>
      </c>
      <c r="T171" s="250">
        <f>IF(T$6=$C171,IF(INDEX('Surface DEET'!$Q$9:$W$38,COLUMN(T164)-COLUMN($E$5),7)&gt;0,INDEX('Surface DEET'!$Q$9:$W$38,COLUMN(T164)-COLUMN($E$5),7),$E171),0)</f>
        <v>0</v>
      </c>
      <c r="U171" s="250">
        <f>IF(U$6=$C171,IF(INDEX('Surface DEET'!$Q$9:$W$38,COLUMN(U164)-COLUMN($E$5),7)&gt;0,INDEX('Surface DEET'!$Q$9:$W$38,COLUMN(U164)-COLUMN($E$5),7),$E171),0)</f>
        <v>0</v>
      </c>
      <c r="V171" s="250">
        <f>IF(V$6=$C171,IF(INDEX('Surface DEET'!$Q$9:$W$38,COLUMN(V164)-COLUMN($E$5),7)&gt;0,INDEX('Surface DEET'!$Q$9:$W$38,COLUMN(V164)-COLUMN($E$5),7),$E171),0)</f>
        <v>0</v>
      </c>
      <c r="W171" s="250">
        <f>IF(W$6=$C171,IF(INDEX('Surface DEET'!$Q$9:$W$38,COLUMN(W164)-COLUMN($E$5),7)&gt;0,INDEX('Surface DEET'!$Q$9:$W$38,COLUMN(W164)-COLUMN($E$5),7),$E171),0)</f>
        <v>0</v>
      </c>
      <c r="X171" s="250">
        <f>IF(X$6=$C171,IF(INDEX('Surface DEET'!$Q$9:$W$38,COLUMN(X164)-COLUMN($E$5),7)&gt;0,INDEX('Surface DEET'!$Q$9:$W$38,COLUMN(X164)-COLUMN($E$5),7),$E171),0)</f>
        <v>0</v>
      </c>
      <c r="Y171" s="250">
        <f>IF(Y$6=$C171,IF(INDEX('Surface DEET'!$Q$9:$W$38,COLUMN(Y164)-COLUMN($E$5),7)&gt;0,INDEX('Surface DEET'!$Q$9:$W$38,COLUMN(Y164)-COLUMN($E$5),7),$E171),0)</f>
        <v>0</v>
      </c>
      <c r="Z171" s="250">
        <f>IF(Z$6=$C171,IF(INDEX('Surface DEET'!$Q$9:$W$38,COLUMN(Z164)-COLUMN($E$5),7)&gt;0,INDEX('Surface DEET'!$Q$9:$W$38,COLUMN(Z164)-COLUMN($E$5),7),$E171),0)</f>
        <v>0</v>
      </c>
      <c r="AA171" s="250">
        <f>IF(AA$6=$C171,IF(INDEX('Surface DEET'!$Q$9:$W$38,COLUMN(AA164)-COLUMN($E$5),7)&gt;0,INDEX('Surface DEET'!$Q$9:$W$38,COLUMN(AA164)-COLUMN($E$5),7),$E171),0)</f>
        <v>0</v>
      </c>
      <c r="AB171" s="250">
        <f>IF(AB$6=$C171,IF(INDEX('Surface DEET'!$Q$9:$W$38,COLUMN(AB164)-COLUMN($E$5),7)&gt;0,INDEX('Surface DEET'!$Q$9:$W$38,COLUMN(AB164)-COLUMN($E$5),7),$E171),0)</f>
        <v>0</v>
      </c>
      <c r="AC171" s="250">
        <f>IF(AC$6=$C171,IF(INDEX('Surface DEET'!$Q$9:$W$38,COLUMN(AC164)-COLUMN($E$5),7)&gt;0,INDEX('Surface DEET'!$Q$9:$W$38,COLUMN(AC164)-COLUMN($E$5),7),$E171),0)</f>
        <v>0</v>
      </c>
      <c r="AD171" s="250">
        <f>IF(AD$6=$C171,IF(INDEX('Surface DEET'!$Q$9:$W$38,COLUMN(AD164)-COLUMN($E$5),7)&gt;0,INDEX('Surface DEET'!$Q$9:$W$38,COLUMN(AD164)-COLUMN($E$5),7),$E171),0)</f>
        <v>0</v>
      </c>
      <c r="AE171" s="250">
        <f>IF(AE$6=$C171,IF(INDEX('Surface DEET'!$Q$9:$W$38,COLUMN(AE164)-COLUMN($E$5),7)&gt;0,INDEX('Surface DEET'!$Q$9:$W$38,COLUMN(AE164)-COLUMN($E$5),7),$E171),0)</f>
        <v>0</v>
      </c>
      <c r="AF171" s="250">
        <f>IF(AF$6=$C171,IF(INDEX('Surface DEET'!$Q$9:$W$38,COLUMN(AF164)-COLUMN($E$5),7)&gt;0,INDEX('Surface DEET'!$Q$9:$W$38,COLUMN(AF164)-COLUMN($E$5),7),$E171),0)</f>
        <v>0</v>
      </c>
      <c r="AG171" s="250">
        <f>IF(AG$6=$C171,IF(INDEX('Surface DEET'!$Q$9:$W$38,COLUMN(AG164)-COLUMN($E$5),7)&gt;0,INDEX('Surface DEET'!$Q$9:$W$38,COLUMN(AG164)-COLUMN($E$5),7),$E171),0)</f>
        <v>0</v>
      </c>
      <c r="AH171" s="250">
        <f>IF(AH$6=$C171,IF(INDEX('Surface DEET'!$Q$9:$W$38,COLUMN(AH164)-COLUMN($E$5),7)&gt;0,INDEX('Surface DEET'!$Q$9:$W$38,COLUMN(AH164)-COLUMN($E$5),7),$E171),0)</f>
        <v>0</v>
      </c>
      <c r="AI171" s="250">
        <f>IF(AI$6=$C171,IF(INDEX('Surface DEET'!$Q$9:$W$38,COLUMN(AI164)-COLUMN($E$5),7)&gt;0,INDEX('Surface DEET'!$Q$9:$W$38,COLUMN(AI164)-COLUMN($E$5),7),$E171),0)</f>
        <v>0</v>
      </c>
    </row>
    <row r="172" spans="1:35">
      <c r="B172" s="250" t="s">
        <v>533</v>
      </c>
      <c r="C172" s="250" t="s">
        <v>632</v>
      </c>
      <c r="D172" s="250" t="s">
        <v>533</v>
      </c>
      <c r="F172" s="250">
        <f>IFERROR($E$166*(F169/$E$169+$E$168*(F171/$E$171)*($E$170/F170)+(1-$E$168))+0.28*$E$165*(F169-$E$169)/$E$169,0)</f>
        <v>0</v>
      </c>
      <c r="G172" s="250">
        <f t="shared" ref="G172:AI172" si="20">IFERROR($E$166*(G169/$E$169+$E$168*(G171/$E$171)*($E$170/G170)+(1-$E$168))+0.28*$E$165*(G169-$E$169)/$E$169,0)</f>
        <v>0</v>
      </c>
      <c r="H172" s="250">
        <f t="shared" si="20"/>
        <v>0</v>
      </c>
      <c r="I172" s="250">
        <f t="shared" si="20"/>
        <v>0</v>
      </c>
      <c r="J172" s="250">
        <f t="shared" si="20"/>
        <v>0</v>
      </c>
      <c r="K172" s="250">
        <f t="shared" si="20"/>
        <v>0</v>
      </c>
      <c r="L172" s="250">
        <f t="shared" si="20"/>
        <v>0</v>
      </c>
      <c r="M172" s="250">
        <f t="shared" si="20"/>
        <v>0</v>
      </c>
      <c r="N172" s="250">
        <f t="shared" si="20"/>
        <v>0</v>
      </c>
      <c r="O172" s="250">
        <f t="shared" si="20"/>
        <v>0</v>
      </c>
      <c r="P172" s="250">
        <f t="shared" si="20"/>
        <v>0</v>
      </c>
      <c r="Q172" s="250">
        <f t="shared" si="20"/>
        <v>0</v>
      </c>
      <c r="R172" s="250">
        <f t="shared" si="20"/>
        <v>0</v>
      </c>
      <c r="S172" s="250">
        <f t="shared" si="20"/>
        <v>0</v>
      </c>
      <c r="T172" s="250">
        <f t="shared" si="20"/>
        <v>0</v>
      </c>
      <c r="U172" s="250">
        <f t="shared" si="20"/>
        <v>0</v>
      </c>
      <c r="V172" s="250">
        <f t="shared" si="20"/>
        <v>0</v>
      </c>
      <c r="W172" s="250">
        <f t="shared" si="20"/>
        <v>0</v>
      </c>
      <c r="X172" s="250">
        <f t="shared" si="20"/>
        <v>0</v>
      </c>
      <c r="Y172" s="250">
        <f t="shared" si="20"/>
        <v>0</v>
      </c>
      <c r="Z172" s="250">
        <f t="shared" si="20"/>
        <v>0</v>
      </c>
      <c r="AA172" s="250">
        <f t="shared" si="20"/>
        <v>0</v>
      </c>
      <c r="AB172" s="250">
        <f t="shared" si="20"/>
        <v>0</v>
      </c>
      <c r="AC172" s="250">
        <f t="shared" si="20"/>
        <v>0</v>
      </c>
      <c r="AD172" s="250">
        <f t="shared" si="20"/>
        <v>0</v>
      </c>
      <c r="AE172" s="250">
        <f t="shared" si="20"/>
        <v>0</v>
      </c>
      <c r="AF172" s="250">
        <f t="shared" si="20"/>
        <v>0</v>
      </c>
      <c r="AG172" s="250">
        <f t="shared" si="20"/>
        <v>0</v>
      </c>
      <c r="AH172" s="250">
        <f t="shared" si="20"/>
        <v>0</v>
      </c>
      <c r="AI172" s="250">
        <f t="shared" si="20"/>
        <v>0</v>
      </c>
    </row>
    <row r="173" spans="1:35">
      <c r="B173" s="88" t="s">
        <v>294</v>
      </c>
      <c r="C173" s="250" t="s">
        <v>635</v>
      </c>
      <c r="D173" s="88" t="s">
        <v>294</v>
      </c>
      <c r="E173" s="250">
        <f t="array" ref="E173">INDEX(CABS_CVC!$C$3:$O$894,MATCH(1, (CABS_CVC!$A$3:$A$894=Calculs_CABS!C173)*(CABS_CVC!$B$3:$B$894=Calculs_CABS!$D$2),0),MATCH(Calculs_CABS!$D$1,Liste_CABS!$B$3:$B$15,0))</f>
        <v>96</v>
      </c>
    </row>
    <row r="174" spans="1:35">
      <c r="B174" s="250" t="s">
        <v>534</v>
      </c>
      <c r="C174" s="250" t="s">
        <v>635</v>
      </c>
      <c r="D174" s="250" t="s">
        <v>534</v>
      </c>
      <c r="E174" s="250">
        <v>501</v>
      </c>
    </row>
    <row r="175" spans="1:35">
      <c r="B175" s="250" t="s">
        <v>535</v>
      </c>
      <c r="C175" s="250" t="s">
        <v>635</v>
      </c>
      <c r="D175" s="250" t="s">
        <v>535</v>
      </c>
      <c r="E175" s="250">
        <f>E173+E174</f>
        <v>597</v>
      </c>
    </row>
    <row r="176" spans="1:35">
      <c r="B176" s="250" t="s">
        <v>536</v>
      </c>
      <c r="C176" s="250" t="s">
        <v>635</v>
      </c>
      <c r="D176" s="250" t="s">
        <v>536</v>
      </c>
      <c r="E176" s="250">
        <v>0.94</v>
      </c>
    </row>
    <row r="177" spans="2:35">
      <c r="B177" s="250" t="s">
        <v>537</v>
      </c>
      <c r="C177" s="250" t="s">
        <v>635</v>
      </c>
      <c r="D177" s="250" t="s">
        <v>636</v>
      </c>
      <c r="E177" s="250">
        <v>3510</v>
      </c>
      <c r="F177" s="250">
        <f>IF(F$6=$C177,IF(INDEX('Surface DEET'!$Q$9:$W$38,COLUMN(F170)-COLUMN($E$5),1)&gt;0,INDEX('Surface DEET'!$Q$9:$W$38,COLUMN(F170)-COLUMN($E$5),1),$E177),0)</f>
        <v>0</v>
      </c>
      <c r="G177" s="250">
        <f>IF(G$6=$C177,IF(INDEX('Surface DEET'!$Q$9:$W$38,COLUMN(G170)-COLUMN($E$5),1)&gt;0,INDEX('Surface DEET'!$Q$9:$W$38,COLUMN(G170)-COLUMN($E$5),1),$E177),0)</f>
        <v>0</v>
      </c>
      <c r="H177" s="250">
        <f>IF(H$6=$C177,IF(INDEX('Surface DEET'!$Q$9:$W$38,COLUMN(H170)-COLUMN($E$5),1)&gt;0,INDEX('Surface DEET'!$Q$9:$W$38,COLUMN(H170)-COLUMN($E$5),1),$E177),0)</f>
        <v>0</v>
      </c>
      <c r="I177" s="250">
        <f>IF(I$6=$C177,IF(INDEX('Surface DEET'!$Q$9:$W$38,COLUMN(I170)-COLUMN($E$5),1)&gt;0,INDEX('Surface DEET'!$Q$9:$W$38,COLUMN(I170)-COLUMN($E$5),1),$E177),0)</f>
        <v>0</v>
      </c>
      <c r="J177" s="250">
        <f>IF(J$6=$C177,IF(INDEX('Surface DEET'!$Q$9:$W$38,COLUMN(J170)-COLUMN($E$5),1)&gt;0,INDEX('Surface DEET'!$Q$9:$W$38,COLUMN(J170)-COLUMN($E$5),1),$E177),0)</f>
        <v>0</v>
      </c>
      <c r="K177" s="250">
        <f>IF(K$6=$C177,IF(INDEX('Surface DEET'!$Q$9:$W$38,COLUMN(K170)-COLUMN($E$5),1)&gt;0,INDEX('Surface DEET'!$Q$9:$W$38,COLUMN(K170)-COLUMN($E$5),1),$E177),0)</f>
        <v>0</v>
      </c>
      <c r="L177" s="250">
        <f>IF(L$6=$C177,IF(INDEX('Surface DEET'!$Q$9:$W$38,COLUMN(L170)-COLUMN($E$5),1)&gt;0,INDEX('Surface DEET'!$Q$9:$W$38,COLUMN(L170)-COLUMN($E$5),1),$E177),0)</f>
        <v>0</v>
      </c>
      <c r="M177" s="250">
        <f>IF(M$6=$C177,IF(INDEX('Surface DEET'!$Q$9:$W$38,COLUMN(M170)-COLUMN($E$5),1)&gt;0,INDEX('Surface DEET'!$Q$9:$W$38,COLUMN(M170)-COLUMN($E$5),1),$E177),0)</f>
        <v>0</v>
      </c>
      <c r="N177" s="250">
        <f>IF(N$6=$C177,IF(INDEX('Surface DEET'!$Q$9:$W$38,COLUMN(N170)-COLUMN($E$5),1)&gt;0,INDEX('Surface DEET'!$Q$9:$W$38,COLUMN(N170)-COLUMN($E$5),1),$E177),0)</f>
        <v>0</v>
      </c>
      <c r="O177" s="250">
        <f>IF(O$6=$C177,IF(INDEX('Surface DEET'!$Q$9:$W$38,COLUMN(O170)-COLUMN($E$5),1)&gt;0,INDEX('Surface DEET'!$Q$9:$W$38,COLUMN(O170)-COLUMN($E$5),1),$E177),0)</f>
        <v>0</v>
      </c>
      <c r="P177" s="250">
        <f>IF(P$6=$C177,IF(INDEX('Surface DEET'!$Q$9:$W$38,COLUMN(P170)-COLUMN($E$5),1)&gt;0,INDEX('Surface DEET'!$Q$9:$W$38,COLUMN(P170)-COLUMN($E$5),1),$E177),0)</f>
        <v>0</v>
      </c>
      <c r="Q177" s="250">
        <f>IF(Q$6=$C177,IF(INDEX('Surface DEET'!$Q$9:$W$38,COLUMN(Q170)-COLUMN($E$5),1)&gt;0,INDEX('Surface DEET'!$Q$9:$W$38,COLUMN(Q170)-COLUMN($E$5),1),$E177),0)</f>
        <v>0</v>
      </c>
      <c r="R177" s="250">
        <f>IF(R$6=$C177,IF(INDEX('Surface DEET'!$Q$9:$W$38,COLUMN(R170)-COLUMN($E$5),1)&gt;0,INDEX('Surface DEET'!$Q$9:$W$38,COLUMN(R170)-COLUMN($E$5),1),$E177),0)</f>
        <v>0</v>
      </c>
      <c r="S177" s="250">
        <f>IF(S$6=$C177,IF(INDEX('Surface DEET'!$Q$9:$W$38,COLUMN(S170)-COLUMN($E$5),1)&gt;0,INDEX('Surface DEET'!$Q$9:$W$38,COLUMN(S170)-COLUMN($E$5),1),$E177),0)</f>
        <v>0</v>
      </c>
      <c r="T177" s="250">
        <f>IF(T$6=$C177,IF(INDEX('Surface DEET'!$Q$9:$W$38,COLUMN(T170)-COLUMN($E$5),1)&gt;0,INDEX('Surface DEET'!$Q$9:$W$38,COLUMN(T170)-COLUMN($E$5),1),$E177),0)</f>
        <v>0</v>
      </c>
      <c r="U177" s="250">
        <f>IF(U$6=$C177,IF(INDEX('Surface DEET'!$Q$9:$W$38,COLUMN(U170)-COLUMN($E$5),1)&gt;0,INDEX('Surface DEET'!$Q$9:$W$38,COLUMN(U170)-COLUMN($E$5),1),$E177),0)</f>
        <v>0</v>
      </c>
      <c r="V177" s="250">
        <f>IF(V$6=$C177,IF(INDEX('Surface DEET'!$Q$9:$W$38,COLUMN(V170)-COLUMN($E$5),1)&gt;0,INDEX('Surface DEET'!$Q$9:$W$38,COLUMN(V170)-COLUMN($E$5),1),$E177),0)</f>
        <v>0</v>
      </c>
      <c r="W177" s="250">
        <f>IF(W$6=$C177,IF(INDEX('Surface DEET'!$Q$9:$W$38,COLUMN(W170)-COLUMN($E$5),1)&gt;0,INDEX('Surface DEET'!$Q$9:$W$38,COLUMN(W170)-COLUMN($E$5),1),$E177),0)</f>
        <v>0</v>
      </c>
      <c r="X177" s="250">
        <f>IF(X$6=$C177,IF(INDEX('Surface DEET'!$Q$9:$W$38,COLUMN(X170)-COLUMN($E$5),1)&gt;0,INDEX('Surface DEET'!$Q$9:$W$38,COLUMN(X170)-COLUMN($E$5),1),$E177),0)</f>
        <v>0</v>
      </c>
      <c r="Y177" s="250">
        <f>IF(Y$6=$C177,IF(INDEX('Surface DEET'!$Q$9:$W$38,COLUMN(Y170)-COLUMN($E$5),1)&gt;0,INDEX('Surface DEET'!$Q$9:$W$38,COLUMN(Y170)-COLUMN($E$5),1),$E177),0)</f>
        <v>0</v>
      </c>
      <c r="Z177" s="250">
        <f>IF(Z$6=$C177,IF(INDEX('Surface DEET'!$Q$9:$W$38,COLUMN(Z170)-COLUMN($E$5),1)&gt;0,INDEX('Surface DEET'!$Q$9:$W$38,COLUMN(Z170)-COLUMN($E$5),1),$E177),0)</f>
        <v>0</v>
      </c>
      <c r="AA177" s="250">
        <f>IF(AA$6=$C177,IF(INDEX('Surface DEET'!$Q$9:$W$38,COLUMN(AA170)-COLUMN($E$5),1)&gt;0,INDEX('Surface DEET'!$Q$9:$W$38,COLUMN(AA170)-COLUMN($E$5),1),$E177),0)</f>
        <v>0</v>
      </c>
      <c r="AB177" s="250">
        <f>IF(AB$6=$C177,IF(INDEX('Surface DEET'!$Q$9:$W$38,COLUMN(AB170)-COLUMN($E$5),1)&gt;0,INDEX('Surface DEET'!$Q$9:$W$38,COLUMN(AB170)-COLUMN($E$5),1),$E177),0)</f>
        <v>0</v>
      </c>
      <c r="AC177" s="250">
        <f>IF(AC$6=$C177,IF(INDEX('Surface DEET'!$Q$9:$W$38,COLUMN(AC170)-COLUMN($E$5),1)&gt;0,INDEX('Surface DEET'!$Q$9:$W$38,COLUMN(AC170)-COLUMN($E$5),1),$E177),0)</f>
        <v>0</v>
      </c>
      <c r="AD177" s="250">
        <f>IF(AD$6=$C177,IF(INDEX('Surface DEET'!$Q$9:$W$38,COLUMN(AD170)-COLUMN($E$5),1)&gt;0,INDEX('Surface DEET'!$Q$9:$W$38,COLUMN(AD170)-COLUMN($E$5),1),$E177),0)</f>
        <v>0</v>
      </c>
      <c r="AE177" s="250">
        <f>IF(AE$6=$C177,IF(INDEX('Surface DEET'!$Q$9:$W$38,COLUMN(AE170)-COLUMN($E$5),1)&gt;0,INDEX('Surface DEET'!$Q$9:$W$38,COLUMN(AE170)-COLUMN($E$5),1),$E177),0)</f>
        <v>0</v>
      </c>
      <c r="AF177" s="250">
        <f>IF(AF$6=$C177,IF(INDEX('Surface DEET'!$Q$9:$W$38,COLUMN(AF170)-COLUMN($E$5),1)&gt;0,INDEX('Surface DEET'!$Q$9:$W$38,COLUMN(AF170)-COLUMN($E$5),1),$E177),0)</f>
        <v>0</v>
      </c>
      <c r="AG177" s="250">
        <f>IF(AG$6=$C177,IF(INDEX('Surface DEET'!$Q$9:$W$38,COLUMN(AG170)-COLUMN($E$5),1)&gt;0,INDEX('Surface DEET'!$Q$9:$W$38,COLUMN(AG170)-COLUMN($E$5),1),$E177),0)</f>
        <v>0</v>
      </c>
      <c r="AH177" s="250">
        <f>IF(AH$6=$C177,IF(INDEX('Surface DEET'!$Q$9:$W$38,COLUMN(AH170)-COLUMN($E$5),1)&gt;0,INDEX('Surface DEET'!$Q$9:$W$38,COLUMN(AH170)-COLUMN($E$5),1),$E177),0)</f>
        <v>0</v>
      </c>
      <c r="AI177" s="250">
        <f>IF(AI$6=$C177,IF(INDEX('Surface DEET'!$Q$9:$W$38,COLUMN(AI170)-COLUMN($E$5),1)&gt;0,INDEX('Surface DEET'!$Q$9:$W$38,COLUMN(AI170)-COLUMN($E$5),1),$E177),0)</f>
        <v>0</v>
      </c>
    </row>
    <row r="178" spans="2:35">
      <c r="B178" s="250" t="s">
        <v>540</v>
      </c>
      <c r="C178" s="250" t="s">
        <v>635</v>
      </c>
      <c r="D178" s="250" t="s">
        <v>637</v>
      </c>
      <c r="E178" s="250">
        <v>409</v>
      </c>
      <c r="F178" s="250">
        <f>IF(F$6=$C178,IF(INDEX('Surface DEET'!$Q$9:$W$38,COLUMN(F171)-COLUMN($E$5),4)&gt;0,INDEX('Surface DEET'!$Q$9:$W$38,COLUMN(F171)-COLUMN($E$5),4),$E178),0)</f>
        <v>0</v>
      </c>
      <c r="G178" s="250">
        <f>IF(G$6=$C178,IF(INDEX('Surface DEET'!$Q$9:$W$38,COLUMN(G171)-COLUMN($E$5),4)&gt;0,INDEX('Surface DEET'!$Q$9:$W$38,COLUMN(G171)-COLUMN($E$5),4),$E178),0)</f>
        <v>0</v>
      </c>
      <c r="H178" s="250">
        <f>IF(H$6=$C178,IF(INDEX('Surface DEET'!$Q$9:$W$38,COLUMN(H171)-COLUMN($E$5),4)&gt;0,INDEX('Surface DEET'!$Q$9:$W$38,COLUMN(H171)-COLUMN($E$5),4),$E178),0)</f>
        <v>0</v>
      </c>
      <c r="I178" s="250">
        <f>IF(I$6=$C178,IF(INDEX('Surface DEET'!$Q$9:$W$38,COLUMN(I171)-COLUMN($E$5),4)&gt;0,INDEX('Surface DEET'!$Q$9:$W$38,COLUMN(I171)-COLUMN($E$5),4),$E178),0)</f>
        <v>0</v>
      </c>
      <c r="J178" s="250">
        <f>IF(J$6=$C178,IF(INDEX('Surface DEET'!$Q$9:$W$38,COLUMN(J171)-COLUMN($E$5),4)&gt;0,INDEX('Surface DEET'!$Q$9:$W$38,COLUMN(J171)-COLUMN($E$5),4),$E178),0)</f>
        <v>0</v>
      </c>
      <c r="K178" s="250">
        <f>IF(K$6=$C178,IF(INDEX('Surface DEET'!$Q$9:$W$38,COLUMN(K171)-COLUMN($E$5),4)&gt;0,INDEX('Surface DEET'!$Q$9:$W$38,COLUMN(K171)-COLUMN($E$5),4),$E178),0)</f>
        <v>0</v>
      </c>
      <c r="L178" s="250">
        <f>IF(L$6=$C178,IF(INDEX('Surface DEET'!$Q$9:$W$38,COLUMN(L171)-COLUMN($E$5),4)&gt;0,INDEX('Surface DEET'!$Q$9:$W$38,COLUMN(L171)-COLUMN($E$5),4),$E178),0)</f>
        <v>0</v>
      </c>
      <c r="M178" s="250">
        <f>IF(M$6=$C178,IF(INDEX('Surface DEET'!$Q$9:$W$38,COLUMN(M171)-COLUMN($E$5),4)&gt;0,INDEX('Surface DEET'!$Q$9:$W$38,COLUMN(M171)-COLUMN($E$5),4),$E178),0)</f>
        <v>0</v>
      </c>
      <c r="N178" s="250">
        <f>IF(N$6=$C178,IF(INDEX('Surface DEET'!$Q$9:$W$38,COLUMN(N171)-COLUMN($E$5),4)&gt;0,INDEX('Surface DEET'!$Q$9:$W$38,COLUMN(N171)-COLUMN($E$5),4),$E178),0)</f>
        <v>0</v>
      </c>
      <c r="O178" s="250">
        <f>IF(O$6=$C178,IF(INDEX('Surface DEET'!$Q$9:$W$38,COLUMN(O171)-COLUMN($E$5),4)&gt;0,INDEX('Surface DEET'!$Q$9:$W$38,COLUMN(O171)-COLUMN($E$5),4),$E178),0)</f>
        <v>0</v>
      </c>
      <c r="P178" s="250">
        <f>IF(P$6=$C178,IF(INDEX('Surface DEET'!$Q$9:$W$38,COLUMN(P171)-COLUMN($E$5),4)&gt;0,INDEX('Surface DEET'!$Q$9:$W$38,COLUMN(P171)-COLUMN($E$5),4),$E178),0)</f>
        <v>0</v>
      </c>
      <c r="Q178" s="250">
        <f>IF(Q$6=$C178,IF(INDEX('Surface DEET'!$Q$9:$W$38,COLUMN(Q171)-COLUMN($E$5),4)&gt;0,INDEX('Surface DEET'!$Q$9:$W$38,COLUMN(Q171)-COLUMN($E$5),4),$E178),0)</f>
        <v>0</v>
      </c>
      <c r="R178" s="250">
        <f>IF(R$6=$C178,IF(INDEX('Surface DEET'!$Q$9:$W$38,COLUMN(R171)-COLUMN($E$5),4)&gt;0,INDEX('Surface DEET'!$Q$9:$W$38,COLUMN(R171)-COLUMN($E$5),4),$E178),0)</f>
        <v>0</v>
      </c>
      <c r="S178" s="250">
        <f>IF(S$6=$C178,IF(INDEX('Surface DEET'!$Q$9:$W$38,COLUMN(S171)-COLUMN($E$5),4)&gt;0,INDEX('Surface DEET'!$Q$9:$W$38,COLUMN(S171)-COLUMN($E$5),4),$E178),0)</f>
        <v>0</v>
      </c>
      <c r="T178" s="250">
        <f>IF(T$6=$C178,IF(INDEX('Surface DEET'!$Q$9:$W$38,COLUMN(T171)-COLUMN($E$5),4)&gt;0,INDEX('Surface DEET'!$Q$9:$W$38,COLUMN(T171)-COLUMN($E$5),4),$E178),0)</f>
        <v>0</v>
      </c>
      <c r="U178" s="250">
        <f>IF(U$6=$C178,IF(INDEX('Surface DEET'!$Q$9:$W$38,COLUMN(U171)-COLUMN($E$5),4)&gt;0,INDEX('Surface DEET'!$Q$9:$W$38,COLUMN(U171)-COLUMN($E$5),4),$E178),0)</f>
        <v>0</v>
      </c>
      <c r="V178" s="250">
        <f>IF(V$6=$C178,IF(INDEX('Surface DEET'!$Q$9:$W$38,COLUMN(V171)-COLUMN($E$5),4)&gt;0,INDEX('Surface DEET'!$Q$9:$W$38,COLUMN(V171)-COLUMN($E$5),4),$E178),0)</f>
        <v>0</v>
      </c>
      <c r="W178" s="250">
        <f>IF(W$6=$C178,IF(INDEX('Surface DEET'!$Q$9:$W$38,COLUMN(W171)-COLUMN($E$5),4)&gt;0,INDEX('Surface DEET'!$Q$9:$W$38,COLUMN(W171)-COLUMN($E$5),4),$E178),0)</f>
        <v>0</v>
      </c>
      <c r="X178" s="250">
        <f>IF(X$6=$C178,IF(INDEX('Surface DEET'!$Q$9:$W$38,COLUMN(X171)-COLUMN($E$5),4)&gt;0,INDEX('Surface DEET'!$Q$9:$W$38,COLUMN(X171)-COLUMN($E$5),4),$E178),0)</f>
        <v>0</v>
      </c>
      <c r="Y178" s="250">
        <f>IF(Y$6=$C178,IF(INDEX('Surface DEET'!$Q$9:$W$38,COLUMN(Y171)-COLUMN($E$5),4)&gt;0,INDEX('Surface DEET'!$Q$9:$W$38,COLUMN(Y171)-COLUMN($E$5),4),$E178),0)</f>
        <v>0</v>
      </c>
      <c r="Z178" s="250">
        <f>IF(Z$6=$C178,IF(INDEX('Surface DEET'!$Q$9:$W$38,COLUMN(Z171)-COLUMN($E$5),4)&gt;0,INDEX('Surface DEET'!$Q$9:$W$38,COLUMN(Z171)-COLUMN($E$5),4),$E178),0)</f>
        <v>0</v>
      </c>
      <c r="AA178" s="250">
        <f>IF(AA$6=$C178,IF(INDEX('Surface DEET'!$Q$9:$W$38,COLUMN(AA171)-COLUMN($E$5),4)&gt;0,INDEX('Surface DEET'!$Q$9:$W$38,COLUMN(AA171)-COLUMN($E$5),4),$E178),0)</f>
        <v>0</v>
      </c>
      <c r="AB178" s="250">
        <f>IF(AB$6=$C178,IF(INDEX('Surface DEET'!$Q$9:$W$38,COLUMN(AB171)-COLUMN($E$5),4)&gt;0,INDEX('Surface DEET'!$Q$9:$W$38,COLUMN(AB171)-COLUMN($E$5),4),$E178),0)</f>
        <v>0</v>
      </c>
      <c r="AC178" s="250">
        <f>IF(AC$6=$C178,IF(INDEX('Surface DEET'!$Q$9:$W$38,COLUMN(AC171)-COLUMN($E$5),4)&gt;0,INDEX('Surface DEET'!$Q$9:$W$38,COLUMN(AC171)-COLUMN($E$5),4),$E178),0)</f>
        <v>0</v>
      </c>
      <c r="AD178" s="250">
        <f>IF(AD$6=$C178,IF(INDEX('Surface DEET'!$Q$9:$W$38,COLUMN(AD171)-COLUMN($E$5),4)&gt;0,INDEX('Surface DEET'!$Q$9:$W$38,COLUMN(AD171)-COLUMN($E$5),4),$E178),0)</f>
        <v>0</v>
      </c>
      <c r="AE178" s="250">
        <f>IF(AE$6=$C178,IF(INDEX('Surface DEET'!$Q$9:$W$38,COLUMN(AE171)-COLUMN($E$5),4)&gt;0,INDEX('Surface DEET'!$Q$9:$W$38,COLUMN(AE171)-COLUMN($E$5),4),$E178),0)</f>
        <v>0</v>
      </c>
      <c r="AF178" s="250">
        <f>IF(AF$6=$C178,IF(INDEX('Surface DEET'!$Q$9:$W$38,COLUMN(AF171)-COLUMN($E$5),4)&gt;0,INDEX('Surface DEET'!$Q$9:$W$38,COLUMN(AF171)-COLUMN($E$5),4),$E178),0)</f>
        <v>0</v>
      </c>
      <c r="AG178" s="250">
        <f>IF(AG$6=$C178,IF(INDEX('Surface DEET'!$Q$9:$W$38,COLUMN(AG171)-COLUMN($E$5),4)&gt;0,INDEX('Surface DEET'!$Q$9:$W$38,COLUMN(AG171)-COLUMN($E$5),4),$E178),0)</f>
        <v>0</v>
      </c>
      <c r="AH178" s="250">
        <f>IF(AH$6=$C178,IF(INDEX('Surface DEET'!$Q$9:$W$38,COLUMN(AH171)-COLUMN($E$5),4)&gt;0,INDEX('Surface DEET'!$Q$9:$W$38,COLUMN(AH171)-COLUMN($E$5),4),$E178),0)</f>
        <v>0</v>
      </c>
      <c r="AI178" s="250">
        <f>IF(AI$6=$C178,IF(INDEX('Surface DEET'!$Q$9:$W$38,COLUMN(AI171)-COLUMN($E$5),4)&gt;0,INDEX('Surface DEET'!$Q$9:$W$38,COLUMN(AI171)-COLUMN($E$5),4),$E178),0)</f>
        <v>0</v>
      </c>
    </row>
    <row r="179" spans="2:35">
      <c r="B179" s="250" t="s">
        <v>543</v>
      </c>
      <c r="C179" s="250" t="s">
        <v>635</v>
      </c>
    </row>
    <row r="180" spans="2:35">
      <c r="B180" s="250" t="s">
        <v>533</v>
      </c>
      <c r="C180" s="250" t="s">
        <v>635</v>
      </c>
      <c r="D180" s="250" t="s">
        <v>533</v>
      </c>
      <c r="F180" s="250">
        <f>IFERROR($E$174*($E$176*(F178/$E$178)+(1-$E$176)*(F177/$E$177))+0.28*$E$173*((F177-$E$177)/$E$177),0)</f>
        <v>-26.880000000000003</v>
      </c>
      <c r="G180" s="250">
        <f t="shared" ref="G180:AI180" si="21">IFERROR($E$174*($E$176*(G178/$E$178)+(1-$E$176)*(G177/$E$177))+0.28*$E$173*((G177-$E$177)/$E$177),0)</f>
        <v>-26.880000000000003</v>
      </c>
      <c r="H180" s="250">
        <f t="shared" si="21"/>
        <v>-26.880000000000003</v>
      </c>
      <c r="I180" s="250">
        <f t="shared" si="21"/>
        <v>-26.880000000000003</v>
      </c>
      <c r="J180" s="250">
        <f t="shared" si="21"/>
        <v>-26.880000000000003</v>
      </c>
      <c r="K180" s="250">
        <f t="shared" si="21"/>
        <v>-26.880000000000003</v>
      </c>
      <c r="L180" s="250">
        <f t="shared" si="21"/>
        <v>-26.880000000000003</v>
      </c>
      <c r="M180" s="250">
        <f t="shared" si="21"/>
        <v>-26.880000000000003</v>
      </c>
      <c r="N180" s="250">
        <f t="shared" si="21"/>
        <v>-26.880000000000003</v>
      </c>
      <c r="O180" s="250">
        <f t="shared" si="21"/>
        <v>-26.880000000000003</v>
      </c>
      <c r="P180" s="250">
        <f t="shared" si="21"/>
        <v>-26.880000000000003</v>
      </c>
      <c r="Q180" s="250">
        <f t="shared" si="21"/>
        <v>-26.880000000000003</v>
      </c>
      <c r="R180" s="250">
        <f t="shared" si="21"/>
        <v>-26.880000000000003</v>
      </c>
      <c r="S180" s="250">
        <f t="shared" si="21"/>
        <v>-26.880000000000003</v>
      </c>
      <c r="T180" s="250">
        <f t="shared" si="21"/>
        <v>-26.880000000000003</v>
      </c>
      <c r="U180" s="250">
        <f t="shared" si="21"/>
        <v>-26.880000000000003</v>
      </c>
      <c r="V180" s="250">
        <f t="shared" si="21"/>
        <v>-26.880000000000003</v>
      </c>
      <c r="W180" s="250">
        <f t="shared" si="21"/>
        <v>-26.880000000000003</v>
      </c>
      <c r="X180" s="250">
        <f t="shared" si="21"/>
        <v>-26.880000000000003</v>
      </c>
      <c r="Y180" s="250">
        <f t="shared" si="21"/>
        <v>-26.880000000000003</v>
      </c>
      <c r="Z180" s="250">
        <f t="shared" si="21"/>
        <v>-26.880000000000003</v>
      </c>
      <c r="AA180" s="250">
        <f t="shared" si="21"/>
        <v>-26.880000000000003</v>
      </c>
      <c r="AB180" s="250">
        <f t="shared" si="21"/>
        <v>-26.880000000000003</v>
      </c>
      <c r="AC180" s="250">
        <f t="shared" si="21"/>
        <v>-26.880000000000003</v>
      </c>
      <c r="AD180" s="250">
        <f t="shared" si="21"/>
        <v>-26.880000000000003</v>
      </c>
      <c r="AE180" s="250">
        <f t="shared" si="21"/>
        <v>-26.880000000000003</v>
      </c>
      <c r="AF180" s="250">
        <f t="shared" si="21"/>
        <v>-26.880000000000003</v>
      </c>
      <c r="AG180" s="250">
        <f t="shared" si="21"/>
        <v>-26.880000000000003</v>
      </c>
      <c r="AH180" s="250">
        <f t="shared" si="21"/>
        <v>-26.880000000000003</v>
      </c>
      <c r="AI180" s="250">
        <f t="shared" si="21"/>
        <v>-26.880000000000003</v>
      </c>
    </row>
    <row r="181" spans="2:35">
      <c r="B181" s="88" t="s">
        <v>294</v>
      </c>
      <c r="C181" s="250" t="s">
        <v>638</v>
      </c>
      <c r="D181" s="88" t="s">
        <v>294</v>
      </c>
      <c r="E181" s="250">
        <v>0</v>
      </c>
    </row>
    <row r="182" spans="2:35">
      <c r="B182" s="250" t="s">
        <v>534</v>
      </c>
      <c r="C182" s="250" t="s">
        <v>638</v>
      </c>
      <c r="D182" s="250" t="s">
        <v>534</v>
      </c>
      <c r="E182" s="250">
        <v>380</v>
      </c>
    </row>
    <row r="183" spans="2:35">
      <c r="B183" s="250" t="s">
        <v>535</v>
      </c>
      <c r="C183" s="250" t="s">
        <v>638</v>
      </c>
      <c r="D183" s="250" t="s">
        <v>535</v>
      </c>
      <c r="E183" s="250">
        <f>E181+E182</f>
        <v>380</v>
      </c>
    </row>
    <row r="184" spans="2:35">
      <c r="B184" s="250" t="s">
        <v>536</v>
      </c>
      <c r="C184" s="250" t="s">
        <v>638</v>
      </c>
      <c r="D184" s="250" t="s">
        <v>536</v>
      </c>
      <c r="E184" s="250">
        <v>0</v>
      </c>
    </row>
    <row r="185" spans="2:35">
      <c r="B185" s="250" t="s">
        <v>537</v>
      </c>
      <c r="C185" s="250" t="s">
        <v>638</v>
      </c>
      <c r="D185" s="250" t="s">
        <v>597</v>
      </c>
      <c r="E185" s="250">
        <v>8760</v>
      </c>
      <c r="F185" s="250">
        <f>IF(F$6=$C185,IF(INDEX('Surface DEET'!$Q$9:$W$38,COLUMN(F178)-COLUMN($E$5),1)&gt;0,INDEX('Surface DEET'!$Q$9:$W$38,COLUMN(F178)-COLUMN($E$5),1),$E185),0)</f>
        <v>0</v>
      </c>
      <c r="G185" s="250">
        <f>IF(G$6=$C185,IF(INDEX('Surface DEET'!$Q$9:$W$38,COLUMN(G178)-COLUMN($E$5),1)&gt;0,INDEX('Surface DEET'!$Q$9:$W$38,COLUMN(G178)-COLUMN($E$5),1),$E185),0)</f>
        <v>0</v>
      </c>
      <c r="H185" s="250">
        <f>IF(H$6=$C185,IF(INDEX('Surface DEET'!$Q$9:$W$38,COLUMN(H178)-COLUMN($E$5),1)&gt;0,INDEX('Surface DEET'!$Q$9:$W$38,COLUMN(H178)-COLUMN($E$5),1),$E185),0)</f>
        <v>0</v>
      </c>
      <c r="I185" s="250">
        <f>IF(I$6=$C185,IF(INDEX('Surface DEET'!$Q$9:$W$38,COLUMN(I178)-COLUMN($E$5),1)&gt;0,INDEX('Surface DEET'!$Q$9:$W$38,COLUMN(I178)-COLUMN($E$5),1),$E185),0)</f>
        <v>0</v>
      </c>
      <c r="J185" s="250">
        <f>IF(J$6=$C185,IF(INDEX('Surface DEET'!$Q$9:$W$38,COLUMN(J178)-COLUMN($E$5),1)&gt;0,INDEX('Surface DEET'!$Q$9:$W$38,COLUMN(J178)-COLUMN($E$5),1),$E185),0)</f>
        <v>0</v>
      </c>
      <c r="K185" s="250">
        <f>IF(K$6=$C185,IF(INDEX('Surface DEET'!$Q$9:$W$38,COLUMN(K178)-COLUMN($E$5),1)&gt;0,INDEX('Surface DEET'!$Q$9:$W$38,COLUMN(K178)-COLUMN($E$5),1),$E185),0)</f>
        <v>0</v>
      </c>
      <c r="L185" s="250">
        <f>IF(L$6=$C185,IF(INDEX('Surface DEET'!$Q$9:$W$38,COLUMN(L178)-COLUMN($E$5),1)&gt;0,INDEX('Surface DEET'!$Q$9:$W$38,COLUMN(L178)-COLUMN($E$5),1),$E185),0)</f>
        <v>0</v>
      </c>
      <c r="M185" s="250">
        <f>IF(M$6=$C185,IF(INDEX('Surface DEET'!$Q$9:$W$38,COLUMN(M178)-COLUMN($E$5),1)&gt;0,INDEX('Surface DEET'!$Q$9:$W$38,COLUMN(M178)-COLUMN($E$5),1),$E185),0)</f>
        <v>0</v>
      </c>
      <c r="N185" s="250">
        <f>IF(N$6=$C185,IF(INDEX('Surface DEET'!$Q$9:$W$38,COLUMN(N178)-COLUMN($E$5),1)&gt;0,INDEX('Surface DEET'!$Q$9:$W$38,COLUMN(N178)-COLUMN($E$5),1),$E185),0)</f>
        <v>0</v>
      </c>
      <c r="O185" s="250">
        <f>IF(O$6=$C185,IF(INDEX('Surface DEET'!$Q$9:$W$38,COLUMN(O178)-COLUMN($E$5),1)&gt;0,INDEX('Surface DEET'!$Q$9:$W$38,COLUMN(O178)-COLUMN($E$5),1),$E185),0)</f>
        <v>0</v>
      </c>
      <c r="P185" s="250">
        <f>IF(P$6=$C185,IF(INDEX('Surface DEET'!$Q$9:$W$38,COLUMN(P178)-COLUMN($E$5),1)&gt;0,INDEX('Surface DEET'!$Q$9:$W$38,COLUMN(P178)-COLUMN($E$5),1),$E185),0)</f>
        <v>0</v>
      </c>
      <c r="Q185" s="250">
        <f>IF(Q$6=$C185,IF(INDEX('Surface DEET'!$Q$9:$W$38,COLUMN(Q178)-COLUMN($E$5),1)&gt;0,INDEX('Surface DEET'!$Q$9:$W$38,COLUMN(Q178)-COLUMN($E$5),1),$E185),0)</f>
        <v>0</v>
      </c>
      <c r="R185" s="250">
        <f>IF(R$6=$C185,IF(INDEX('Surface DEET'!$Q$9:$W$38,COLUMN(R178)-COLUMN($E$5),1)&gt;0,INDEX('Surface DEET'!$Q$9:$W$38,COLUMN(R178)-COLUMN($E$5),1),$E185),0)</f>
        <v>0</v>
      </c>
      <c r="S185" s="250">
        <f>IF(S$6=$C185,IF(INDEX('Surface DEET'!$Q$9:$W$38,COLUMN(S178)-COLUMN($E$5),1)&gt;0,INDEX('Surface DEET'!$Q$9:$W$38,COLUMN(S178)-COLUMN($E$5),1),$E185),0)</f>
        <v>0</v>
      </c>
      <c r="T185" s="250">
        <f>IF(T$6=$C185,IF(INDEX('Surface DEET'!$Q$9:$W$38,COLUMN(T178)-COLUMN($E$5),1)&gt;0,INDEX('Surface DEET'!$Q$9:$W$38,COLUMN(T178)-COLUMN($E$5),1),$E185),0)</f>
        <v>0</v>
      </c>
      <c r="U185" s="250">
        <f>IF(U$6=$C185,IF(INDEX('Surface DEET'!$Q$9:$W$38,COLUMN(U178)-COLUMN($E$5),1)&gt;0,INDEX('Surface DEET'!$Q$9:$W$38,COLUMN(U178)-COLUMN($E$5),1),$E185),0)</f>
        <v>0</v>
      </c>
      <c r="V185" s="250">
        <f>IF(V$6=$C185,IF(INDEX('Surface DEET'!$Q$9:$W$38,COLUMN(V178)-COLUMN($E$5),1)&gt;0,INDEX('Surface DEET'!$Q$9:$W$38,COLUMN(V178)-COLUMN($E$5),1),$E185),0)</f>
        <v>0</v>
      </c>
      <c r="W185" s="250">
        <f>IF(W$6=$C185,IF(INDEX('Surface DEET'!$Q$9:$W$38,COLUMN(W178)-COLUMN($E$5),1)&gt;0,INDEX('Surface DEET'!$Q$9:$W$38,COLUMN(W178)-COLUMN($E$5),1),$E185),0)</f>
        <v>0</v>
      </c>
      <c r="X185" s="250">
        <f>IF(X$6=$C185,IF(INDEX('Surface DEET'!$Q$9:$W$38,COLUMN(X178)-COLUMN($E$5),1)&gt;0,INDEX('Surface DEET'!$Q$9:$W$38,COLUMN(X178)-COLUMN($E$5),1),$E185),0)</f>
        <v>0</v>
      </c>
      <c r="Y185" s="250">
        <f>IF(Y$6=$C185,IF(INDEX('Surface DEET'!$Q$9:$W$38,COLUMN(Y178)-COLUMN($E$5),1)&gt;0,INDEX('Surface DEET'!$Q$9:$W$38,COLUMN(Y178)-COLUMN($E$5),1),$E185),0)</f>
        <v>0</v>
      </c>
      <c r="Z185" s="250">
        <f>IF(Z$6=$C185,IF(INDEX('Surface DEET'!$Q$9:$W$38,COLUMN(Z178)-COLUMN($E$5),1)&gt;0,INDEX('Surface DEET'!$Q$9:$W$38,COLUMN(Z178)-COLUMN($E$5),1),$E185),0)</f>
        <v>0</v>
      </c>
      <c r="AA185" s="250">
        <f>IF(AA$6=$C185,IF(INDEX('Surface DEET'!$Q$9:$W$38,COLUMN(AA178)-COLUMN($E$5),1)&gt;0,INDEX('Surface DEET'!$Q$9:$W$38,COLUMN(AA178)-COLUMN($E$5),1),$E185),0)</f>
        <v>0</v>
      </c>
      <c r="AB185" s="250">
        <f>IF(AB$6=$C185,IF(INDEX('Surface DEET'!$Q$9:$W$38,COLUMN(AB178)-COLUMN($E$5),1)&gt;0,INDEX('Surface DEET'!$Q$9:$W$38,COLUMN(AB178)-COLUMN($E$5),1),$E185),0)</f>
        <v>0</v>
      </c>
      <c r="AC185" s="250">
        <f>IF(AC$6=$C185,IF(INDEX('Surface DEET'!$Q$9:$W$38,COLUMN(AC178)-COLUMN($E$5),1)&gt;0,INDEX('Surface DEET'!$Q$9:$W$38,COLUMN(AC178)-COLUMN($E$5),1),$E185),0)</f>
        <v>0</v>
      </c>
      <c r="AD185" s="250">
        <f>IF(AD$6=$C185,IF(INDEX('Surface DEET'!$Q$9:$W$38,COLUMN(AD178)-COLUMN($E$5),1)&gt;0,INDEX('Surface DEET'!$Q$9:$W$38,COLUMN(AD178)-COLUMN($E$5),1),$E185),0)</f>
        <v>0</v>
      </c>
      <c r="AE185" s="250">
        <f>IF(AE$6=$C185,IF(INDEX('Surface DEET'!$Q$9:$W$38,COLUMN(AE178)-COLUMN($E$5),1)&gt;0,INDEX('Surface DEET'!$Q$9:$W$38,COLUMN(AE178)-COLUMN($E$5),1),$E185),0)</f>
        <v>0</v>
      </c>
      <c r="AF185" s="250">
        <f>IF(AF$6=$C185,IF(INDEX('Surface DEET'!$Q$9:$W$38,COLUMN(AF178)-COLUMN($E$5),1)&gt;0,INDEX('Surface DEET'!$Q$9:$W$38,COLUMN(AF178)-COLUMN($E$5),1),$E185),0)</f>
        <v>0</v>
      </c>
      <c r="AG185" s="250">
        <f>IF(AG$6=$C185,IF(INDEX('Surface DEET'!$Q$9:$W$38,COLUMN(AG178)-COLUMN($E$5),1)&gt;0,INDEX('Surface DEET'!$Q$9:$W$38,COLUMN(AG178)-COLUMN($E$5),1),$E185),0)</f>
        <v>0</v>
      </c>
      <c r="AH185" s="250">
        <f>IF(AH$6=$C185,IF(INDEX('Surface DEET'!$Q$9:$W$38,COLUMN(AH178)-COLUMN($E$5),1)&gt;0,INDEX('Surface DEET'!$Q$9:$W$38,COLUMN(AH178)-COLUMN($E$5),1),$E185),0)</f>
        <v>0</v>
      </c>
      <c r="AI185" s="250">
        <f>IF(AI$6=$C185,IF(INDEX('Surface DEET'!$Q$9:$W$38,COLUMN(AI178)-COLUMN($E$5),1)&gt;0,INDEX('Surface DEET'!$Q$9:$W$38,COLUMN(AI178)-COLUMN($E$5),1),$E185),0)</f>
        <v>0</v>
      </c>
    </row>
    <row r="186" spans="2:35">
      <c r="B186" s="250" t="s">
        <v>540</v>
      </c>
      <c r="C186" s="250" t="s">
        <v>638</v>
      </c>
    </row>
    <row r="187" spans="2:35">
      <c r="B187" s="250" t="s">
        <v>543</v>
      </c>
      <c r="C187" s="250" t="s">
        <v>638</v>
      </c>
    </row>
    <row r="188" spans="2:35">
      <c r="B188" s="250" t="s">
        <v>533</v>
      </c>
      <c r="C188" s="250" t="s">
        <v>638</v>
      </c>
      <c r="D188" s="250" t="s">
        <v>533</v>
      </c>
      <c r="F188" s="250">
        <f>$E$182*F185/$E$185</f>
        <v>0</v>
      </c>
      <c r="G188" s="250">
        <f t="shared" ref="G188:AI188" si="22">$E$182*G185/$E$185</f>
        <v>0</v>
      </c>
      <c r="H188" s="250">
        <f t="shared" si="22"/>
        <v>0</v>
      </c>
      <c r="I188" s="250">
        <f t="shared" si="22"/>
        <v>0</v>
      </c>
      <c r="J188" s="250">
        <f t="shared" si="22"/>
        <v>0</v>
      </c>
      <c r="K188" s="250">
        <f t="shared" si="22"/>
        <v>0</v>
      </c>
      <c r="L188" s="250">
        <f t="shared" si="22"/>
        <v>0</v>
      </c>
      <c r="M188" s="250">
        <f t="shared" si="22"/>
        <v>0</v>
      </c>
      <c r="N188" s="250">
        <f t="shared" si="22"/>
        <v>0</v>
      </c>
      <c r="O188" s="250">
        <f t="shared" si="22"/>
        <v>0</v>
      </c>
      <c r="P188" s="250">
        <f t="shared" si="22"/>
        <v>0</v>
      </c>
      <c r="Q188" s="250">
        <f t="shared" si="22"/>
        <v>0</v>
      </c>
      <c r="R188" s="250">
        <f t="shared" si="22"/>
        <v>0</v>
      </c>
      <c r="S188" s="250">
        <f t="shared" si="22"/>
        <v>0</v>
      </c>
      <c r="T188" s="250">
        <f t="shared" si="22"/>
        <v>0</v>
      </c>
      <c r="U188" s="250">
        <f t="shared" si="22"/>
        <v>0</v>
      </c>
      <c r="V188" s="250">
        <f t="shared" si="22"/>
        <v>0</v>
      </c>
      <c r="W188" s="250">
        <f t="shared" si="22"/>
        <v>0</v>
      </c>
      <c r="X188" s="250">
        <f t="shared" si="22"/>
        <v>0</v>
      </c>
      <c r="Y188" s="250">
        <f t="shared" si="22"/>
        <v>0</v>
      </c>
      <c r="Z188" s="250">
        <f t="shared" si="22"/>
        <v>0</v>
      </c>
      <c r="AA188" s="250">
        <f t="shared" si="22"/>
        <v>0</v>
      </c>
      <c r="AB188" s="250">
        <f t="shared" si="22"/>
        <v>0</v>
      </c>
      <c r="AC188" s="250">
        <f t="shared" si="22"/>
        <v>0</v>
      </c>
      <c r="AD188" s="250">
        <f t="shared" si="22"/>
        <v>0</v>
      </c>
      <c r="AE188" s="250">
        <f t="shared" si="22"/>
        <v>0</v>
      </c>
      <c r="AF188" s="250">
        <f t="shared" si="22"/>
        <v>0</v>
      </c>
      <c r="AG188" s="250">
        <f t="shared" si="22"/>
        <v>0</v>
      </c>
      <c r="AH188" s="250">
        <f t="shared" si="22"/>
        <v>0</v>
      </c>
      <c r="AI188" s="250">
        <f t="shared" si="22"/>
        <v>0</v>
      </c>
    </row>
    <row r="189" spans="2:35">
      <c r="B189" s="88" t="s">
        <v>294</v>
      </c>
      <c r="C189" s="250" t="s">
        <v>639</v>
      </c>
      <c r="D189" s="88" t="s">
        <v>294</v>
      </c>
      <c r="E189" s="250">
        <f t="array" ref="E189">INDEX(CABS_CVC!$C$3:$O$894,MATCH(1, (CABS_CVC!$A$3:$A$894=Calculs_CABS!C189)*(CABS_CVC!$B$3:$B$894=Calculs_CABS!$D$2),0),MATCH(Calculs_CABS!$D$1,Liste_CABS!$B$3:$B$15,0))</f>
        <v>302</v>
      </c>
    </row>
    <row r="190" spans="2:35">
      <c r="B190" s="250" t="s">
        <v>534</v>
      </c>
      <c r="C190" s="250" t="s">
        <v>639</v>
      </c>
      <c r="D190" s="250" t="s">
        <v>534</v>
      </c>
      <c r="E190" s="250">
        <v>258</v>
      </c>
    </row>
    <row r="191" spans="2:35">
      <c r="B191" s="250" t="s">
        <v>535</v>
      </c>
      <c r="C191" s="250" t="s">
        <v>639</v>
      </c>
      <c r="D191" s="250" t="s">
        <v>535</v>
      </c>
      <c r="E191" s="250">
        <f>E189+E190</f>
        <v>560</v>
      </c>
    </row>
    <row r="192" spans="2:35">
      <c r="B192" s="250" t="s">
        <v>536</v>
      </c>
      <c r="C192" s="250" t="s">
        <v>639</v>
      </c>
      <c r="D192" s="250" t="s">
        <v>536</v>
      </c>
      <c r="E192" s="250">
        <v>0.97</v>
      </c>
    </row>
    <row r="193" spans="2:35">
      <c r="B193" s="250" t="s">
        <v>537</v>
      </c>
      <c r="C193" s="250" t="s">
        <v>639</v>
      </c>
      <c r="D193" s="250" t="s">
        <v>636</v>
      </c>
      <c r="E193" s="250">
        <v>2900</v>
      </c>
      <c r="F193" s="250">
        <f>IF(F$6=$C193,IF(INDEX('Surface DEET'!$Q$9:$W$38,COLUMN(F186)-COLUMN($E$5),1)&gt;0,INDEX('Surface DEET'!$Q$9:$W$38,COLUMN(F186)-COLUMN($E$5),1),$E193),0)</f>
        <v>0</v>
      </c>
      <c r="G193" s="250">
        <f>IF(G$6=$C193,IF(INDEX('Surface DEET'!$Q$9:$W$38,COLUMN(G186)-COLUMN($E$5),1)&gt;0,INDEX('Surface DEET'!$Q$9:$W$38,COLUMN(G186)-COLUMN($E$5),1),$E193),0)</f>
        <v>0</v>
      </c>
      <c r="H193" s="250">
        <f>IF(H$6=$C193,IF(INDEX('Surface DEET'!$Q$9:$W$38,COLUMN(H186)-COLUMN($E$5),1)&gt;0,INDEX('Surface DEET'!$Q$9:$W$38,COLUMN(H186)-COLUMN($E$5),1),$E193),0)</f>
        <v>0</v>
      </c>
      <c r="I193" s="250">
        <f>IF(I$6=$C193,IF(INDEX('Surface DEET'!$Q$9:$W$38,COLUMN(I186)-COLUMN($E$5),1)&gt;0,INDEX('Surface DEET'!$Q$9:$W$38,COLUMN(I186)-COLUMN($E$5),1),$E193),0)</f>
        <v>0</v>
      </c>
      <c r="J193" s="250">
        <f>IF(J$6=$C193,IF(INDEX('Surface DEET'!$Q$9:$W$38,COLUMN(J186)-COLUMN($E$5),1)&gt;0,INDEX('Surface DEET'!$Q$9:$W$38,COLUMN(J186)-COLUMN($E$5),1),$E193),0)</f>
        <v>0</v>
      </c>
      <c r="K193" s="250">
        <f>IF(K$6=$C193,IF(INDEX('Surface DEET'!$Q$9:$W$38,COLUMN(K186)-COLUMN($E$5),1)&gt;0,INDEX('Surface DEET'!$Q$9:$W$38,COLUMN(K186)-COLUMN($E$5),1),$E193),0)</f>
        <v>0</v>
      </c>
      <c r="L193" s="250">
        <f>IF(L$6=$C193,IF(INDEX('Surface DEET'!$Q$9:$W$38,COLUMN(L186)-COLUMN($E$5),1)&gt;0,INDEX('Surface DEET'!$Q$9:$W$38,COLUMN(L186)-COLUMN($E$5),1),$E193),0)</f>
        <v>0</v>
      </c>
      <c r="M193" s="250">
        <f>IF(M$6=$C193,IF(INDEX('Surface DEET'!$Q$9:$W$38,COLUMN(M186)-COLUMN($E$5),1)&gt;0,INDEX('Surface DEET'!$Q$9:$W$38,COLUMN(M186)-COLUMN($E$5),1),$E193),0)</f>
        <v>0</v>
      </c>
      <c r="N193" s="250">
        <f>IF(N$6=$C193,IF(INDEX('Surface DEET'!$Q$9:$W$38,COLUMN(N186)-COLUMN($E$5),1)&gt;0,INDEX('Surface DEET'!$Q$9:$W$38,COLUMN(N186)-COLUMN($E$5),1),$E193),0)</f>
        <v>0</v>
      </c>
      <c r="O193" s="250">
        <f>IF(O$6=$C193,IF(INDEX('Surface DEET'!$Q$9:$W$38,COLUMN(O186)-COLUMN($E$5),1)&gt;0,INDEX('Surface DEET'!$Q$9:$W$38,COLUMN(O186)-COLUMN($E$5),1),$E193),0)</f>
        <v>0</v>
      </c>
      <c r="P193" s="250">
        <f>IF(P$6=$C193,IF(INDEX('Surface DEET'!$Q$9:$W$38,COLUMN(P186)-COLUMN($E$5),1)&gt;0,INDEX('Surface DEET'!$Q$9:$W$38,COLUMN(P186)-COLUMN($E$5),1),$E193),0)</f>
        <v>0</v>
      </c>
      <c r="Q193" s="250">
        <f>IF(Q$6=$C193,IF(INDEX('Surface DEET'!$Q$9:$W$38,COLUMN(Q186)-COLUMN($E$5),1)&gt;0,INDEX('Surface DEET'!$Q$9:$W$38,COLUMN(Q186)-COLUMN($E$5),1),$E193),0)</f>
        <v>0</v>
      </c>
      <c r="R193" s="250">
        <f>IF(R$6=$C193,IF(INDEX('Surface DEET'!$Q$9:$W$38,COLUMN(R186)-COLUMN($E$5),1)&gt;0,INDEX('Surface DEET'!$Q$9:$W$38,COLUMN(R186)-COLUMN($E$5),1),$E193),0)</f>
        <v>0</v>
      </c>
      <c r="S193" s="250">
        <f>IF(S$6=$C193,IF(INDEX('Surface DEET'!$Q$9:$W$38,COLUMN(S186)-COLUMN($E$5),1)&gt;0,INDEX('Surface DEET'!$Q$9:$W$38,COLUMN(S186)-COLUMN($E$5),1),$E193),0)</f>
        <v>0</v>
      </c>
      <c r="T193" s="250">
        <f>IF(T$6=$C193,IF(INDEX('Surface DEET'!$Q$9:$W$38,COLUMN(T186)-COLUMN($E$5),1)&gt;0,INDEX('Surface DEET'!$Q$9:$W$38,COLUMN(T186)-COLUMN($E$5),1),$E193),0)</f>
        <v>0</v>
      </c>
      <c r="U193" s="250">
        <f>IF(U$6=$C193,IF(INDEX('Surface DEET'!$Q$9:$W$38,COLUMN(U186)-COLUMN($E$5),1)&gt;0,INDEX('Surface DEET'!$Q$9:$W$38,COLUMN(U186)-COLUMN($E$5),1),$E193),0)</f>
        <v>0</v>
      </c>
      <c r="V193" s="250">
        <f>IF(V$6=$C193,IF(INDEX('Surface DEET'!$Q$9:$W$38,COLUMN(V186)-COLUMN($E$5),1)&gt;0,INDEX('Surface DEET'!$Q$9:$W$38,COLUMN(V186)-COLUMN($E$5),1),$E193),0)</f>
        <v>0</v>
      </c>
      <c r="W193" s="250">
        <f>IF(W$6=$C193,IF(INDEX('Surface DEET'!$Q$9:$W$38,COLUMN(W186)-COLUMN($E$5),1)&gt;0,INDEX('Surface DEET'!$Q$9:$W$38,COLUMN(W186)-COLUMN($E$5),1),$E193),0)</f>
        <v>0</v>
      </c>
      <c r="X193" s="250">
        <f>IF(X$6=$C193,IF(INDEX('Surface DEET'!$Q$9:$W$38,COLUMN(X186)-COLUMN($E$5),1)&gt;0,INDEX('Surface DEET'!$Q$9:$W$38,COLUMN(X186)-COLUMN($E$5),1),$E193),0)</f>
        <v>0</v>
      </c>
      <c r="Y193" s="250">
        <f>IF(Y$6=$C193,IF(INDEX('Surface DEET'!$Q$9:$W$38,COLUMN(Y186)-COLUMN($E$5),1)&gt;0,INDEX('Surface DEET'!$Q$9:$W$38,COLUMN(Y186)-COLUMN($E$5),1),$E193),0)</f>
        <v>0</v>
      </c>
      <c r="Z193" s="250">
        <f>IF(Z$6=$C193,IF(INDEX('Surface DEET'!$Q$9:$W$38,COLUMN(Z186)-COLUMN($E$5),1)&gt;0,INDEX('Surface DEET'!$Q$9:$W$38,COLUMN(Z186)-COLUMN($E$5),1),$E193),0)</f>
        <v>0</v>
      </c>
      <c r="AA193" s="250">
        <f>IF(AA$6=$C193,IF(INDEX('Surface DEET'!$Q$9:$W$38,COLUMN(AA186)-COLUMN($E$5),1)&gt;0,INDEX('Surface DEET'!$Q$9:$W$38,COLUMN(AA186)-COLUMN($E$5),1),$E193),0)</f>
        <v>0</v>
      </c>
      <c r="AB193" s="250">
        <f>IF(AB$6=$C193,IF(INDEX('Surface DEET'!$Q$9:$W$38,COLUMN(AB186)-COLUMN($E$5),1)&gt;0,INDEX('Surface DEET'!$Q$9:$W$38,COLUMN(AB186)-COLUMN($E$5),1),$E193),0)</f>
        <v>0</v>
      </c>
      <c r="AC193" s="250">
        <f>IF(AC$6=$C193,IF(INDEX('Surface DEET'!$Q$9:$W$38,COLUMN(AC186)-COLUMN($E$5),1)&gt;0,INDEX('Surface DEET'!$Q$9:$W$38,COLUMN(AC186)-COLUMN($E$5),1),$E193),0)</f>
        <v>0</v>
      </c>
      <c r="AD193" s="250">
        <f>IF(AD$6=$C193,IF(INDEX('Surface DEET'!$Q$9:$W$38,COLUMN(AD186)-COLUMN($E$5),1)&gt;0,INDEX('Surface DEET'!$Q$9:$W$38,COLUMN(AD186)-COLUMN($E$5),1),$E193),0)</f>
        <v>0</v>
      </c>
      <c r="AE193" s="250">
        <f>IF(AE$6=$C193,IF(INDEX('Surface DEET'!$Q$9:$W$38,COLUMN(AE186)-COLUMN($E$5),1)&gt;0,INDEX('Surface DEET'!$Q$9:$W$38,COLUMN(AE186)-COLUMN($E$5),1),$E193),0)</f>
        <v>0</v>
      </c>
      <c r="AF193" s="250">
        <f>IF(AF$6=$C193,IF(INDEX('Surface DEET'!$Q$9:$W$38,COLUMN(AF186)-COLUMN($E$5),1)&gt;0,INDEX('Surface DEET'!$Q$9:$W$38,COLUMN(AF186)-COLUMN($E$5),1),$E193),0)</f>
        <v>0</v>
      </c>
      <c r="AG193" s="250">
        <f>IF(AG$6=$C193,IF(INDEX('Surface DEET'!$Q$9:$W$38,COLUMN(AG186)-COLUMN($E$5),1)&gt;0,INDEX('Surface DEET'!$Q$9:$W$38,COLUMN(AG186)-COLUMN($E$5),1),$E193),0)</f>
        <v>0</v>
      </c>
      <c r="AH193" s="250">
        <f>IF(AH$6=$C193,IF(INDEX('Surface DEET'!$Q$9:$W$38,COLUMN(AH186)-COLUMN($E$5),1)&gt;0,INDEX('Surface DEET'!$Q$9:$W$38,COLUMN(AH186)-COLUMN($E$5),1),$E193),0)</f>
        <v>0</v>
      </c>
      <c r="AI193" s="250">
        <f>IF(AI$6=$C193,IF(INDEX('Surface DEET'!$Q$9:$W$38,COLUMN(AI186)-COLUMN($E$5),1)&gt;0,INDEX('Surface DEET'!$Q$9:$W$38,COLUMN(AI186)-COLUMN($E$5),1),$E193),0)</f>
        <v>0</v>
      </c>
    </row>
    <row r="194" spans="2:35">
      <c r="B194" s="250" t="s">
        <v>540</v>
      </c>
      <c r="C194" s="250" t="s">
        <v>639</v>
      </c>
      <c r="D194" s="250" t="s">
        <v>640</v>
      </c>
      <c r="E194" s="250">
        <v>48</v>
      </c>
      <c r="F194" s="250">
        <f>IF(F$6=$C194,IF(INDEX('Surface DEET'!$Q$9:$W$38,COLUMN(F187)-COLUMN($E$5),4)&gt;0,INDEX('Surface DEET'!$Q$9:$W$38,COLUMN(F187)-COLUMN($E$5),4),$E194),0)</f>
        <v>0</v>
      </c>
      <c r="G194" s="250">
        <f>IF(G$6=$C194,IF(INDEX('Surface DEET'!$Q$9:$W$38,COLUMN(G187)-COLUMN($E$5),4)&gt;0,INDEX('Surface DEET'!$Q$9:$W$38,COLUMN(G187)-COLUMN($E$5),4),$E194),0)</f>
        <v>0</v>
      </c>
      <c r="H194" s="250">
        <f>IF(H$6=$C194,IF(INDEX('Surface DEET'!$Q$9:$W$38,COLUMN(H187)-COLUMN($E$5),4)&gt;0,INDEX('Surface DEET'!$Q$9:$W$38,COLUMN(H187)-COLUMN($E$5),4),$E194),0)</f>
        <v>0</v>
      </c>
      <c r="I194" s="250">
        <f>IF(I$6=$C194,IF(INDEX('Surface DEET'!$Q$9:$W$38,COLUMN(I187)-COLUMN($E$5),4)&gt;0,INDEX('Surface DEET'!$Q$9:$W$38,COLUMN(I187)-COLUMN($E$5),4),$E194),0)</f>
        <v>0</v>
      </c>
      <c r="J194" s="250">
        <f>IF(J$6=$C194,IF(INDEX('Surface DEET'!$Q$9:$W$38,COLUMN(J187)-COLUMN($E$5),4)&gt;0,INDEX('Surface DEET'!$Q$9:$W$38,COLUMN(J187)-COLUMN($E$5),4),$E194),0)</f>
        <v>0</v>
      </c>
      <c r="K194" s="250">
        <f>IF(K$6=$C194,IF(INDEX('Surface DEET'!$Q$9:$W$38,COLUMN(K187)-COLUMN($E$5),4)&gt;0,INDEX('Surface DEET'!$Q$9:$W$38,COLUMN(K187)-COLUMN($E$5),4),$E194),0)</f>
        <v>0</v>
      </c>
      <c r="L194" s="250">
        <f>IF(L$6=$C194,IF(INDEX('Surface DEET'!$Q$9:$W$38,COLUMN(L187)-COLUMN($E$5),4)&gt;0,INDEX('Surface DEET'!$Q$9:$W$38,COLUMN(L187)-COLUMN($E$5),4),$E194),0)</f>
        <v>0</v>
      </c>
      <c r="M194" s="250">
        <f>IF(M$6=$C194,IF(INDEX('Surface DEET'!$Q$9:$W$38,COLUMN(M187)-COLUMN($E$5),4)&gt;0,INDEX('Surface DEET'!$Q$9:$W$38,COLUMN(M187)-COLUMN($E$5),4),$E194),0)</f>
        <v>0</v>
      </c>
      <c r="N194" s="250">
        <f>IF(N$6=$C194,IF(INDEX('Surface DEET'!$Q$9:$W$38,COLUMN(N187)-COLUMN($E$5),4)&gt;0,INDEX('Surface DEET'!$Q$9:$W$38,COLUMN(N187)-COLUMN($E$5),4),$E194),0)</f>
        <v>0</v>
      </c>
      <c r="O194" s="250">
        <f>IF(O$6=$C194,IF(INDEX('Surface DEET'!$Q$9:$W$38,COLUMN(O187)-COLUMN($E$5),4)&gt;0,INDEX('Surface DEET'!$Q$9:$W$38,COLUMN(O187)-COLUMN($E$5),4),$E194),0)</f>
        <v>0</v>
      </c>
      <c r="P194" s="250">
        <f>IF(P$6=$C194,IF(INDEX('Surface DEET'!$Q$9:$W$38,COLUMN(P187)-COLUMN($E$5),4)&gt;0,INDEX('Surface DEET'!$Q$9:$W$38,COLUMN(P187)-COLUMN($E$5),4),$E194),0)</f>
        <v>0</v>
      </c>
      <c r="Q194" s="250">
        <f>IF(Q$6=$C194,IF(INDEX('Surface DEET'!$Q$9:$W$38,COLUMN(Q187)-COLUMN($E$5),4)&gt;0,INDEX('Surface DEET'!$Q$9:$W$38,COLUMN(Q187)-COLUMN($E$5),4),$E194),0)</f>
        <v>0</v>
      </c>
      <c r="R194" s="250">
        <f>IF(R$6=$C194,IF(INDEX('Surface DEET'!$Q$9:$W$38,COLUMN(R187)-COLUMN($E$5),4)&gt;0,INDEX('Surface DEET'!$Q$9:$W$38,COLUMN(R187)-COLUMN($E$5),4),$E194),0)</f>
        <v>0</v>
      </c>
      <c r="S194" s="250">
        <f>IF(S$6=$C194,IF(INDEX('Surface DEET'!$Q$9:$W$38,COLUMN(S187)-COLUMN($E$5),4)&gt;0,INDEX('Surface DEET'!$Q$9:$W$38,COLUMN(S187)-COLUMN($E$5),4),$E194),0)</f>
        <v>0</v>
      </c>
      <c r="T194" s="250">
        <f>IF(T$6=$C194,IF(INDEX('Surface DEET'!$Q$9:$W$38,COLUMN(T187)-COLUMN($E$5),4)&gt;0,INDEX('Surface DEET'!$Q$9:$W$38,COLUMN(T187)-COLUMN($E$5),4),$E194),0)</f>
        <v>0</v>
      </c>
      <c r="U194" s="250">
        <f>IF(U$6=$C194,IF(INDEX('Surface DEET'!$Q$9:$W$38,COLUMN(U187)-COLUMN($E$5),4)&gt;0,INDEX('Surface DEET'!$Q$9:$W$38,COLUMN(U187)-COLUMN($E$5),4),$E194),0)</f>
        <v>0</v>
      </c>
      <c r="V194" s="250">
        <f>IF(V$6=$C194,IF(INDEX('Surface DEET'!$Q$9:$W$38,COLUMN(V187)-COLUMN($E$5),4)&gt;0,INDEX('Surface DEET'!$Q$9:$W$38,COLUMN(V187)-COLUMN($E$5),4),$E194),0)</f>
        <v>0</v>
      </c>
      <c r="W194" s="250">
        <f>IF(W$6=$C194,IF(INDEX('Surface DEET'!$Q$9:$W$38,COLUMN(W187)-COLUMN($E$5),4)&gt;0,INDEX('Surface DEET'!$Q$9:$W$38,COLUMN(W187)-COLUMN($E$5),4),$E194),0)</f>
        <v>0</v>
      </c>
      <c r="X194" s="250">
        <f>IF(X$6=$C194,IF(INDEX('Surface DEET'!$Q$9:$W$38,COLUMN(X187)-COLUMN($E$5),4)&gt;0,INDEX('Surface DEET'!$Q$9:$W$38,COLUMN(X187)-COLUMN($E$5),4),$E194),0)</f>
        <v>0</v>
      </c>
      <c r="Y194" s="250">
        <f>IF(Y$6=$C194,IF(INDEX('Surface DEET'!$Q$9:$W$38,COLUMN(Y187)-COLUMN($E$5),4)&gt;0,INDEX('Surface DEET'!$Q$9:$W$38,COLUMN(Y187)-COLUMN($E$5),4),$E194),0)</f>
        <v>0</v>
      </c>
      <c r="Z194" s="250">
        <f>IF(Z$6=$C194,IF(INDEX('Surface DEET'!$Q$9:$W$38,COLUMN(Z187)-COLUMN($E$5),4)&gt;0,INDEX('Surface DEET'!$Q$9:$W$38,COLUMN(Z187)-COLUMN($E$5),4),$E194),0)</f>
        <v>0</v>
      </c>
      <c r="AA194" s="250">
        <f>IF(AA$6=$C194,IF(INDEX('Surface DEET'!$Q$9:$W$38,COLUMN(AA187)-COLUMN($E$5),4)&gt;0,INDEX('Surface DEET'!$Q$9:$W$38,COLUMN(AA187)-COLUMN($E$5),4),$E194),0)</f>
        <v>0</v>
      </c>
      <c r="AB194" s="250">
        <f>IF(AB$6=$C194,IF(INDEX('Surface DEET'!$Q$9:$W$38,COLUMN(AB187)-COLUMN($E$5),4)&gt;0,INDEX('Surface DEET'!$Q$9:$W$38,COLUMN(AB187)-COLUMN($E$5),4),$E194),0)</f>
        <v>0</v>
      </c>
      <c r="AC194" s="250">
        <f>IF(AC$6=$C194,IF(INDEX('Surface DEET'!$Q$9:$W$38,COLUMN(AC187)-COLUMN($E$5),4)&gt;0,INDEX('Surface DEET'!$Q$9:$W$38,COLUMN(AC187)-COLUMN($E$5),4),$E194),0)</f>
        <v>0</v>
      </c>
      <c r="AD194" s="250">
        <f>IF(AD$6=$C194,IF(INDEX('Surface DEET'!$Q$9:$W$38,COLUMN(AD187)-COLUMN($E$5),4)&gt;0,INDEX('Surface DEET'!$Q$9:$W$38,COLUMN(AD187)-COLUMN($E$5),4),$E194),0)</f>
        <v>0</v>
      </c>
      <c r="AE194" s="250">
        <f>IF(AE$6=$C194,IF(INDEX('Surface DEET'!$Q$9:$W$38,COLUMN(AE187)-COLUMN($E$5),4)&gt;0,INDEX('Surface DEET'!$Q$9:$W$38,COLUMN(AE187)-COLUMN($E$5),4),$E194),0)</f>
        <v>0</v>
      </c>
      <c r="AF194" s="250">
        <f>IF(AF$6=$C194,IF(INDEX('Surface DEET'!$Q$9:$W$38,COLUMN(AF187)-COLUMN($E$5),4)&gt;0,INDEX('Surface DEET'!$Q$9:$W$38,COLUMN(AF187)-COLUMN($E$5),4),$E194),0)</f>
        <v>0</v>
      </c>
      <c r="AG194" s="250">
        <f>IF(AG$6=$C194,IF(INDEX('Surface DEET'!$Q$9:$W$38,COLUMN(AG187)-COLUMN($E$5),4)&gt;0,INDEX('Surface DEET'!$Q$9:$W$38,COLUMN(AG187)-COLUMN($E$5),4),$E194),0)</f>
        <v>0</v>
      </c>
      <c r="AH194" s="250">
        <f>IF(AH$6=$C194,IF(INDEX('Surface DEET'!$Q$9:$W$38,COLUMN(AH187)-COLUMN($E$5),4)&gt;0,INDEX('Surface DEET'!$Q$9:$W$38,COLUMN(AH187)-COLUMN($E$5),4),$E194),0)</f>
        <v>0</v>
      </c>
      <c r="AI194" s="250">
        <f>IF(AI$6=$C194,IF(INDEX('Surface DEET'!$Q$9:$W$38,COLUMN(AI187)-COLUMN($E$5),4)&gt;0,INDEX('Surface DEET'!$Q$9:$W$38,COLUMN(AI187)-COLUMN($E$5),4),$E194),0)</f>
        <v>0</v>
      </c>
    </row>
    <row r="195" spans="2:35">
      <c r="B195" s="250" t="s">
        <v>543</v>
      </c>
      <c r="C195" s="250" t="s">
        <v>639</v>
      </c>
    </row>
    <row r="196" spans="2:35">
      <c r="B196" s="250" t="s">
        <v>602</v>
      </c>
      <c r="C196" s="250" t="s">
        <v>639</v>
      </c>
      <c r="D196" s="250" t="s">
        <v>641</v>
      </c>
      <c r="E196" s="250">
        <v>1.9E-2</v>
      </c>
    </row>
    <row r="197" spans="2:35">
      <c r="B197" s="250" t="s">
        <v>604</v>
      </c>
      <c r="C197" s="250" t="s">
        <v>639</v>
      </c>
      <c r="D197" s="250" t="s">
        <v>642</v>
      </c>
      <c r="E197" s="250">
        <v>3.8</v>
      </c>
    </row>
    <row r="198" spans="2:35">
      <c r="B198" s="250" t="s">
        <v>533</v>
      </c>
      <c r="C198" s="250" t="s">
        <v>639</v>
      </c>
      <c r="D198" s="250" t="s">
        <v>533</v>
      </c>
      <c r="F198" s="250">
        <f>IFERROR($E$190*(F193/$E$193)*((1-$E$192)+$E$192*F194/$E$194)+(F193-$E$193)*$E$196+(F194-$E$194)*$E$197,0)</f>
        <v>-237.49999999999997</v>
      </c>
      <c r="G198" s="250">
        <f t="shared" ref="G198:AI198" si="23">IFERROR($E$190*(G193/$E$193)*((1-$E$192)+$E$192*G194/$E$194)+(G193-$E$193)*$E$196+(G194-$E$194)*$E$197,0)</f>
        <v>-237.49999999999997</v>
      </c>
      <c r="H198" s="250">
        <f t="shared" si="23"/>
        <v>-237.49999999999997</v>
      </c>
      <c r="I198" s="250">
        <f t="shared" si="23"/>
        <v>-237.49999999999997</v>
      </c>
      <c r="J198" s="250">
        <f t="shared" si="23"/>
        <v>-237.49999999999997</v>
      </c>
      <c r="K198" s="250">
        <f t="shared" si="23"/>
        <v>-237.49999999999997</v>
      </c>
      <c r="L198" s="250">
        <f t="shared" si="23"/>
        <v>-237.49999999999997</v>
      </c>
      <c r="M198" s="250">
        <f t="shared" si="23"/>
        <v>-237.49999999999997</v>
      </c>
      <c r="N198" s="250">
        <f t="shared" si="23"/>
        <v>-237.49999999999997</v>
      </c>
      <c r="O198" s="250">
        <f t="shared" si="23"/>
        <v>-237.49999999999997</v>
      </c>
      <c r="P198" s="250">
        <f t="shared" si="23"/>
        <v>-237.49999999999997</v>
      </c>
      <c r="Q198" s="250">
        <f t="shared" si="23"/>
        <v>-237.49999999999997</v>
      </c>
      <c r="R198" s="250">
        <f t="shared" si="23"/>
        <v>-237.49999999999997</v>
      </c>
      <c r="S198" s="250">
        <f t="shared" si="23"/>
        <v>-237.49999999999997</v>
      </c>
      <c r="T198" s="250">
        <f t="shared" si="23"/>
        <v>-237.49999999999997</v>
      </c>
      <c r="U198" s="250">
        <f t="shared" si="23"/>
        <v>-237.49999999999997</v>
      </c>
      <c r="V198" s="250">
        <f t="shared" si="23"/>
        <v>-237.49999999999997</v>
      </c>
      <c r="W198" s="250">
        <f t="shared" si="23"/>
        <v>-237.49999999999997</v>
      </c>
      <c r="X198" s="250">
        <f t="shared" si="23"/>
        <v>-237.49999999999997</v>
      </c>
      <c r="Y198" s="250">
        <f t="shared" si="23"/>
        <v>-237.49999999999997</v>
      </c>
      <c r="Z198" s="250">
        <f t="shared" si="23"/>
        <v>-237.49999999999997</v>
      </c>
      <c r="AA198" s="250">
        <f t="shared" si="23"/>
        <v>-237.49999999999997</v>
      </c>
      <c r="AB198" s="250">
        <f t="shared" si="23"/>
        <v>-237.49999999999997</v>
      </c>
      <c r="AC198" s="250">
        <f t="shared" si="23"/>
        <v>-237.49999999999997</v>
      </c>
      <c r="AD198" s="250">
        <f t="shared" si="23"/>
        <v>-237.49999999999997</v>
      </c>
      <c r="AE198" s="250">
        <f t="shared" si="23"/>
        <v>-237.49999999999997</v>
      </c>
      <c r="AF198" s="250">
        <f t="shared" si="23"/>
        <v>-237.49999999999997</v>
      </c>
      <c r="AG198" s="250">
        <f t="shared" si="23"/>
        <v>-237.49999999999997</v>
      </c>
      <c r="AH198" s="250">
        <f t="shared" si="23"/>
        <v>-237.49999999999997</v>
      </c>
      <c r="AI198" s="250">
        <f t="shared" si="23"/>
        <v>-237.49999999999997</v>
      </c>
    </row>
    <row r="199" spans="2:35">
      <c r="B199" s="88" t="s">
        <v>294</v>
      </c>
      <c r="C199" s="250" t="s">
        <v>643</v>
      </c>
      <c r="D199" s="88" t="s">
        <v>294</v>
      </c>
      <c r="E199" s="250">
        <f t="array" ref="E199">INDEX(CABS_CVC!$C$3:$O$894,MATCH(1, (CABS_CVC!$A$3:$A$894=Calculs_CABS!C199)*(CABS_CVC!$B$3:$B$894=Calculs_CABS!$D$2),0),MATCH(Calculs_CABS!$D$1,Liste_CABS!$B$3:$B$15,0))</f>
        <v>43</v>
      </c>
    </row>
    <row r="200" spans="2:35">
      <c r="B200" s="250" t="s">
        <v>534</v>
      </c>
      <c r="C200" s="250" t="s">
        <v>643</v>
      </c>
      <c r="D200" s="250" t="s">
        <v>534</v>
      </c>
      <c r="E200" s="250">
        <v>243</v>
      </c>
    </row>
    <row r="201" spans="2:35">
      <c r="B201" s="250" t="s">
        <v>535</v>
      </c>
      <c r="C201" s="250" t="s">
        <v>643</v>
      </c>
      <c r="D201" s="250" t="s">
        <v>535</v>
      </c>
      <c r="E201" s="250">
        <f>E199+E200</f>
        <v>286</v>
      </c>
    </row>
    <row r="202" spans="2:35">
      <c r="B202" s="250" t="s">
        <v>536</v>
      </c>
      <c r="C202" s="250" t="s">
        <v>643</v>
      </c>
      <c r="D202" s="250" t="s">
        <v>536</v>
      </c>
      <c r="E202" s="250">
        <v>0.96</v>
      </c>
    </row>
    <row r="203" spans="2:35">
      <c r="B203" s="250" t="s">
        <v>537</v>
      </c>
      <c r="C203" s="250" t="s">
        <v>643</v>
      </c>
      <c r="D203" s="250" t="s">
        <v>636</v>
      </c>
      <c r="E203" s="250">
        <v>2600</v>
      </c>
      <c r="F203" s="250">
        <f>IF(F$6=$C203,IF(INDEX('Surface DEET'!$Q$9:$W$38,COLUMN(F196)-COLUMN($E$5),1)&gt;0,INDEX('Surface DEET'!$Q$9:$W$38,COLUMN(F196)-COLUMN($E$5),1),$E203),0)</f>
        <v>0</v>
      </c>
      <c r="G203" s="250">
        <f>IF(G$6=$C203,IF(INDEX('Surface DEET'!$Q$9:$W$38,COLUMN(G196)-COLUMN($E$5),1)&gt;0,INDEX('Surface DEET'!$Q$9:$W$38,COLUMN(G196)-COLUMN($E$5),1),$E203),0)</f>
        <v>0</v>
      </c>
      <c r="H203" s="250">
        <f>IF(H$6=$C203,IF(INDEX('Surface DEET'!$Q$9:$W$38,COLUMN(H196)-COLUMN($E$5),1)&gt;0,INDEX('Surface DEET'!$Q$9:$W$38,COLUMN(H196)-COLUMN($E$5),1),$E203),0)</f>
        <v>0</v>
      </c>
      <c r="I203" s="250">
        <f>IF(I$6=$C203,IF(INDEX('Surface DEET'!$Q$9:$W$38,COLUMN(I196)-COLUMN($E$5),1)&gt;0,INDEX('Surface DEET'!$Q$9:$W$38,COLUMN(I196)-COLUMN($E$5),1),$E203),0)</f>
        <v>0</v>
      </c>
      <c r="J203" s="250">
        <f>IF(J$6=$C203,IF(INDEX('Surface DEET'!$Q$9:$W$38,COLUMN(J196)-COLUMN($E$5),1)&gt;0,INDEX('Surface DEET'!$Q$9:$W$38,COLUMN(J196)-COLUMN($E$5),1),$E203),0)</f>
        <v>0</v>
      </c>
      <c r="K203" s="250">
        <f>IF(K$6=$C203,IF(INDEX('Surface DEET'!$Q$9:$W$38,COLUMN(K196)-COLUMN($E$5),1)&gt;0,INDEX('Surface DEET'!$Q$9:$W$38,COLUMN(K196)-COLUMN($E$5),1),$E203),0)</f>
        <v>0</v>
      </c>
      <c r="L203" s="250">
        <f>IF(L$6=$C203,IF(INDEX('Surface DEET'!$Q$9:$W$38,COLUMN(L196)-COLUMN($E$5),1)&gt;0,INDEX('Surface DEET'!$Q$9:$W$38,COLUMN(L196)-COLUMN($E$5),1),$E203),0)</f>
        <v>0</v>
      </c>
      <c r="M203" s="250">
        <f>IF(M$6=$C203,IF(INDEX('Surface DEET'!$Q$9:$W$38,COLUMN(M196)-COLUMN($E$5),1)&gt;0,INDEX('Surface DEET'!$Q$9:$W$38,COLUMN(M196)-COLUMN($E$5),1),$E203),0)</f>
        <v>0</v>
      </c>
      <c r="N203" s="250">
        <f>IF(N$6=$C203,IF(INDEX('Surface DEET'!$Q$9:$W$38,COLUMN(N196)-COLUMN($E$5),1)&gt;0,INDEX('Surface DEET'!$Q$9:$W$38,COLUMN(N196)-COLUMN($E$5),1),$E203),0)</f>
        <v>0</v>
      </c>
      <c r="O203" s="250">
        <f>IF(O$6=$C203,IF(INDEX('Surface DEET'!$Q$9:$W$38,COLUMN(O196)-COLUMN($E$5),1)&gt;0,INDEX('Surface DEET'!$Q$9:$W$38,COLUMN(O196)-COLUMN($E$5),1),$E203),0)</f>
        <v>0</v>
      </c>
      <c r="P203" s="250">
        <f>IF(P$6=$C203,IF(INDEX('Surface DEET'!$Q$9:$W$38,COLUMN(P196)-COLUMN($E$5),1)&gt;0,INDEX('Surface DEET'!$Q$9:$W$38,COLUMN(P196)-COLUMN($E$5),1),$E203),0)</f>
        <v>0</v>
      </c>
      <c r="Q203" s="250">
        <f>IF(Q$6=$C203,IF(INDEX('Surface DEET'!$Q$9:$W$38,COLUMN(Q196)-COLUMN($E$5),1)&gt;0,INDEX('Surface DEET'!$Q$9:$W$38,COLUMN(Q196)-COLUMN($E$5),1),$E203),0)</f>
        <v>0</v>
      </c>
      <c r="R203" s="250">
        <f>IF(R$6=$C203,IF(INDEX('Surface DEET'!$Q$9:$W$38,COLUMN(R196)-COLUMN($E$5),1)&gt;0,INDEX('Surface DEET'!$Q$9:$W$38,COLUMN(R196)-COLUMN($E$5),1),$E203),0)</f>
        <v>0</v>
      </c>
      <c r="S203" s="250">
        <f>IF(S$6=$C203,IF(INDEX('Surface DEET'!$Q$9:$W$38,COLUMN(S196)-COLUMN($E$5),1)&gt;0,INDEX('Surface DEET'!$Q$9:$W$38,COLUMN(S196)-COLUMN($E$5),1),$E203),0)</f>
        <v>0</v>
      </c>
      <c r="T203" s="250">
        <f>IF(T$6=$C203,IF(INDEX('Surface DEET'!$Q$9:$W$38,COLUMN(T196)-COLUMN($E$5),1)&gt;0,INDEX('Surface DEET'!$Q$9:$W$38,COLUMN(T196)-COLUMN($E$5),1),$E203),0)</f>
        <v>0</v>
      </c>
      <c r="U203" s="250">
        <f>IF(U$6=$C203,IF(INDEX('Surface DEET'!$Q$9:$W$38,COLUMN(U196)-COLUMN($E$5),1)&gt;0,INDEX('Surface DEET'!$Q$9:$W$38,COLUMN(U196)-COLUMN($E$5),1),$E203),0)</f>
        <v>0</v>
      </c>
      <c r="V203" s="250">
        <f>IF(V$6=$C203,IF(INDEX('Surface DEET'!$Q$9:$W$38,COLUMN(V196)-COLUMN($E$5),1)&gt;0,INDEX('Surface DEET'!$Q$9:$W$38,COLUMN(V196)-COLUMN($E$5),1),$E203),0)</f>
        <v>0</v>
      </c>
      <c r="W203" s="250">
        <f>IF(W$6=$C203,IF(INDEX('Surface DEET'!$Q$9:$W$38,COLUMN(W196)-COLUMN($E$5),1)&gt;0,INDEX('Surface DEET'!$Q$9:$W$38,COLUMN(W196)-COLUMN($E$5),1),$E203),0)</f>
        <v>0</v>
      </c>
      <c r="X203" s="250">
        <f>IF(X$6=$C203,IF(INDEX('Surface DEET'!$Q$9:$W$38,COLUMN(X196)-COLUMN($E$5),1)&gt;0,INDEX('Surface DEET'!$Q$9:$W$38,COLUMN(X196)-COLUMN($E$5),1),$E203),0)</f>
        <v>0</v>
      </c>
      <c r="Y203" s="250">
        <f>IF(Y$6=$C203,IF(INDEX('Surface DEET'!$Q$9:$W$38,COLUMN(Y196)-COLUMN($E$5),1)&gt;0,INDEX('Surface DEET'!$Q$9:$W$38,COLUMN(Y196)-COLUMN($E$5),1),$E203),0)</f>
        <v>0</v>
      </c>
      <c r="Z203" s="250">
        <f>IF(Z$6=$C203,IF(INDEX('Surface DEET'!$Q$9:$W$38,COLUMN(Z196)-COLUMN($E$5),1)&gt;0,INDEX('Surface DEET'!$Q$9:$W$38,COLUMN(Z196)-COLUMN($E$5),1),$E203),0)</f>
        <v>0</v>
      </c>
      <c r="AA203" s="250">
        <f>IF(AA$6=$C203,IF(INDEX('Surface DEET'!$Q$9:$W$38,COLUMN(AA196)-COLUMN($E$5),1)&gt;0,INDEX('Surface DEET'!$Q$9:$W$38,COLUMN(AA196)-COLUMN($E$5),1),$E203),0)</f>
        <v>0</v>
      </c>
      <c r="AB203" s="250">
        <f>IF(AB$6=$C203,IF(INDEX('Surface DEET'!$Q$9:$W$38,COLUMN(AB196)-COLUMN($E$5),1)&gt;0,INDEX('Surface DEET'!$Q$9:$W$38,COLUMN(AB196)-COLUMN($E$5),1),$E203),0)</f>
        <v>0</v>
      </c>
      <c r="AC203" s="250">
        <f>IF(AC$6=$C203,IF(INDEX('Surface DEET'!$Q$9:$W$38,COLUMN(AC196)-COLUMN($E$5),1)&gt;0,INDEX('Surface DEET'!$Q$9:$W$38,COLUMN(AC196)-COLUMN($E$5),1),$E203),0)</f>
        <v>0</v>
      </c>
      <c r="AD203" s="250">
        <f>IF(AD$6=$C203,IF(INDEX('Surface DEET'!$Q$9:$W$38,COLUMN(AD196)-COLUMN($E$5),1)&gt;0,INDEX('Surface DEET'!$Q$9:$W$38,COLUMN(AD196)-COLUMN($E$5),1),$E203),0)</f>
        <v>0</v>
      </c>
      <c r="AE203" s="250">
        <f>IF(AE$6=$C203,IF(INDEX('Surface DEET'!$Q$9:$W$38,COLUMN(AE196)-COLUMN($E$5),1)&gt;0,INDEX('Surface DEET'!$Q$9:$W$38,COLUMN(AE196)-COLUMN($E$5),1),$E203),0)</f>
        <v>0</v>
      </c>
      <c r="AF203" s="250">
        <f>IF(AF$6=$C203,IF(INDEX('Surface DEET'!$Q$9:$W$38,COLUMN(AF196)-COLUMN($E$5),1)&gt;0,INDEX('Surface DEET'!$Q$9:$W$38,COLUMN(AF196)-COLUMN($E$5),1),$E203),0)</f>
        <v>0</v>
      </c>
      <c r="AG203" s="250">
        <f>IF(AG$6=$C203,IF(INDEX('Surface DEET'!$Q$9:$W$38,COLUMN(AG196)-COLUMN($E$5),1)&gt;0,INDEX('Surface DEET'!$Q$9:$W$38,COLUMN(AG196)-COLUMN($E$5),1),$E203),0)</f>
        <v>0</v>
      </c>
      <c r="AH203" s="250">
        <f>IF(AH$6=$C203,IF(INDEX('Surface DEET'!$Q$9:$W$38,COLUMN(AH196)-COLUMN($E$5),1)&gt;0,INDEX('Surface DEET'!$Q$9:$W$38,COLUMN(AH196)-COLUMN($E$5),1),$E203),0)</f>
        <v>0</v>
      </c>
      <c r="AI203" s="250">
        <f>IF(AI$6=$C203,IF(INDEX('Surface DEET'!$Q$9:$W$38,COLUMN(AI196)-COLUMN($E$5),1)&gt;0,INDEX('Surface DEET'!$Q$9:$W$38,COLUMN(AI196)-COLUMN($E$5),1),$E203),0)</f>
        <v>0</v>
      </c>
    </row>
    <row r="204" spans="2:35">
      <c r="B204" s="250" t="s">
        <v>540</v>
      </c>
      <c r="C204" s="250" t="s">
        <v>643</v>
      </c>
    </row>
    <row r="205" spans="2:35">
      <c r="B205" s="250" t="s">
        <v>543</v>
      </c>
      <c r="C205" s="250" t="s">
        <v>643</v>
      </c>
    </row>
    <row r="206" spans="2:35">
      <c r="B206" s="250" t="s">
        <v>533</v>
      </c>
      <c r="C206" s="250" t="s">
        <v>643</v>
      </c>
      <c r="D206" s="250" t="s">
        <v>533</v>
      </c>
      <c r="F206" s="250">
        <f>$E$200*(F203/$E$203)+0.28*$E$199*(F203-$E$203)/$E$203</f>
        <v>-12.040000000000001</v>
      </c>
      <c r="G206" s="250">
        <f t="shared" ref="G206:AI206" si="24">$E$200*(G203/$E$203)+0.28*$E$199*(G203-$E$203)/$E$203</f>
        <v>-12.040000000000001</v>
      </c>
      <c r="H206" s="250">
        <f t="shared" si="24"/>
        <v>-12.040000000000001</v>
      </c>
      <c r="I206" s="250">
        <f t="shared" si="24"/>
        <v>-12.040000000000001</v>
      </c>
      <c r="J206" s="250">
        <f t="shared" si="24"/>
        <v>-12.040000000000001</v>
      </c>
      <c r="K206" s="250">
        <f t="shared" si="24"/>
        <v>-12.040000000000001</v>
      </c>
      <c r="L206" s="250">
        <f t="shared" si="24"/>
        <v>-12.040000000000001</v>
      </c>
      <c r="M206" s="250">
        <f t="shared" si="24"/>
        <v>-12.040000000000001</v>
      </c>
      <c r="N206" s="250">
        <f t="shared" si="24"/>
        <v>-12.040000000000001</v>
      </c>
      <c r="O206" s="250">
        <f t="shared" si="24"/>
        <v>-12.040000000000001</v>
      </c>
      <c r="P206" s="250">
        <f t="shared" si="24"/>
        <v>-12.040000000000001</v>
      </c>
      <c r="Q206" s="250">
        <f t="shared" si="24"/>
        <v>-12.040000000000001</v>
      </c>
      <c r="R206" s="250">
        <f t="shared" si="24"/>
        <v>-12.040000000000001</v>
      </c>
      <c r="S206" s="250">
        <f t="shared" si="24"/>
        <v>-12.040000000000001</v>
      </c>
      <c r="T206" s="250">
        <f t="shared" si="24"/>
        <v>-12.040000000000001</v>
      </c>
      <c r="U206" s="250">
        <f t="shared" si="24"/>
        <v>-12.040000000000001</v>
      </c>
      <c r="V206" s="250">
        <f t="shared" si="24"/>
        <v>-12.040000000000001</v>
      </c>
      <c r="W206" s="250">
        <f t="shared" si="24"/>
        <v>-12.040000000000001</v>
      </c>
      <c r="X206" s="250">
        <f t="shared" si="24"/>
        <v>-12.040000000000001</v>
      </c>
      <c r="Y206" s="250">
        <f t="shared" si="24"/>
        <v>-12.040000000000001</v>
      </c>
      <c r="Z206" s="250">
        <f t="shared" si="24"/>
        <v>-12.040000000000001</v>
      </c>
      <c r="AA206" s="250">
        <f t="shared" si="24"/>
        <v>-12.040000000000001</v>
      </c>
      <c r="AB206" s="250">
        <f t="shared" si="24"/>
        <v>-12.040000000000001</v>
      </c>
      <c r="AC206" s="250">
        <f t="shared" si="24"/>
        <v>-12.040000000000001</v>
      </c>
      <c r="AD206" s="250">
        <f t="shared" si="24"/>
        <v>-12.040000000000001</v>
      </c>
      <c r="AE206" s="250">
        <f t="shared" si="24"/>
        <v>-12.040000000000001</v>
      </c>
      <c r="AF206" s="250">
        <f t="shared" si="24"/>
        <v>-12.040000000000001</v>
      </c>
      <c r="AG206" s="250">
        <f t="shared" si="24"/>
        <v>-12.040000000000001</v>
      </c>
      <c r="AH206" s="250">
        <f t="shared" si="24"/>
        <v>-12.040000000000001</v>
      </c>
      <c r="AI206" s="250">
        <f t="shared" si="24"/>
        <v>-12.040000000000001</v>
      </c>
    </row>
    <row r="207" spans="2:35">
      <c r="B207" s="88" t="s">
        <v>294</v>
      </c>
      <c r="C207" s="250" t="s">
        <v>609</v>
      </c>
      <c r="D207" s="88" t="s">
        <v>294</v>
      </c>
      <c r="E207" s="250">
        <f t="array" ref="E207">INDEX(CABS_CVC!$C$3:$O$894,MATCH(1, (CABS_CVC!$A$3:$A$894=Calculs_CABS!C207)*(CABS_CVC!$B$3:$B$894=Calculs_CABS!$D$2),0),MATCH(Calculs_CABS!$D$1,Liste_CABS!$B$3:$B$15,0))</f>
        <v>66</v>
      </c>
    </row>
    <row r="208" spans="2:35">
      <c r="B208" s="250" t="s">
        <v>534</v>
      </c>
      <c r="C208" s="250" t="s">
        <v>609</v>
      </c>
      <c r="D208" s="250" t="s">
        <v>534</v>
      </c>
      <c r="E208" s="250">
        <v>73</v>
      </c>
    </row>
    <row r="209" spans="2:35">
      <c r="B209" s="250" t="s">
        <v>535</v>
      </c>
      <c r="C209" s="250" t="s">
        <v>609</v>
      </c>
      <c r="D209" s="250" t="s">
        <v>535</v>
      </c>
      <c r="E209" s="250">
        <f>E207+E208</f>
        <v>139</v>
      </c>
    </row>
    <row r="210" spans="2:35">
      <c r="B210" s="250" t="s">
        <v>536</v>
      </c>
      <c r="C210" s="250" t="s">
        <v>609</v>
      </c>
      <c r="D210" s="250" t="s">
        <v>536</v>
      </c>
      <c r="E210" s="250">
        <v>0.74</v>
      </c>
    </row>
    <row r="211" spans="2:35">
      <c r="B211" s="250" t="s">
        <v>537</v>
      </c>
      <c r="C211" s="250" t="s">
        <v>609</v>
      </c>
      <c r="D211" s="250" t="s">
        <v>636</v>
      </c>
      <c r="E211" s="250">
        <v>8760</v>
      </c>
      <c r="F211" s="250">
        <f>IF(F$6=$C211,IF(INDEX('Surface DEET'!$Q$9:$W$38,COLUMN(F204)-COLUMN($E$5),1)&gt;0,INDEX('Surface DEET'!$Q$9:$W$38,COLUMN(F204)-COLUMN($E$5),1),$E211),0)</f>
        <v>0</v>
      </c>
      <c r="G211" s="250">
        <f>IF(G$6=$C211,IF(INDEX('Surface DEET'!$Q$9:$W$38,COLUMN(G204)-COLUMN($E$5),1)&gt;0,INDEX('Surface DEET'!$Q$9:$W$38,COLUMN(G204)-COLUMN($E$5),1),$E211),0)</f>
        <v>0</v>
      </c>
      <c r="H211" s="250">
        <f>IF(H$6=$C211,IF(INDEX('Surface DEET'!$Q$9:$W$38,COLUMN(H204)-COLUMN($E$5),1)&gt;0,INDEX('Surface DEET'!$Q$9:$W$38,COLUMN(H204)-COLUMN($E$5),1),$E211),0)</f>
        <v>0</v>
      </c>
      <c r="I211" s="250">
        <f>IF(I$6=$C211,IF(INDEX('Surface DEET'!$Q$9:$W$38,COLUMN(I204)-COLUMN($E$5),1)&gt;0,INDEX('Surface DEET'!$Q$9:$W$38,COLUMN(I204)-COLUMN($E$5),1),$E211),0)</f>
        <v>0</v>
      </c>
      <c r="J211" s="250">
        <f>IF(J$6=$C211,IF(INDEX('Surface DEET'!$Q$9:$W$38,COLUMN(J204)-COLUMN($E$5),1)&gt;0,INDEX('Surface DEET'!$Q$9:$W$38,COLUMN(J204)-COLUMN($E$5),1),$E211),0)</f>
        <v>0</v>
      </c>
      <c r="K211" s="250">
        <f>IF(K$6=$C211,IF(INDEX('Surface DEET'!$Q$9:$W$38,COLUMN(K204)-COLUMN($E$5),1)&gt;0,INDEX('Surface DEET'!$Q$9:$W$38,COLUMN(K204)-COLUMN($E$5),1),$E211),0)</f>
        <v>0</v>
      </c>
      <c r="L211" s="250">
        <f>IF(L$6=$C211,IF(INDEX('Surface DEET'!$Q$9:$W$38,COLUMN(L204)-COLUMN($E$5),1)&gt;0,INDEX('Surface DEET'!$Q$9:$W$38,COLUMN(L204)-COLUMN($E$5),1),$E211),0)</f>
        <v>0</v>
      </c>
      <c r="M211" s="250">
        <f>IF(M$6=$C211,IF(INDEX('Surface DEET'!$Q$9:$W$38,COLUMN(M204)-COLUMN($E$5),1)&gt;0,INDEX('Surface DEET'!$Q$9:$W$38,COLUMN(M204)-COLUMN($E$5),1),$E211),0)</f>
        <v>0</v>
      </c>
      <c r="N211" s="250">
        <f>IF(N$6=$C211,IF(INDEX('Surface DEET'!$Q$9:$W$38,COLUMN(N204)-COLUMN($E$5),1)&gt;0,INDEX('Surface DEET'!$Q$9:$W$38,COLUMN(N204)-COLUMN($E$5),1),$E211),0)</f>
        <v>0</v>
      </c>
      <c r="O211" s="250">
        <f>IF(O$6=$C211,IF(INDEX('Surface DEET'!$Q$9:$W$38,COLUMN(O204)-COLUMN($E$5),1)&gt;0,INDEX('Surface DEET'!$Q$9:$W$38,COLUMN(O204)-COLUMN($E$5),1),$E211),0)</f>
        <v>0</v>
      </c>
      <c r="P211" s="250">
        <f>IF(P$6=$C211,IF(INDEX('Surface DEET'!$Q$9:$W$38,COLUMN(P204)-COLUMN($E$5),1)&gt;0,INDEX('Surface DEET'!$Q$9:$W$38,COLUMN(P204)-COLUMN($E$5),1),$E211),0)</f>
        <v>0</v>
      </c>
      <c r="Q211" s="250">
        <f>IF(Q$6=$C211,IF(INDEX('Surface DEET'!$Q$9:$W$38,COLUMN(Q204)-COLUMN($E$5),1)&gt;0,INDEX('Surface DEET'!$Q$9:$W$38,COLUMN(Q204)-COLUMN($E$5),1),$E211),0)</f>
        <v>0</v>
      </c>
      <c r="R211" s="250">
        <f>IF(R$6=$C211,IF(INDEX('Surface DEET'!$Q$9:$W$38,COLUMN(R204)-COLUMN($E$5),1)&gt;0,INDEX('Surface DEET'!$Q$9:$W$38,COLUMN(R204)-COLUMN($E$5),1),$E211),0)</f>
        <v>0</v>
      </c>
      <c r="S211" s="250">
        <f>IF(S$6=$C211,IF(INDEX('Surface DEET'!$Q$9:$W$38,COLUMN(S204)-COLUMN($E$5),1)&gt;0,INDEX('Surface DEET'!$Q$9:$W$38,COLUMN(S204)-COLUMN($E$5),1),$E211),0)</f>
        <v>0</v>
      </c>
      <c r="T211" s="250">
        <f>IF(T$6=$C211,IF(INDEX('Surface DEET'!$Q$9:$W$38,COLUMN(T204)-COLUMN($E$5),1)&gt;0,INDEX('Surface DEET'!$Q$9:$W$38,COLUMN(T204)-COLUMN($E$5),1),$E211),0)</f>
        <v>0</v>
      </c>
      <c r="U211" s="250">
        <f>IF(U$6=$C211,IF(INDEX('Surface DEET'!$Q$9:$W$38,COLUMN(U204)-COLUMN($E$5),1)&gt;0,INDEX('Surface DEET'!$Q$9:$W$38,COLUMN(U204)-COLUMN($E$5),1),$E211),0)</f>
        <v>0</v>
      </c>
      <c r="V211" s="250">
        <f>IF(V$6=$C211,IF(INDEX('Surface DEET'!$Q$9:$W$38,COLUMN(V204)-COLUMN($E$5),1)&gt;0,INDEX('Surface DEET'!$Q$9:$W$38,COLUMN(V204)-COLUMN($E$5),1),$E211),0)</f>
        <v>0</v>
      </c>
      <c r="W211" s="250">
        <f>IF(W$6=$C211,IF(INDEX('Surface DEET'!$Q$9:$W$38,COLUMN(W204)-COLUMN($E$5),1)&gt;0,INDEX('Surface DEET'!$Q$9:$W$38,COLUMN(W204)-COLUMN($E$5),1),$E211),0)</f>
        <v>0</v>
      </c>
      <c r="X211" s="250">
        <f>IF(X$6=$C211,IF(INDEX('Surface DEET'!$Q$9:$W$38,COLUMN(X204)-COLUMN($E$5),1)&gt;0,INDEX('Surface DEET'!$Q$9:$W$38,COLUMN(X204)-COLUMN($E$5),1),$E211),0)</f>
        <v>0</v>
      </c>
      <c r="Y211" s="250">
        <f>IF(Y$6=$C211,IF(INDEX('Surface DEET'!$Q$9:$W$38,COLUMN(Y204)-COLUMN($E$5),1)&gt;0,INDEX('Surface DEET'!$Q$9:$W$38,COLUMN(Y204)-COLUMN($E$5),1),$E211),0)</f>
        <v>0</v>
      </c>
      <c r="Z211" s="250">
        <f>IF(Z$6=$C211,IF(INDEX('Surface DEET'!$Q$9:$W$38,COLUMN(Z204)-COLUMN($E$5),1)&gt;0,INDEX('Surface DEET'!$Q$9:$W$38,COLUMN(Z204)-COLUMN($E$5),1),$E211),0)</f>
        <v>0</v>
      </c>
      <c r="AA211" s="250">
        <f>IF(AA$6=$C211,IF(INDEX('Surface DEET'!$Q$9:$W$38,COLUMN(AA204)-COLUMN($E$5),1)&gt;0,INDEX('Surface DEET'!$Q$9:$W$38,COLUMN(AA204)-COLUMN($E$5),1),$E211),0)</f>
        <v>0</v>
      </c>
      <c r="AB211" s="250">
        <f>IF(AB$6=$C211,IF(INDEX('Surface DEET'!$Q$9:$W$38,COLUMN(AB204)-COLUMN($E$5),1)&gt;0,INDEX('Surface DEET'!$Q$9:$W$38,COLUMN(AB204)-COLUMN($E$5),1),$E211),0)</f>
        <v>0</v>
      </c>
      <c r="AC211" s="250">
        <f>IF(AC$6=$C211,IF(INDEX('Surface DEET'!$Q$9:$W$38,COLUMN(AC204)-COLUMN($E$5),1)&gt;0,INDEX('Surface DEET'!$Q$9:$W$38,COLUMN(AC204)-COLUMN($E$5),1),$E211),0)</f>
        <v>0</v>
      </c>
      <c r="AD211" s="250">
        <f>IF(AD$6=$C211,IF(INDEX('Surface DEET'!$Q$9:$W$38,COLUMN(AD204)-COLUMN($E$5),1)&gt;0,INDEX('Surface DEET'!$Q$9:$W$38,COLUMN(AD204)-COLUMN($E$5),1),$E211),0)</f>
        <v>0</v>
      </c>
      <c r="AE211" s="250">
        <f>IF(AE$6=$C211,IF(INDEX('Surface DEET'!$Q$9:$W$38,COLUMN(AE204)-COLUMN($E$5),1)&gt;0,INDEX('Surface DEET'!$Q$9:$W$38,COLUMN(AE204)-COLUMN($E$5),1),$E211),0)</f>
        <v>0</v>
      </c>
      <c r="AF211" s="250">
        <f>IF(AF$6=$C211,IF(INDEX('Surface DEET'!$Q$9:$W$38,COLUMN(AF204)-COLUMN($E$5),1)&gt;0,INDEX('Surface DEET'!$Q$9:$W$38,COLUMN(AF204)-COLUMN($E$5),1),$E211),0)</f>
        <v>0</v>
      </c>
      <c r="AG211" s="250">
        <f>IF(AG$6=$C211,IF(INDEX('Surface DEET'!$Q$9:$W$38,COLUMN(AG204)-COLUMN($E$5),1)&gt;0,INDEX('Surface DEET'!$Q$9:$W$38,COLUMN(AG204)-COLUMN($E$5),1),$E211),0)</f>
        <v>0</v>
      </c>
      <c r="AH211" s="250">
        <f>IF(AH$6=$C211,IF(INDEX('Surface DEET'!$Q$9:$W$38,COLUMN(AH204)-COLUMN($E$5),1)&gt;0,INDEX('Surface DEET'!$Q$9:$W$38,COLUMN(AH204)-COLUMN($E$5),1),$E211),0)</f>
        <v>0</v>
      </c>
      <c r="AI211" s="250">
        <f>IF(AI$6=$C211,IF(INDEX('Surface DEET'!$Q$9:$W$38,COLUMN(AI204)-COLUMN($E$5),1)&gt;0,INDEX('Surface DEET'!$Q$9:$W$38,COLUMN(AI204)-COLUMN($E$5),1),$E211),0)</f>
        <v>0</v>
      </c>
    </row>
    <row r="212" spans="2:35">
      <c r="B212" s="250" t="s">
        <v>540</v>
      </c>
      <c r="C212" s="250" t="s">
        <v>609</v>
      </c>
      <c r="D212" s="250" t="s">
        <v>644</v>
      </c>
      <c r="E212" s="250">
        <v>23</v>
      </c>
      <c r="F212" s="250">
        <f>IF(F$6=$C212,IF(INDEX('Surface DEET'!$Q$9:$W$38,COLUMN(F205)-COLUMN($E$5),4)&gt;0,INDEX('Surface DEET'!$Q$9:$W$38,COLUMN(F205)-COLUMN($E$5),4),$E212),0)</f>
        <v>0</v>
      </c>
      <c r="G212" s="250">
        <f>IF(G$6=$C212,IF(INDEX('Surface DEET'!$Q$9:$W$38,COLUMN(G205)-COLUMN($E$5),4)&gt;0,INDEX('Surface DEET'!$Q$9:$W$38,COLUMN(G205)-COLUMN($E$5),4),$E212),0)</f>
        <v>0</v>
      </c>
      <c r="H212" s="250">
        <f>IF(H$6=$C212,IF(INDEX('Surface DEET'!$Q$9:$W$38,COLUMN(H205)-COLUMN($E$5),4)&gt;0,INDEX('Surface DEET'!$Q$9:$W$38,COLUMN(H205)-COLUMN($E$5),4),$E212),0)</f>
        <v>0</v>
      </c>
      <c r="I212" s="250">
        <f>IF(I$6=$C212,IF(INDEX('Surface DEET'!$Q$9:$W$38,COLUMN(I205)-COLUMN($E$5),4)&gt;0,INDEX('Surface DEET'!$Q$9:$W$38,COLUMN(I205)-COLUMN($E$5),4),$E212),0)</f>
        <v>0</v>
      </c>
      <c r="J212" s="250">
        <f>IF(J$6=$C212,IF(INDEX('Surface DEET'!$Q$9:$W$38,COLUMN(J205)-COLUMN($E$5),4)&gt;0,INDEX('Surface DEET'!$Q$9:$W$38,COLUMN(J205)-COLUMN($E$5),4),$E212),0)</f>
        <v>0</v>
      </c>
      <c r="K212" s="250">
        <f>IF(K$6=$C212,IF(INDEX('Surface DEET'!$Q$9:$W$38,COLUMN(K205)-COLUMN($E$5),4)&gt;0,INDEX('Surface DEET'!$Q$9:$W$38,COLUMN(K205)-COLUMN($E$5),4),$E212),0)</f>
        <v>0</v>
      </c>
      <c r="L212" s="250">
        <f>IF(L$6=$C212,IF(INDEX('Surface DEET'!$Q$9:$W$38,COLUMN(L205)-COLUMN($E$5),4)&gt;0,INDEX('Surface DEET'!$Q$9:$W$38,COLUMN(L205)-COLUMN($E$5),4),$E212),0)</f>
        <v>0</v>
      </c>
      <c r="M212" s="250">
        <f>IF(M$6=$C212,IF(INDEX('Surface DEET'!$Q$9:$W$38,COLUMN(M205)-COLUMN($E$5),4)&gt;0,INDEX('Surface DEET'!$Q$9:$W$38,COLUMN(M205)-COLUMN($E$5),4),$E212),0)</f>
        <v>0</v>
      </c>
      <c r="N212" s="250">
        <f>IF(N$6=$C212,IF(INDEX('Surface DEET'!$Q$9:$W$38,COLUMN(N205)-COLUMN($E$5),4)&gt;0,INDEX('Surface DEET'!$Q$9:$W$38,COLUMN(N205)-COLUMN($E$5),4),$E212),0)</f>
        <v>0</v>
      </c>
      <c r="O212" s="250">
        <f>IF(O$6=$C212,IF(INDEX('Surface DEET'!$Q$9:$W$38,COLUMN(O205)-COLUMN($E$5),4)&gt;0,INDEX('Surface DEET'!$Q$9:$W$38,COLUMN(O205)-COLUMN($E$5),4),$E212),0)</f>
        <v>0</v>
      </c>
      <c r="P212" s="250">
        <f>IF(P$6=$C212,IF(INDEX('Surface DEET'!$Q$9:$W$38,COLUMN(P205)-COLUMN($E$5),4)&gt;0,INDEX('Surface DEET'!$Q$9:$W$38,COLUMN(P205)-COLUMN($E$5),4),$E212),0)</f>
        <v>0</v>
      </c>
      <c r="Q212" s="250">
        <f>IF(Q$6=$C212,IF(INDEX('Surface DEET'!$Q$9:$W$38,COLUMN(Q205)-COLUMN($E$5),4)&gt;0,INDEX('Surface DEET'!$Q$9:$W$38,COLUMN(Q205)-COLUMN($E$5),4),$E212),0)</f>
        <v>0</v>
      </c>
      <c r="R212" s="250">
        <f>IF(R$6=$C212,IF(INDEX('Surface DEET'!$Q$9:$W$38,COLUMN(R205)-COLUMN($E$5),4)&gt;0,INDEX('Surface DEET'!$Q$9:$W$38,COLUMN(R205)-COLUMN($E$5),4),$E212),0)</f>
        <v>0</v>
      </c>
      <c r="S212" s="250">
        <f>IF(S$6=$C212,IF(INDEX('Surface DEET'!$Q$9:$W$38,COLUMN(S205)-COLUMN($E$5),4)&gt;0,INDEX('Surface DEET'!$Q$9:$W$38,COLUMN(S205)-COLUMN($E$5),4),$E212),0)</f>
        <v>0</v>
      </c>
      <c r="T212" s="250">
        <f>IF(T$6=$C212,IF(INDEX('Surface DEET'!$Q$9:$W$38,COLUMN(T205)-COLUMN($E$5),4)&gt;0,INDEX('Surface DEET'!$Q$9:$W$38,COLUMN(T205)-COLUMN($E$5),4),$E212),0)</f>
        <v>0</v>
      </c>
      <c r="U212" s="250">
        <f>IF(U$6=$C212,IF(INDEX('Surface DEET'!$Q$9:$W$38,COLUMN(U205)-COLUMN($E$5),4)&gt;0,INDEX('Surface DEET'!$Q$9:$W$38,COLUMN(U205)-COLUMN($E$5),4),$E212),0)</f>
        <v>0</v>
      </c>
      <c r="V212" s="250">
        <f>IF(V$6=$C212,IF(INDEX('Surface DEET'!$Q$9:$W$38,COLUMN(V205)-COLUMN($E$5),4)&gt;0,INDEX('Surface DEET'!$Q$9:$W$38,COLUMN(V205)-COLUMN($E$5),4),$E212),0)</f>
        <v>0</v>
      </c>
      <c r="W212" s="250">
        <f>IF(W$6=$C212,IF(INDEX('Surface DEET'!$Q$9:$W$38,COLUMN(W205)-COLUMN($E$5),4)&gt;0,INDEX('Surface DEET'!$Q$9:$W$38,COLUMN(W205)-COLUMN($E$5),4),$E212),0)</f>
        <v>0</v>
      </c>
      <c r="X212" s="250">
        <f>IF(X$6=$C212,IF(INDEX('Surface DEET'!$Q$9:$W$38,COLUMN(X205)-COLUMN($E$5),4)&gt;0,INDEX('Surface DEET'!$Q$9:$W$38,COLUMN(X205)-COLUMN($E$5),4),$E212),0)</f>
        <v>0</v>
      </c>
      <c r="Y212" s="250">
        <f>IF(Y$6=$C212,IF(INDEX('Surface DEET'!$Q$9:$W$38,COLUMN(Y205)-COLUMN($E$5),4)&gt;0,INDEX('Surface DEET'!$Q$9:$W$38,COLUMN(Y205)-COLUMN($E$5),4),$E212),0)</f>
        <v>0</v>
      </c>
      <c r="Z212" s="250">
        <f>IF(Z$6=$C212,IF(INDEX('Surface DEET'!$Q$9:$W$38,COLUMN(Z205)-COLUMN($E$5),4)&gt;0,INDEX('Surface DEET'!$Q$9:$W$38,COLUMN(Z205)-COLUMN($E$5),4),$E212),0)</f>
        <v>0</v>
      </c>
      <c r="AA212" s="250">
        <f>IF(AA$6=$C212,IF(INDEX('Surface DEET'!$Q$9:$W$38,COLUMN(AA205)-COLUMN($E$5),4)&gt;0,INDEX('Surface DEET'!$Q$9:$W$38,COLUMN(AA205)-COLUMN($E$5),4),$E212),0)</f>
        <v>0</v>
      </c>
      <c r="AB212" s="250">
        <f>IF(AB$6=$C212,IF(INDEX('Surface DEET'!$Q$9:$W$38,COLUMN(AB205)-COLUMN($E$5),4)&gt;0,INDEX('Surface DEET'!$Q$9:$W$38,COLUMN(AB205)-COLUMN($E$5),4),$E212),0)</f>
        <v>0</v>
      </c>
      <c r="AC212" s="250">
        <f>IF(AC$6=$C212,IF(INDEX('Surface DEET'!$Q$9:$W$38,COLUMN(AC205)-COLUMN($E$5),4)&gt;0,INDEX('Surface DEET'!$Q$9:$W$38,COLUMN(AC205)-COLUMN($E$5),4),$E212),0)</f>
        <v>0</v>
      </c>
      <c r="AD212" s="250">
        <f>IF(AD$6=$C212,IF(INDEX('Surface DEET'!$Q$9:$W$38,COLUMN(AD205)-COLUMN($E$5),4)&gt;0,INDEX('Surface DEET'!$Q$9:$W$38,COLUMN(AD205)-COLUMN($E$5),4),$E212),0)</f>
        <v>0</v>
      </c>
      <c r="AE212" s="250">
        <f>IF(AE$6=$C212,IF(INDEX('Surface DEET'!$Q$9:$W$38,COLUMN(AE205)-COLUMN($E$5),4)&gt;0,INDEX('Surface DEET'!$Q$9:$W$38,COLUMN(AE205)-COLUMN($E$5),4),$E212),0)</f>
        <v>0</v>
      </c>
      <c r="AF212" s="250">
        <f>IF(AF$6=$C212,IF(INDEX('Surface DEET'!$Q$9:$W$38,COLUMN(AF205)-COLUMN($E$5),4)&gt;0,INDEX('Surface DEET'!$Q$9:$W$38,COLUMN(AF205)-COLUMN($E$5),4),$E212),0)</f>
        <v>0</v>
      </c>
      <c r="AG212" s="250">
        <f>IF(AG$6=$C212,IF(INDEX('Surface DEET'!$Q$9:$W$38,COLUMN(AG205)-COLUMN($E$5),4)&gt;0,INDEX('Surface DEET'!$Q$9:$W$38,COLUMN(AG205)-COLUMN($E$5),4),$E212),0)</f>
        <v>0</v>
      </c>
      <c r="AH212" s="250">
        <f>IF(AH$6=$C212,IF(INDEX('Surface DEET'!$Q$9:$W$38,COLUMN(AH205)-COLUMN($E$5),4)&gt;0,INDEX('Surface DEET'!$Q$9:$W$38,COLUMN(AH205)-COLUMN($E$5),4),$E212),0)</f>
        <v>0</v>
      </c>
      <c r="AI212" s="250">
        <f>IF(AI$6=$C212,IF(INDEX('Surface DEET'!$Q$9:$W$38,COLUMN(AI205)-COLUMN($E$5),4)&gt;0,INDEX('Surface DEET'!$Q$9:$W$38,COLUMN(AI205)-COLUMN($E$5),4),$E212),0)</f>
        <v>0</v>
      </c>
    </row>
    <row r="213" spans="2:35">
      <c r="B213" s="250" t="s">
        <v>543</v>
      </c>
      <c r="C213" s="250" t="s">
        <v>609</v>
      </c>
    </row>
    <row r="214" spans="2:35">
      <c r="B214" s="250" t="s">
        <v>533</v>
      </c>
      <c r="C214" s="250" t="s">
        <v>609</v>
      </c>
      <c r="D214" s="250" t="s">
        <v>533</v>
      </c>
      <c r="F214" s="250">
        <f>IFERROR($E$208*(F211/$E$211)*($E$210*($E$212/F212)+(1-$E$210))+0.28*$E$207*(F211-$E$211)/$E$211,0)</f>
        <v>0</v>
      </c>
      <c r="G214" s="250">
        <f t="shared" ref="G214:AI214" si="25">IFERROR($E$208*(G211/$E$211)*($E$210*($E$212/G212)+(1-$E$210))+0.28*$E$207*(G211-$E$211)/$E$211,0)</f>
        <v>0</v>
      </c>
      <c r="H214" s="250">
        <f t="shared" si="25"/>
        <v>0</v>
      </c>
      <c r="I214" s="250">
        <f t="shared" si="25"/>
        <v>0</v>
      </c>
      <c r="J214" s="250">
        <f t="shared" si="25"/>
        <v>0</v>
      </c>
      <c r="K214" s="250">
        <f t="shared" si="25"/>
        <v>0</v>
      </c>
      <c r="L214" s="250">
        <f t="shared" si="25"/>
        <v>0</v>
      </c>
      <c r="M214" s="250">
        <f t="shared" si="25"/>
        <v>0</v>
      </c>
      <c r="N214" s="250">
        <f t="shared" si="25"/>
        <v>0</v>
      </c>
      <c r="O214" s="250">
        <f t="shared" si="25"/>
        <v>0</v>
      </c>
      <c r="P214" s="250">
        <f t="shared" si="25"/>
        <v>0</v>
      </c>
      <c r="Q214" s="250">
        <f t="shared" si="25"/>
        <v>0</v>
      </c>
      <c r="R214" s="250">
        <f t="shared" si="25"/>
        <v>0</v>
      </c>
      <c r="S214" s="250">
        <f t="shared" si="25"/>
        <v>0</v>
      </c>
      <c r="T214" s="250">
        <f t="shared" si="25"/>
        <v>0</v>
      </c>
      <c r="U214" s="250">
        <f t="shared" si="25"/>
        <v>0</v>
      </c>
      <c r="V214" s="250">
        <f t="shared" si="25"/>
        <v>0</v>
      </c>
      <c r="W214" s="250">
        <f t="shared" si="25"/>
        <v>0</v>
      </c>
      <c r="X214" s="250">
        <f t="shared" si="25"/>
        <v>0</v>
      </c>
      <c r="Y214" s="250">
        <f t="shared" si="25"/>
        <v>0</v>
      </c>
      <c r="Z214" s="250">
        <f t="shared" si="25"/>
        <v>0</v>
      </c>
      <c r="AA214" s="250">
        <f t="shared" si="25"/>
        <v>0</v>
      </c>
      <c r="AB214" s="250">
        <f t="shared" si="25"/>
        <v>0</v>
      </c>
      <c r="AC214" s="250">
        <f t="shared" si="25"/>
        <v>0</v>
      </c>
      <c r="AD214" s="250">
        <f t="shared" si="25"/>
        <v>0</v>
      </c>
      <c r="AE214" s="250">
        <f t="shared" si="25"/>
        <v>0</v>
      </c>
      <c r="AF214" s="250">
        <f t="shared" si="25"/>
        <v>0</v>
      </c>
      <c r="AG214" s="250">
        <f t="shared" si="25"/>
        <v>0</v>
      </c>
      <c r="AH214" s="250">
        <f t="shared" si="25"/>
        <v>0</v>
      </c>
      <c r="AI214" s="250">
        <f t="shared" si="25"/>
        <v>0</v>
      </c>
    </row>
    <row r="215" spans="2:35">
      <c r="B215" s="88" t="s">
        <v>294</v>
      </c>
      <c r="C215" s="250" t="s">
        <v>645</v>
      </c>
      <c r="D215" s="88" t="s">
        <v>294</v>
      </c>
      <c r="E215" s="250">
        <f t="array" ref="E215">INDEX(CABS_CVC!$C$3:$O$894,MATCH(1, (CABS_CVC!$A$3:$A$894=Calculs_CABS!C215)*(CABS_CVC!$B$3:$B$894=Calculs_CABS!$D$2),0),MATCH(Calculs_CABS!$D$1,Liste_CABS!$B$3:$B$15,0))</f>
        <v>16</v>
      </c>
    </row>
    <row r="216" spans="2:35">
      <c r="B216" s="250" t="s">
        <v>534</v>
      </c>
      <c r="C216" s="250" t="s">
        <v>645</v>
      </c>
      <c r="D216" s="250" t="s">
        <v>534</v>
      </c>
      <c r="E216" s="250">
        <v>8</v>
      </c>
    </row>
    <row r="217" spans="2:35">
      <c r="B217" s="250" t="s">
        <v>535</v>
      </c>
      <c r="C217" s="250" t="s">
        <v>645</v>
      </c>
      <c r="D217" s="250" t="s">
        <v>535</v>
      </c>
      <c r="E217" s="250">
        <f>E215+E216</f>
        <v>24</v>
      </c>
    </row>
    <row r="218" spans="2:35">
      <c r="B218" s="250" t="s">
        <v>536</v>
      </c>
      <c r="C218" s="250" t="s">
        <v>645</v>
      </c>
      <c r="D218" s="250" t="s">
        <v>536</v>
      </c>
      <c r="E218" s="250">
        <v>0.6</v>
      </c>
    </row>
    <row r="219" spans="2:35">
      <c r="B219" s="250" t="s">
        <v>537</v>
      </c>
      <c r="C219" s="250" t="s">
        <v>645</v>
      </c>
      <c r="D219" s="250" t="s">
        <v>537</v>
      </c>
    </row>
    <row r="220" spans="2:35">
      <c r="B220" s="250" t="s">
        <v>540</v>
      </c>
      <c r="C220" s="250" t="s">
        <v>645</v>
      </c>
      <c r="D220" s="250" t="s">
        <v>540</v>
      </c>
    </row>
    <row r="221" spans="2:35">
      <c r="B221" s="250" t="s">
        <v>543</v>
      </c>
      <c r="C221" s="250" t="s">
        <v>645</v>
      </c>
      <c r="D221" s="250" t="s">
        <v>543</v>
      </c>
    </row>
    <row r="222" spans="2:35">
      <c r="B222" s="250" t="s">
        <v>533</v>
      </c>
      <c r="C222" s="250" t="s">
        <v>645</v>
      </c>
      <c r="D222" s="250" t="s">
        <v>533</v>
      </c>
      <c r="F222" s="250">
        <f>$E$216+$E$215</f>
        <v>24</v>
      </c>
      <c r="G222" s="250">
        <f t="shared" ref="G222:AI222" si="26">$E$216+$E$215</f>
        <v>24</v>
      </c>
      <c r="H222" s="250">
        <f t="shared" si="26"/>
        <v>24</v>
      </c>
      <c r="I222" s="250">
        <f t="shared" si="26"/>
        <v>24</v>
      </c>
      <c r="J222" s="250">
        <f t="shared" si="26"/>
        <v>24</v>
      </c>
      <c r="K222" s="250">
        <f t="shared" si="26"/>
        <v>24</v>
      </c>
      <c r="L222" s="250">
        <f t="shared" si="26"/>
        <v>24</v>
      </c>
      <c r="M222" s="250">
        <f t="shared" si="26"/>
        <v>24</v>
      </c>
      <c r="N222" s="250">
        <f t="shared" si="26"/>
        <v>24</v>
      </c>
      <c r="O222" s="250">
        <f t="shared" si="26"/>
        <v>24</v>
      </c>
      <c r="P222" s="250">
        <f t="shared" si="26"/>
        <v>24</v>
      </c>
      <c r="Q222" s="250">
        <f t="shared" si="26"/>
        <v>24</v>
      </c>
      <c r="R222" s="250">
        <f t="shared" si="26"/>
        <v>24</v>
      </c>
      <c r="S222" s="250">
        <f t="shared" si="26"/>
        <v>24</v>
      </c>
      <c r="T222" s="250">
        <f t="shared" si="26"/>
        <v>24</v>
      </c>
      <c r="U222" s="250">
        <f t="shared" si="26"/>
        <v>24</v>
      </c>
      <c r="V222" s="250">
        <f t="shared" si="26"/>
        <v>24</v>
      </c>
      <c r="W222" s="250">
        <f t="shared" si="26"/>
        <v>24</v>
      </c>
      <c r="X222" s="250">
        <f t="shared" si="26"/>
        <v>24</v>
      </c>
      <c r="Y222" s="250">
        <f t="shared" si="26"/>
        <v>24</v>
      </c>
      <c r="Z222" s="250">
        <f t="shared" si="26"/>
        <v>24</v>
      </c>
      <c r="AA222" s="250">
        <f t="shared" si="26"/>
        <v>24</v>
      </c>
      <c r="AB222" s="250">
        <f t="shared" si="26"/>
        <v>24</v>
      </c>
      <c r="AC222" s="250">
        <f t="shared" si="26"/>
        <v>24</v>
      </c>
      <c r="AD222" s="250">
        <f t="shared" si="26"/>
        <v>24</v>
      </c>
      <c r="AE222" s="250">
        <f t="shared" si="26"/>
        <v>24</v>
      </c>
      <c r="AF222" s="250">
        <f t="shared" si="26"/>
        <v>24</v>
      </c>
      <c r="AG222" s="250">
        <f t="shared" si="26"/>
        <v>24</v>
      </c>
      <c r="AH222" s="250">
        <f t="shared" si="26"/>
        <v>24</v>
      </c>
      <c r="AI222" s="250">
        <f t="shared" si="26"/>
        <v>24</v>
      </c>
    </row>
    <row r="223" spans="2:35">
      <c r="B223" s="88" t="s">
        <v>294</v>
      </c>
      <c r="C223" s="250" t="s">
        <v>646</v>
      </c>
      <c r="D223" s="88" t="s">
        <v>294</v>
      </c>
      <c r="E223" s="250">
        <f t="array" ref="E223">INDEX(CABS_CVC!$C$3:$O$894,MATCH(1, (CABS_CVC!$A$3:$A$894=Calculs_CABS!C223)*(CABS_CVC!$B$3:$B$894=Calculs_CABS!$D$2),0),MATCH(Calculs_CABS!$D$1,Liste_CABS!$B$3:$B$15,0))</f>
        <v>1</v>
      </c>
    </row>
    <row r="224" spans="2:35">
      <c r="B224" s="250" t="s">
        <v>534</v>
      </c>
      <c r="C224" s="250" t="s">
        <v>646</v>
      </c>
      <c r="D224" s="250" t="s">
        <v>534</v>
      </c>
      <c r="E224" s="250">
        <v>1</v>
      </c>
    </row>
    <row r="225" spans="2:35">
      <c r="B225" s="250" t="s">
        <v>535</v>
      </c>
      <c r="C225" s="250" t="s">
        <v>646</v>
      </c>
      <c r="D225" s="250" t="s">
        <v>535</v>
      </c>
      <c r="E225" s="250">
        <f>E223+E224</f>
        <v>2</v>
      </c>
    </row>
    <row r="226" spans="2:35">
      <c r="B226" s="250" t="s">
        <v>536</v>
      </c>
      <c r="C226" s="250" t="s">
        <v>646</v>
      </c>
      <c r="D226" s="250" t="s">
        <v>536</v>
      </c>
      <c r="E226" s="250">
        <v>0.63</v>
      </c>
    </row>
    <row r="227" spans="2:35">
      <c r="B227" s="250" t="s">
        <v>537</v>
      </c>
      <c r="C227" s="250" t="s">
        <v>646</v>
      </c>
    </row>
    <row r="228" spans="2:35">
      <c r="B228" s="250" t="s">
        <v>540</v>
      </c>
      <c r="C228" s="250" t="s">
        <v>646</v>
      </c>
    </row>
    <row r="229" spans="2:35">
      <c r="B229" s="250" t="s">
        <v>543</v>
      </c>
      <c r="C229" s="250" t="s">
        <v>646</v>
      </c>
    </row>
    <row r="230" spans="2:35">
      <c r="B230" s="250" t="s">
        <v>533</v>
      </c>
      <c r="C230" s="250" t="s">
        <v>646</v>
      </c>
      <c r="D230" s="250" t="s">
        <v>533</v>
      </c>
      <c r="F230" s="250">
        <f>$E$225</f>
        <v>2</v>
      </c>
      <c r="G230" s="250">
        <f t="shared" ref="G230:AI230" si="27">$E$225</f>
        <v>2</v>
      </c>
      <c r="H230" s="250">
        <f t="shared" si="27"/>
        <v>2</v>
      </c>
      <c r="I230" s="250">
        <f t="shared" si="27"/>
        <v>2</v>
      </c>
      <c r="J230" s="250">
        <f t="shared" si="27"/>
        <v>2</v>
      </c>
      <c r="K230" s="250">
        <f t="shared" si="27"/>
        <v>2</v>
      </c>
      <c r="L230" s="250">
        <f t="shared" si="27"/>
        <v>2</v>
      </c>
      <c r="M230" s="250">
        <f t="shared" si="27"/>
        <v>2</v>
      </c>
      <c r="N230" s="250">
        <f t="shared" si="27"/>
        <v>2</v>
      </c>
      <c r="O230" s="250">
        <f t="shared" si="27"/>
        <v>2</v>
      </c>
      <c r="P230" s="250">
        <f t="shared" si="27"/>
        <v>2</v>
      </c>
      <c r="Q230" s="250">
        <f t="shared" si="27"/>
        <v>2</v>
      </c>
      <c r="R230" s="250">
        <f t="shared" si="27"/>
        <v>2</v>
      </c>
      <c r="S230" s="250">
        <f t="shared" si="27"/>
        <v>2</v>
      </c>
      <c r="T230" s="250">
        <f t="shared" si="27"/>
        <v>2</v>
      </c>
      <c r="U230" s="250">
        <f t="shared" si="27"/>
        <v>2</v>
      </c>
      <c r="V230" s="250">
        <f t="shared" si="27"/>
        <v>2</v>
      </c>
      <c r="W230" s="250">
        <f t="shared" si="27"/>
        <v>2</v>
      </c>
      <c r="X230" s="250">
        <f t="shared" si="27"/>
        <v>2</v>
      </c>
      <c r="Y230" s="250">
        <f t="shared" si="27"/>
        <v>2</v>
      </c>
      <c r="Z230" s="250">
        <f t="shared" si="27"/>
        <v>2</v>
      </c>
      <c r="AA230" s="250">
        <f t="shared" si="27"/>
        <v>2</v>
      </c>
      <c r="AB230" s="250">
        <f t="shared" si="27"/>
        <v>2</v>
      </c>
      <c r="AC230" s="250">
        <f t="shared" si="27"/>
        <v>2</v>
      </c>
      <c r="AD230" s="250">
        <f t="shared" si="27"/>
        <v>2</v>
      </c>
      <c r="AE230" s="250">
        <f t="shared" si="27"/>
        <v>2</v>
      </c>
      <c r="AF230" s="250">
        <f t="shared" si="27"/>
        <v>2</v>
      </c>
      <c r="AG230" s="250">
        <f t="shared" si="27"/>
        <v>2</v>
      </c>
      <c r="AH230" s="250">
        <f t="shared" si="27"/>
        <v>2</v>
      </c>
      <c r="AI230" s="250">
        <f t="shared" si="27"/>
        <v>2</v>
      </c>
    </row>
    <row r="231" spans="2:35">
      <c r="B231" s="88" t="s">
        <v>294</v>
      </c>
      <c r="C231" s="250" t="s">
        <v>647</v>
      </c>
      <c r="D231" s="88" t="s">
        <v>648</v>
      </c>
      <c r="E231" s="250">
        <f t="array" ref="E231">INDEX(CABS_CVC!$C$3:$O$894,MATCH(1, (CABS_CVC!$A$3:$A$894=Calculs_CABS!C231)*(CABS_CVC!$B$3:$B$894=Calculs_CABS!$D$2),0),MATCH(Calculs_CABS!$D$1,Liste_CABS!$B$3:$B$15,0))</f>
        <v>2</v>
      </c>
    </row>
    <row r="232" spans="2:35">
      <c r="B232" s="250" t="s">
        <v>534</v>
      </c>
      <c r="C232" s="250" t="s">
        <v>647</v>
      </c>
      <c r="D232" s="250" t="s">
        <v>534</v>
      </c>
      <c r="E232" s="250">
        <v>1156</v>
      </c>
    </row>
    <row r="233" spans="2:35">
      <c r="B233" s="250" t="s">
        <v>535</v>
      </c>
      <c r="C233" s="250" t="s">
        <v>647</v>
      </c>
      <c r="D233" s="250" t="s">
        <v>535</v>
      </c>
    </row>
    <row r="234" spans="2:35">
      <c r="B234" s="250" t="s">
        <v>536</v>
      </c>
      <c r="C234" s="250" t="s">
        <v>647</v>
      </c>
      <c r="D234" s="250" t="s">
        <v>536</v>
      </c>
    </row>
    <row r="235" spans="2:35">
      <c r="B235" s="250" t="s">
        <v>537</v>
      </c>
      <c r="C235" s="250" t="s">
        <v>647</v>
      </c>
      <c r="D235" s="250" t="s">
        <v>649</v>
      </c>
      <c r="F235" s="250">
        <f>IF(F$6=$C235,IF(INDEX('Surface DEET'!$Q$9:$W$38,COLUMN(F228)-COLUMN($E$5),1)&gt;0,INDEX('Surface DEET'!$Q$9:$W$38,COLUMN(F228)-COLUMN($E$5),1),$E235),0)</f>
        <v>0</v>
      </c>
      <c r="G235" s="250">
        <f>IF(G$6=$C235,IF(INDEX('Surface DEET'!$Q$9:$W$38,COLUMN(G228)-COLUMN($E$5),1)&gt;0,INDEX('Surface DEET'!$Q$9:$W$38,COLUMN(G228)-COLUMN($E$5),1),$E235),0)</f>
        <v>0</v>
      </c>
      <c r="H235" s="250">
        <f>IF(H$6=$C235,IF(INDEX('Surface DEET'!$Q$9:$W$38,COLUMN(H228)-COLUMN($E$5),1)&gt;0,INDEX('Surface DEET'!$Q$9:$W$38,COLUMN(H228)-COLUMN($E$5),1),$E235),0)</f>
        <v>0</v>
      </c>
      <c r="I235" s="250">
        <f>IF(I$6=$C235,IF(INDEX('Surface DEET'!$Q$9:$W$38,COLUMN(I228)-COLUMN($E$5),1)&gt;0,INDEX('Surface DEET'!$Q$9:$W$38,COLUMN(I228)-COLUMN($E$5),1),$E235),0)</f>
        <v>0</v>
      </c>
      <c r="J235" s="250">
        <f>IF(J$6=$C235,IF(INDEX('Surface DEET'!$Q$9:$W$38,COLUMN(J228)-COLUMN($E$5),1)&gt;0,INDEX('Surface DEET'!$Q$9:$W$38,COLUMN(J228)-COLUMN($E$5),1),$E235),0)</f>
        <v>0</v>
      </c>
      <c r="K235" s="250">
        <f>IF(K$6=$C235,IF(INDEX('Surface DEET'!$Q$9:$W$38,COLUMN(K228)-COLUMN($E$5),1)&gt;0,INDEX('Surface DEET'!$Q$9:$W$38,COLUMN(K228)-COLUMN($E$5),1),$E235),0)</f>
        <v>0</v>
      </c>
      <c r="L235" s="250">
        <f>IF(L$6=$C235,IF(INDEX('Surface DEET'!$Q$9:$W$38,COLUMN(L228)-COLUMN($E$5),1)&gt;0,INDEX('Surface DEET'!$Q$9:$W$38,COLUMN(L228)-COLUMN($E$5),1),$E235),0)</f>
        <v>0</v>
      </c>
      <c r="M235" s="250">
        <f>IF(M$6=$C235,IF(INDEX('Surface DEET'!$Q$9:$W$38,COLUMN(M228)-COLUMN($E$5),1)&gt;0,INDEX('Surface DEET'!$Q$9:$W$38,COLUMN(M228)-COLUMN($E$5),1),$E235),0)</f>
        <v>0</v>
      </c>
      <c r="N235" s="250">
        <f>IF(N$6=$C235,IF(INDEX('Surface DEET'!$Q$9:$W$38,COLUMN(N228)-COLUMN($E$5),1)&gt;0,INDEX('Surface DEET'!$Q$9:$W$38,COLUMN(N228)-COLUMN($E$5),1),$E235),0)</f>
        <v>0</v>
      </c>
      <c r="O235" s="250">
        <f>IF(O$6=$C235,IF(INDEX('Surface DEET'!$Q$9:$W$38,COLUMN(O228)-COLUMN($E$5),1)&gt;0,INDEX('Surface DEET'!$Q$9:$W$38,COLUMN(O228)-COLUMN($E$5),1),$E235),0)</f>
        <v>0</v>
      </c>
      <c r="P235" s="250">
        <f>IF(P$6=$C235,IF(INDEX('Surface DEET'!$Q$9:$W$38,COLUMN(P228)-COLUMN($E$5),1)&gt;0,INDEX('Surface DEET'!$Q$9:$W$38,COLUMN(P228)-COLUMN($E$5),1),$E235),0)</f>
        <v>0</v>
      </c>
      <c r="Q235" s="250">
        <f>IF(Q$6=$C235,IF(INDEX('Surface DEET'!$Q$9:$W$38,COLUMN(Q228)-COLUMN($E$5),1)&gt;0,INDEX('Surface DEET'!$Q$9:$W$38,COLUMN(Q228)-COLUMN($E$5),1),$E235),0)</f>
        <v>0</v>
      </c>
      <c r="R235" s="250">
        <f>IF(R$6=$C235,IF(INDEX('Surface DEET'!$Q$9:$W$38,COLUMN(R228)-COLUMN($E$5),1)&gt;0,INDEX('Surface DEET'!$Q$9:$W$38,COLUMN(R228)-COLUMN($E$5),1),$E235),0)</f>
        <v>0</v>
      </c>
      <c r="S235" s="250">
        <f>IF(S$6=$C235,IF(INDEX('Surface DEET'!$Q$9:$W$38,COLUMN(S228)-COLUMN($E$5),1)&gt;0,INDEX('Surface DEET'!$Q$9:$W$38,COLUMN(S228)-COLUMN($E$5),1),$E235),0)</f>
        <v>0</v>
      </c>
      <c r="T235" s="250">
        <f>IF(T$6=$C235,IF(INDEX('Surface DEET'!$Q$9:$W$38,COLUMN(T228)-COLUMN($E$5),1)&gt;0,INDEX('Surface DEET'!$Q$9:$W$38,COLUMN(T228)-COLUMN($E$5),1),$E235),0)</f>
        <v>0</v>
      </c>
      <c r="U235" s="250">
        <f>IF(U$6=$C235,IF(INDEX('Surface DEET'!$Q$9:$W$38,COLUMN(U228)-COLUMN($E$5),1)&gt;0,INDEX('Surface DEET'!$Q$9:$W$38,COLUMN(U228)-COLUMN($E$5),1),$E235),0)</f>
        <v>0</v>
      </c>
      <c r="V235" s="250">
        <f>IF(V$6=$C235,IF(INDEX('Surface DEET'!$Q$9:$W$38,COLUMN(V228)-COLUMN($E$5),1)&gt;0,INDEX('Surface DEET'!$Q$9:$W$38,COLUMN(V228)-COLUMN($E$5),1),$E235),0)</f>
        <v>0</v>
      </c>
      <c r="W235" s="250">
        <f>IF(W$6=$C235,IF(INDEX('Surface DEET'!$Q$9:$W$38,COLUMN(W228)-COLUMN($E$5),1)&gt;0,INDEX('Surface DEET'!$Q$9:$W$38,COLUMN(W228)-COLUMN($E$5),1),$E235),0)</f>
        <v>0</v>
      </c>
      <c r="X235" s="250">
        <f>IF(X$6=$C235,IF(INDEX('Surface DEET'!$Q$9:$W$38,COLUMN(X228)-COLUMN($E$5),1)&gt;0,INDEX('Surface DEET'!$Q$9:$W$38,COLUMN(X228)-COLUMN($E$5),1),$E235),0)</f>
        <v>0</v>
      </c>
      <c r="Y235" s="250">
        <f>IF(Y$6=$C235,IF(INDEX('Surface DEET'!$Q$9:$W$38,COLUMN(Y228)-COLUMN($E$5),1)&gt;0,INDEX('Surface DEET'!$Q$9:$W$38,COLUMN(Y228)-COLUMN($E$5),1),$E235),0)</f>
        <v>0</v>
      </c>
      <c r="Z235" s="250">
        <f>IF(Z$6=$C235,IF(INDEX('Surface DEET'!$Q$9:$W$38,COLUMN(Z228)-COLUMN($E$5),1)&gt;0,INDEX('Surface DEET'!$Q$9:$W$38,COLUMN(Z228)-COLUMN($E$5),1),$E235),0)</f>
        <v>0</v>
      </c>
      <c r="AA235" s="250">
        <f>IF(AA$6=$C235,IF(INDEX('Surface DEET'!$Q$9:$W$38,COLUMN(AA228)-COLUMN($E$5),1)&gt;0,INDEX('Surface DEET'!$Q$9:$W$38,COLUMN(AA228)-COLUMN($E$5),1),$E235),0)</f>
        <v>0</v>
      </c>
      <c r="AB235" s="250">
        <f>IF(AB$6=$C235,IF(INDEX('Surface DEET'!$Q$9:$W$38,COLUMN(AB228)-COLUMN($E$5),1)&gt;0,INDEX('Surface DEET'!$Q$9:$W$38,COLUMN(AB228)-COLUMN($E$5),1),$E235),0)</f>
        <v>0</v>
      </c>
      <c r="AC235" s="250">
        <f>IF(AC$6=$C235,IF(INDEX('Surface DEET'!$Q$9:$W$38,COLUMN(AC228)-COLUMN($E$5),1)&gt;0,INDEX('Surface DEET'!$Q$9:$W$38,COLUMN(AC228)-COLUMN($E$5),1),$E235),0)</f>
        <v>0</v>
      </c>
      <c r="AD235" s="250">
        <f>IF(AD$6=$C235,IF(INDEX('Surface DEET'!$Q$9:$W$38,COLUMN(AD228)-COLUMN($E$5),1)&gt;0,INDEX('Surface DEET'!$Q$9:$W$38,COLUMN(AD228)-COLUMN($E$5),1),$E235),0)</f>
        <v>0</v>
      </c>
      <c r="AE235" s="250">
        <f>IF(AE$6=$C235,IF(INDEX('Surface DEET'!$Q$9:$W$38,COLUMN(AE228)-COLUMN($E$5),1)&gt;0,INDEX('Surface DEET'!$Q$9:$W$38,COLUMN(AE228)-COLUMN($E$5),1),$E235),0)</f>
        <v>0</v>
      </c>
      <c r="AF235" s="250">
        <f>IF(AF$6=$C235,IF(INDEX('Surface DEET'!$Q$9:$W$38,COLUMN(AF228)-COLUMN($E$5),1)&gt;0,INDEX('Surface DEET'!$Q$9:$W$38,COLUMN(AF228)-COLUMN($E$5),1),$E235),0)</f>
        <v>0</v>
      </c>
      <c r="AG235" s="250">
        <f>IF(AG$6=$C235,IF(INDEX('Surface DEET'!$Q$9:$W$38,COLUMN(AG228)-COLUMN($E$5),1)&gt;0,INDEX('Surface DEET'!$Q$9:$W$38,COLUMN(AG228)-COLUMN($E$5),1),$E235),0)</f>
        <v>0</v>
      </c>
      <c r="AH235" s="250">
        <f>IF(AH$6=$C235,IF(INDEX('Surface DEET'!$Q$9:$W$38,COLUMN(AH228)-COLUMN($E$5),1)&gt;0,INDEX('Surface DEET'!$Q$9:$W$38,COLUMN(AH228)-COLUMN($E$5),1),$E235),0)</f>
        <v>0</v>
      </c>
      <c r="AI235" s="250">
        <f>IF(AI$6=$C235,IF(INDEX('Surface DEET'!$Q$9:$W$38,COLUMN(AI228)-COLUMN($E$5),1)&gt;0,INDEX('Surface DEET'!$Q$9:$W$38,COLUMN(AI228)-COLUMN($E$5),1),$E235),0)</f>
        <v>0</v>
      </c>
    </row>
    <row r="236" spans="2:35">
      <c r="B236" s="250" t="s">
        <v>540</v>
      </c>
      <c r="C236" s="250" t="s">
        <v>647</v>
      </c>
      <c r="D236" s="250" t="s">
        <v>650</v>
      </c>
      <c r="F236" s="250">
        <f>IF(F$6=$C236,IF(INDEX('Surface DEET'!$F$9:$W$38,COLUMN(F229)-COLUMN($E$5),7)&gt;0,INDEX('Surface DEET'!$F$9:$W$38,COLUMN(F229)-COLUMN($E$5),1),$E236),0)</f>
        <v>0</v>
      </c>
      <c r="G236" s="250">
        <f>IF(G$6=$C236,IF(INDEX('Surface DEET'!$F$9:$W$38,COLUMN(G229)-COLUMN($E$5),7)&gt;0,INDEX('Surface DEET'!$F$9:$W$38,COLUMN(G229)-COLUMN($E$5),1),$E236),0)</f>
        <v>0</v>
      </c>
      <c r="H236" s="250">
        <f>IF(H$6=$C236,IF(INDEX('Surface DEET'!$F$9:$W$38,COLUMN(H229)-COLUMN($E$5),7)&gt;0,INDEX('Surface DEET'!$F$9:$W$38,COLUMN(H229)-COLUMN($E$5),1),$E236),0)</f>
        <v>0</v>
      </c>
      <c r="I236" s="250">
        <f>IF(I$6=$C236,IF(INDEX('Surface DEET'!$F$9:$W$38,COLUMN(I229)-COLUMN($E$5),7)&gt;0,INDEX('Surface DEET'!$F$9:$W$38,COLUMN(I229)-COLUMN($E$5),1),$E236),0)</f>
        <v>0</v>
      </c>
      <c r="J236" s="250">
        <f>IF(J$6=$C236,IF(INDEX('Surface DEET'!$F$9:$W$38,COLUMN(J229)-COLUMN($E$5),7)&gt;0,INDEX('Surface DEET'!$F$9:$W$38,COLUMN(J229)-COLUMN($E$5),1),$E236),0)</f>
        <v>0</v>
      </c>
      <c r="K236" s="250">
        <f>IF(K$6=$C236,IF(INDEX('Surface DEET'!$F$9:$W$38,COLUMN(K229)-COLUMN($E$5),7)&gt;0,INDEX('Surface DEET'!$F$9:$W$38,COLUMN(K229)-COLUMN($E$5),1),$E236),0)</f>
        <v>0</v>
      </c>
      <c r="L236" s="250">
        <f>IF(L$6=$C236,IF(INDEX('Surface DEET'!$F$9:$W$38,COLUMN(L229)-COLUMN($E$5),7)&gt;0,INDEX('Surface DEET'!$F$9:$W$38,COLUMN(L229)-COLUMN($E$5),1),$E236),0)</f>
        <v>0</v>
      </c>
      <c r="M236" s="250">
        <f>IF(M$6=$C236,IF(INDEX('Surface DEET'!$F$9:$W$38,COLUMN(M229)-COLUMN($E$5),7)&gt;0,INDEX('Surface DEET'!$F$9:$W$38,COLUMN(M229)-COLUMN($E$5),1),$E236),0)</f>
        <v>0</v>
      </c>
      <c r="N236" s="250">
        <f>IF(N$6=$C236,IF(INDEX('Surface DEET'!$F$9:$W$38,COLUMN(N229)-COLUMN($E$5),7)&gt;0,INDEX('Surface DEET'!$F$9:$W$38,COLUMN(N229)-COLUMN($E$5),1),$E236),0)</f>
        <v>0</v>
      </c>
      <c r="O236" s="250">
        <f>IF(O$6=$C236,IF(INDEX('Surface DEET'!$F$9:$W$38,COLUMN(O229)-COLUMN($E$5),7)&gt;0,INDEX('Surface DEET'!$F$9:$W$38,COLUMN(O229)-COLUMN($E$5),1),$E236),0)</f>
        <v>0</v>
      </c>
      <c r="P236" s="250">
        <f>IF(P$6=$C236,IF(INDEX('Surface DEET'!$F$9:$W$38,COLUMN(P229)-COLUMN($E$5),7)&gt;0,INDEX('Surface DEET'!$F$9:$W$38,COLUMN(P229)-COLUMN($E$5),1),$E236),0)</f>
        <v>0</v>
      </c>
      <c r="Q236" s="250">
        <f>IF(Q$6=$C236,IF(INDEX('Surface DEET'!$F$9:$W$38,COLUMN(Q229)-COLUMN($E$5),7)&gt;0,INDEX('Surface DEET'!$F$9:$W$38,COLUMN(Q229)-COLUMN($E$5),1),$E236),0)</f>
        <v>0</v>
      </c>
      <c r="R236" s="250">
        <f>IF(R$6=$C236,IF(INDEX('Surface DEET'!$F$9:$W$38,COLUMN(R229)-COLUMN($E$5),7)&gt;0,INDEX('Surface DEET'!$F$9:$W$38,COLUMN(R229)-COLUMN($E$5),1),$E236),0)</f>
        <v>0</v>
      </c>
      <c r="S236" s="250">
        <f>IF(S$6=$C236,IF(INDEX('Surface DEET'!$F$9:$W$38,COLUMN(S229)-COLUMN($E$5),7)&gt;0,INDEX('Surface DEET'!$F$9:$W$38,COLUMN(S229)-COLUMN($E$5),1),$E236),0)</f>
        <v>0</v>
      </c>
      <c r="T236" s="250">
        <f>IF(T$6=$C236,IF(INDEX('Surface DEET'!$F$9:$W$38,COLUMN(T229)-COLUMN($E$5),7)&gt;0,INDEX('Surface DEET'!$F$9:$W$38,COLUMN(T229)-COLUMN($E$5),1),$E236),0)</f>
        <v>0</v>
      </c>
      <c r="U236" s="250">
        <f>IF(U$6=$C236,IF(INDEX('Surface DEET'!$F$9:$W$38,COLUMN(U229)-COLUMN($E$5),7)&gt;0,INDEX('Surface DEET'!$F$9:$W$38,COLUMN(U229)-COLUMN($E$5),1),$E236),0)</f>
        <v>0</v>
      </c>
      <c r="V236" s="250">
        <f>IF(V$6=$C236,IF(INDEX('Surface DEET'!$F$9:$W$38,COLUMN(V229)-COLUMN($E$5),7)&gt;0,INDEX('Surface DEET'!$F$9:$W$38,COLUMN(V229)-COLUMN($E$5),1),$E236),0)</f>
        <v>0</v>
      </c>
      <c r="W236" s="250">
        <f>IF(W$6=$C236,IF(INDEX('Surface DEET'!$F$9:$W$38,COLUMN(W229)-COLUMN($E$5),7)&gt;0,INDEX('Surface DEET'!$F$9:$W$38,COLUMN(W229)-COLUMN($E$5),1),$E236),0)</f>
        <v>0</v>
      </c>
      <c r="X236" s="250">
        <f>IF(X$6=$C236,IF(INDEX('Surface DEET'!$F$9:$W$38,COLUMN(X229)-COLUMN($E$5),7)&gt;0,INDEX('Surface DEET'!$F$9:$W$38,COLUMN(X229)-COLUMN($E$5),1),$E236),0)</f>
        <v>0</v>
      </c>
      <c r="Y236" s="250">
        <f>IF(Y$6=$C236,IF(INDEX('Surface DEET'!$F$9:$W$38,COLUMN(Y229)-COLUMN($E$5),7)&gt;0,INDEX('Surface DEET'!$F$9:$W$38,COLUMN(Y229)-COLUMN($E$5),1),$E236),0)</f>
        <v>0</v>
      </c>
      <c r="Z236" s="250">
        <f>IF(Z$6=$C236,IF(INDEX('Surface DEET'!$F$9:$W$38,COLUMN(Z229)-COLUMN($E$5),7)&gt;0,INDEX('Surface DEET'!$F$9:$W$38,COLUMN(Z229)-COLUMN($E$5),1),$E236),0)</f>
        <v>0</v>
      </c>
      <c r="AA236" s="250">
        <f>IF(AA$6=$C236,IF(INDEX('Surface DEET'!$F$9:$W$38,COLUMN(AA229)-COLUMN($E$5),7)&gt;0,INDEX('Surface DEET'!$F$9:$W$38,COLUMN(AA229)-COLUMN($E$5),1),$E236),0)</f>
        <v>0</v>
      </c>
      <c r="AB236" s="250">
        <f>IF(AB$6=$C236,IF(INDEX('Surface DEET'!$F$9:$W$38,COLUMN(AB229)-COLUMN($E$5),7)&gt;0,INDEX('Surface DEET'!$F$9:$W$38,COLUMN(AB229)-COLUMN($E$5),1),$E236),0)</f>
        <v>0</v>
      </c>
      <c r="AC236" s="250">
        <f>IF(AC$6=$C236,IF(INDEX('Surface DEET'!$F$9:$W$38,COLUMN(AC229)-COLUMN($E$5),7)&gt;0,INDEX('Surface DEET'!$F$9:$W$38,COLUMN(AC229)-COLUMN($E$5),1),$E236),0)</f>
        <v>0</v>
      </c>
      <c r="AD236" s="250">
        <f>IF(AD$6=$C236,IF(INDEX('Surface DEET'!$F$9:$W$38,COLUMN(AD229)-COLUMN($E$5),7)&gt;0,INDEX('Surface DEET'!$F$9:$W$38,COLUMN(AD229)-COLUMN($E$5),1),$E236),0)</f>
        <v>0</v>
      </c>
      <c r="AE236" s="250">
        <f>IF(AE$6=$C236,IF(INDEX('Surface DEET'!$F$9:$W$38,COLUMN(AE229)-COLUMN($E$5),7)&gt;0,INDEX('Surface DEET'!$F$9:$W$38,COLUMN(AE229)-COLUMN($E$5),1),$E236),0)</f>
        <v>0</v>
      </c>
      <c r="AF236" s="250">
        <f>IF(AF$6=$C236,IF(INDEX('Surface DEET'!$F$9:$W$38,COLUMN(AF229)-COLUMN($E$5),7)&gt;0,INDEX('Surface DEET'!$F$9:$W$38,COLUMN(AF229)-COLUMN($E$5),1),$E236),0)</f>
        <v>0</v>
      </c>
      <c r="AG236" s="250">
        <f>IF(AG$6=$C236,IF(INDEX('Surface DEET'!$F$9:$W$38,COLUMN(AG229)-COLUMN($E$5),7)&gt;0,INDEX('Surface DEET'!$F$9:$W$38,COLUMN(AG229)-COLUMN($E$5),1),$E236),0)</f>
        <v>0</v>
      </c>
      <c r="AH236" s="250">
        <f>IF(AH$6=$C236,IF(INDEX('Surface DEET'!$F$9:$W$38,COLUMN(AH229)-COLUMN($E$5),7)&gt;0,INDEX('Surface DEET'!$F$9:$W$38,COLUMN(AH229)-COLUMN($E$5),1),$E236),0)</f>
        <v>0</v>
      </c>
      <c r="AI236" s="250">
        <f>IF(AI$6=$C236,IF(INDEX('Surface DEET'!$F$9:$W$38,COLUMN(AI229)-COLUMN($E$5),7)&gt;0,INDEX('Surface DEET'!$F$9:$W$38,COLUMN(AI229)-COLUMN($E$5),1),$E236),0)</f>
        <v>0</v>
      </c>
    </row>
    <row r="237" spans="2:35">
      <c r="B237" s="250" t="s">
        <v>543</v>
      </c>
      <c r="C237" s="250" t="s">
        <v>647</v>
      </c>
    </row>
    <row r="238" spans="2:35">
      <c r="B238" s="250" t="s">
        <v>533</v>
      </c>
      <c r="C238" s="250" t="s">
        <v>647</v>
      </c>
      <c r="D238" s="250" t="s">
        <v>533</v>
      </c>
      <c r="F238" s="250">
        <f>IF(F235=0,$E$232,F235*$E$231/F236)</f>
        <v>1156</v>
      </c>
      <c r="G238" s="250">
        <f t="shared" ref="G238:AI238" si="28">IF(G235=0,$E$232,G235*$E$231/G236)</f>
        <v>1156</v>
      </c>
      <c r="H238" s="250">
        <f t="shared" si="28"/>
        <v>1156</v>
      </c>
      <c r="I238" s="250">
        <f t="shared" si="28"/>
        <v>1156</v>
      </c>
      <c r="J238" s="250">
        <f t="shared" si="28"/>
        <v>1156</v>
      </c>
      <c r="K238" s="250">
        <f t="shared" si="28"/>
        <v>1156</v>
      </c>
      <c r="L238" s="250">
        <f t="shared" si="28"/>
        <v>1156</v>
      </c>
      <c r="M238" s="250">
        <f t="shared" si="28"/>
        <v>1156</v>
      </c>
      <c r="N238" s="250">
        <f t="shared" si="28"/>
        <v>1156</v>
      </c>
      <c r="O238" s="250">
        <f t="shared" si="28"/>
        <v>1156</v>
      </c>
      <c r="P238" s="250">
        <f t="shared" si="28"/>
        <v>1156</v>
      </c>
      <c r="Q238" s="250">
        <f t="shared" si="28"/>
        <v>1156</v>
      </c>
      <c r="R238" s="250">
        <f t="shared" si="28"/>
        <v>1156</v>
      </c>
      <c r="S238" s="250">
        <f t="shared" si="28"/>
        <v>1156</v>
      </c>
      <c r="T238" s="250">
        <f t="shared" si="28"/>
        <v>1156</v>
      </c>
      <c r="U238" s="250">
        <f t="shared" si="28"/>
        <v>1156</v>
      </c>
      <c r="V238" s="250">
        <f t="shared" si="28"/>
        <v>1156</v>
      </c>
      <c r="W238" s="250">
        <f t="shared" si="28"/>
        <v>1156</v>
      </c>
      <c r="X238" s="250">
        <f t="shared" si="28"/>
        <v>1156</v>
      </c>
      <c r="Y238" s="250">
        <f t="shared" si="28"/>
        <v>1156</v>
      </c>
      <c r="Z238" s="250">
        <f t="shared" si="28"/>
        <v>1156</v>
      </c>
      <c r="AA238" s="250">
        <f t="shared" si="28"/>
        <v>1156</v>
      </c>
      <c r="AB238" s="250">
        <f t="shared" si="28"/>
        <v>1156</v>
      </c>
      <c r="AC238" s="250">
        <f t="shared" si="28"/>
        <v>1156</v>
      </c>
      <c r="AD238" s="250">
        <f t="shared" si="28"/>
        <v>1156</v>
      </c>
      <c r="AE238" s="250">
        <f t="shared" si="28"/>
        <v>1156</v>
      </c>
      <c r="AF238" s="250">
        <f t="shared" si="28"/>
        <v>1156</v>
      </c>
      <c r="AG238" s="250">
        <f t="shared" si="28"/>
        <v>1156</v>
      </c>
      <c r="AH238" s="250">
        <f t="shared" si="28"/>
        <v>1156</v>
      </c>
      <c r="AI238" s="250">
        <f t="shared" si="28"/>
        <v>1156</v>
      </c>
    </row>
    <row r="239" spans="2:35">
      <c r="B239" s="88" t="s">
        <v>294</v>
      </c>
      <c r="C239" s="250" t="s">
        <v>651</v>
      </c>
      <c r="D239" s="88" t="s">
        <v>648</v>
      </c>
      <c r="E239" s="250">
        <f t="array" ref="E239">INDEX(CABS_CVC!$C$3:$O$894,MATCH(1, (CABS_CVC!$A$3:$A$894=Calculs_CABS!C239)*(CABS_CVC!$B$3:$B$894=Calculs_CABS!$D$2),0),MATCH(Calculs_CABS!$D$1,Liste_CABS!$B$3:$B$15,0))</f>
        <v>0</v>
      </c>
    </row>
    <row r="240" spans="2:35">
      <c r="B240" s="250" t="s">
        <v>534</v>
      </c>
      <c r="C240" s="250" t="s">
        <v>651</v>
      </c>
      <c r="D240" s="250" t="s">
        <v>534</v>
      </c>
      <c r="E240" s="250">
        <v>1041</v>
      </c>
    </row>
    <row r="241" spans="2:35">
      <c r="B241" s="250" t="s">
        <v>535</v>
      </c>
      <c r="C241" s="250" t="s">
        <v>651</v>
      </c>
      <c r="D241" s="250" t="s">
        <v>535</v>
      </c>
    </row>
    <row r="242" spans="2:35">
      <c r="B242" s="250" t="s">
        <v>536</v>
      </c>
      <c r="C242" s="250" t="s">
        <v>651</v>
      </c>
      <c r="D242" s="250" t="s">
        <v>536</v>
      </c>
    </row>
    <row r="243" spans="2:35">
      <c r="B243" s="250" t="s">
        <v>537</v>
      </c>
      <c r="C243" s="250" t="s">
        <v>651</v>
      </c>
      <c r="D243" s="250" t="s">
        <v>649</v>
      </c>
      <c r="F243" s="250">
        <f>IF(F$6=$C243,IF(INDEX('Surface DEET'!$Q$9:$W$38,COLUMN(F236)-COLUMN($E$5),1)&gt;0,INDEX('Surface DEET'!$Q$9:$W$38,COLUMN(F236)-COLUMN($E$5),1),$E243),0)</f>
        <v>0</v>
      </c>
      <c r="G243" s="250">
        <f>IF(G$6=$C243,IF(INDEX('Surface DEET'!$Q$9:$W$38,COLUMN(G236)-COLUMN($E$5),1)&gt;0,INDEX('Surface DEET'!$Q$9:$W$38,COLUMN(G236)-COLUMN($E$5),1),$E243),0)</f>
        <v>0</v>
      </c>
      <c r="H243" s="250">
        <f>IF(H$6=$C243,IF(INDEX('Surface DEET'!$Q$9:$W$38,COLUMN(H236)-COLUMN($E$5),1)&gt;0,INDEX('Surface DEET'!$Q$9:$W$38,COLUMN(H236)-COLUMN($E$5),1),$E243),0)</f>
        <v>0</v>
      </c>
      <c r="I243" s="250">
        <f>IF(I$6=$C243,IF(INDEX('Surface DEET'!$Q$9:$W$38,COLUMN(I236)-COLUMN($E$5),1)&gt;0,INDEX('Surface DEET'!$Q$9:$W$38,COLUMN(I236)-COLUMN($E$5),1),$E243),0)</f>
        <v>0</v>
      </c>
      <c r="J243" s="250">
        <f>IF(J$6=$C243,IF(INDEX('Surface DEET'!$Q$9:$W$38,COLUMN(J236)-COLUMN($E$5),1)&gt;0,INDEX('Surface DEET'!$Q$9:$W$38,COLUMN(J236)-COLUMN($E$5),1),$E243),0)</f>
        <v>0</v>
      </c>
      <c r="K243" s="250">
        <f>IF(K$6=$C243,IF(INDEX('Surface DEET'!$Q$9:$W$38,COLUMN(K236)-COLUMN($E$5),1)&gt;0,INDEX('Surface DEET'!$Q$9:$W$38,COLUMN(K236)-COLUMN($E$5),1),$E243),0)</f>
        <v>0</v>
      </c>
      <c r="L243" s="250">
        <f>IF(L$6=$C243,IF(INDEX('Surface DEET'!$Q$9:$W$38,COLUMN(L236)-COLUMN($E$5),1)&gt;0,INDEX('Surface DEET'!$Q$9:$W$38,COLUMN(L236)-COLUMN($E$5),1),$E243),0)</f>
        <v>0</v>
      </c>
      <c r="M243" s="250">
        <f>IF(M$6=$C243,IF(INDEX('Surface DEET'!$Q$9:$W$38,COLUMN(M236)-COLUMN($E$5),1)&gt;0,INDEX('Surface DEET'!$Q$9:$W$38,COLUMN(M236)-COLUMN($E$5),1),$E243),0)</f>
        <v>0</v>
      </c>
      <c r="N243" s="250">
        <f>IF(N$6=$C243,IF(INDEX('Surface DEET'!$Q$9:$W$38,COLUMN(N236)-COLUMN($E$5),1)&gt;0,INDEX('Surface DEET'!$Q$9:$W$38,COLUMN(N236)-COLUMN($E$5),1),$E243),0)</f>
        <v>0</v>
      </c>
      <c r="O243" s="250">
        <f>IF(O$6=$C243,IF(INDEX('Surface DEET'!$Q$9:$W$38,COLUMN(O236)-COLUMN($E$5),1)&gt;0,INDEX('Surface DEET'!$Q$9:$W$38,COLUMN(O236)-COLUMN($E$5),1),$E243),0)</f>
        <v>0</v>
      </c>
      <c r="P243" s="250">
        <f>IF(P$6=$C243,IF(INDEX('Surface DEET'!$Q$9:$W$38,COLUMN(P236)-COLUMN($E$5),1)&gt;0,INDEX('Surface DEET'!$Q$9:$W$38,COLUMN(P236)-COLUMN($E$5),1),$E243),0)</f>
        <v>0</v>
      </c>
      <c r="Q243" s="250">
        <f>IF(Q$6=$C243,IF(INDEX('Surface DEET'!$Q$9:$W$38,COLUMN(Q236)-COLUMN($E$5),1)&gt;0,INDEX('Surface DEET'!$Q$9:$W$38,COLUMN(Q236)-COLUMN($E$5),1),$E243),0)</f>
        <v>0</v>
      </c>
      <c r="R243" s="250">
        <f>IF(R$6=$C243,IF(INDEX('Surface DEET'!$Q$9:$W$38,COLUMN(R236)-COLUMN($E$5),1)&gt;0,INDEX('Surface DEET'!$Q$9:$W$38,COLUMN(R236)-COLUMN($E$5),1),$E243),0)</f>
        <v>0</v>
      </c>
      <c r="S243" s="250">
        <f>IF(S$6=$C243,IF(INDEX('Surface DEET'!$Q$9:$W$38,COLUMN(S236)-COLUMN($E$5),1)&gt;0,INDEX('Surface DEET'!$Q$9:$W$38,COLUMN(S236)-COLUMN($E$5),1),$E243),0)</f>
        <v>0</v>
      </c>
      <c r="T243" s="250">
        <f>IF(T$6=$C243,IF(INDEX('Surface DEET'!$Q$9:$W$38,COLUMN(T236)-COLUMN($E$5),1)&gt;0,INDEX('Surface DEET'!$Q$9:$W$38,COLUMN(T236)-COLUMN($E$5),1),$E243),0)</f>
        <v>0</v>
      </c>
      <c r="U243" s="250">
        <f>IF(U$6=$C243,IF(INDEX('Surface DEET'!$Q$9:$W$38,COLUMN(U236)-COLUMN($E$5),1)&gt;0,INDEX('Surface DEET'!$Q$9:$W$38,COLUMN(U236)-COLUMN($E$5),1),$E243),0)</f>
        <v>0</v>
      </c>
      <c r="V243" s="250">
        <f>IF(V$6=$C243,IF(INDEX('Surface DEET'!$Q$9:$W$38,COLUMN(V236)-COLUMN($E$5),1)&gt;0,INDEX('Surface DEET'!$Q$9:$W$38,COLUMN(V236)-COLUMN($E$5),1),$E243),0)</f>
        <v>0</v>
      </c>
      <c r="W243" s="250">
        <f>IF(W$6=$C243,IF(INDEX('Surface DEET'!$Q$9:$W$38,COLUMN(W236)-COLUMN($E$5),1)&gt;0,INDEX('Surface DEET'!$Q$9:$W$38,COLUMN(W236)-COLUMN($E$5),1),$E243),0)</f>
        <v>0</v>
      </c>
      <c r="X243" s="250">
        <f>IF(X$6=$C243,IF(INDEX('Surface DEET'!$Q$9:$W$38,COLUMN(X236)-COLUMN($E$5),1)&gt;0,INDEX('Surface DEET'!$Q$9:$W$38,COLUMN(X236)-COLUMN($E$5),1),$E243),0)</f>
        <v>0</v>
      </c>
      <c r="Y243" s="250">
        <f>IF(Y$6=$C243,IF(INDEX('Surface DEET'!$Q$9:$W$38,COLUMN(Y236)-COLUMN($E$5),1)&gt;0,INDEX('Surface DEET'!$Q$9:$W$38,COLUMN(Y236)-COLUMN($E$5),1),$E243),0)</f>
        <v>0</v>
      </c>
      <c r="Z243" s="250">
        <f>IF(Z$6=$C243,IF(INDEX('Surface DEET'!$Q$9:$W$38,COLUMN(Z236)-COLUMN($E$5),1)&gt;0,INDEX('Surface DEET'!$Q$9:$W$38,COLUMN(Z236)-COLUMN($E$5),1),$E243),0)</f>
        <v>0</v>
      </c>
      <c r="AA243" s="250">
        <f>IF(AA$6=$C243,IF(INDEX('Surface DEET'!$Q$9:$W$38,COLUMN(AA236)-COLUMN($E$5),1)&gt;0,INDEX('Surface DEET'!$Q$9:$W$38,COLUMN(AA236)-COLUMN($E$5),1),$E243),0)</f>
        <v>0</v>
      </c>
      <c r="AB243" s="250">
        <f>IF(AB$6=$C243,IF(INDEX('Surface DEET'!$Q$9:$W$38,COLUMN(AB236)-COLUMN($E$5),1)&gt;0,INDEX('Surface DEET'!$Q$9:$W$38,COLUMN(AB236)-COLUMN($E$5),1),$E243),0)</f>
        <v>0</v>
      </c>
      <c r="AC243" s="250">
        <f>IF(AC$6=$C243,IF(INDEX('Surface DEET'!$Q$9:$W$38,COLUMN(AC236)-COLUMN($E$5),1)&gt;0,INDEX('Surface DEET'!$Q$9:$W$38,COLUMN(AC236)-COLUMN($E$5),1),$E243),0)</f>
        <v>0</v>
      </c>
      <c r="AD243" s="250">
        <f>IF(AD$6=$C243,IF(INDEX('Surface DEET'!$Q$9:$W$38,COLUMN(AD236)-COLUMN($E$5),1)&gt;0,INDEX('Surface DEET'!$Q$9:$W$38,COLUMN(AD236)-COLUMN($E$5),1),$E243),0)</f>
        <v>0</v>
      </c>
      <c r="AE243" s="250">
        <f>IF(AE$6=$C243,IF(INDEX('Surface DEET'!$Q$9:$W$38,COLUMN(AE236)-COLUMN($E$5),1)&gt;0,INDEX('Surface DEET'!$Q$9:$W$38,COLUMN(AE236)-COLUMN($E$5),1),$E243),0)</f>
        <v>0</v>
      </c>
      <c r="AF243" s="250">
        <f>IF(AF$6=$C243,IF(INDEX('Surface DEET'!$Q$9:$W$38,COLUMN(AF236)-COLUMN($E$5),1)&gt;0,INDEX('Surface DEET'!$Q$9:$W$38,COLUMN(AF236)-COLUMN($E$5),1),$E243),0)</f>
        <v>0</v>
      </c>
      <c r="AG243" s="250">
        <f>IF(AG$6=$C243,IF(INDEX('Surface DEET'!$Q$9:$W$38,COLUMN(AG236)-COLUMN($E$5),1)&gt;0,INDEX('Surface DEET'!$Q$9:$W$38,COLUMN(AG236)-COLUMN($E$5),1),$E243),0)</f>
        <v>0</v>
      </c>
      <c r="AH243" s="250">
        <f>IF(AH$6=$C243,IF(INDEX('Surface DEET'!$Q$9:$W$38,COLUMN(AH236)-COLUMN($E$5),1)&gt;0,INDEX('Surface DEET'!$Q$9:$W$38,COLUMN(AH236)-COLUMN($E$5),1),$E243),0)</f>
        <v>0</v>
      </c>
      <c r="AI243" s="250">
        <f>IF(AI$6=$C243,IF(INDEX('Surface DEET'!$Q$9:$W$38,COLUMN(AI236)-COLUMN($E$5),1)&gt;0,INDEX('Surface DEET'!$Q$9:$W$38,COLUMN(AI236)-COLUMN($E$5),1),$E243),0)</f>
        <v>0</v>
      </c>
    </row>
    <row r="244" spans="2:35">
      <c r="B244" s="250" t="s">
        <v>540</v>
      </c>
      <c r="C244" s="250" t="s">
        <v>651</v>
      </c>
      <c r="D244" s="250" t="s">
        <v>650</v>
      </c>
      <c r="F244" s="250">
        <f>IF(F$6=$C244,IF(INDEX('Surface DEET'!$F$9:$W$38,COLUMN(F237)-COLUMN($E$5),7)&gt;0,INDEX('Surface DEET'!$F$9:$W$38,COLUMN(F237)-COLUMN($E$5),1),$E244),0)</f>
        <v>0</v>
      </c>
      <c r="G244" s="250">
        <f>IF(G$6=$C244,IF(INDEX('Surface DEET'!$F$9:$W$38,COLUMN(G237)-COLUMN($E$5),7)&gt;0,INDEX('Surface DEET'!$F$9:$W$38,COLUMN(G237)-COLUMN($E$5),1),$E244),0)</f>
        <v>0</v>
      </c>
      <c r="H244" s="250">
        <f>IF(H$6=$C244,IF(INDEX('Surface DEET'!$F$9:$W$38,COLUMN(H237)-COLUMN($E$5),7)&gt;0,INDEX('Surface DEET'!$F$9:$W$38,COLUMN(H237)-COLUMN($E$5),1),$E244),0)</f>
        <v>0</v>
      </c>
      <c r="I244" s="250">
        <f>IF(I$6=$C244,IF(INDEX('Surface DEET'!$F$9:$W$38,COLUMN(I237)-COLUMN($E$5),7)&gt;0,INDEX('Surface DEET'!$F$9:$W$38,COLUMN(I237)-COLUMN($E$5),1),$E244),0)</f>
        <v>0</v>
      </c>
      <c r="J244" s="250">
        <f>IF(J$6=$C244,IF(INDEX('Surface DEET'!$F$9:$W$38,COLUMN(J237)-COLUMN($E$5),7)&gt;0,INDEX('Surface DEET'!$F$9:$W$38,COLUMN(J237)-COLUMN($E$5),1),$E244),0)</f>
        <v>0</v>
      </c>
      <c r="K244" s="250">
        <f>IF(K$6=$C244,IF(INDEX('Surface DEET'!$F$9:$W$38,COLUMN(K237)-COLUMN($E$5),7)&gt;0,INDEX('Surface DEET'!$F$9:$W$38,COLUMN(K237)-COLUMN($E$5),1),$E244),0)</f>
        <v>0</v>
      </c>
      <c r="L244" s="250">
        <f>IF(L$6=$C244,IF(INDEX('Surface DEET'!$F$9:$W$38,COLUMN(L237)-COLUMN($E$5),7)&gt;0,INDEX('Surface DEET'!$F$9:$W$38,COLUMN(L237)-COLUMN($E$5),1),$E244),0)</f>
        <v>0</v>
      </c>
      <c r="M244" s="250">
        <f>IF(M$6=$C244,IF(INDEX('Surface DEET'!$F$9:$W$38,COLUMN(M237)-COLUMN($E$5),7)&gt;0,INDEX('Surface DEET'!$F$9:$W$38,COLUMN(M237)-COLUMN($E$5),1),$E244),0)</f>
        <v>0</v>
      </c>
      <c r="N244" s="250">
        <f>IF(N$6=$C244,IF(INDEX('Surface DEET'!$F$9:$W$38,COLUMN(N237)-COLUMN($E$5),7)&gt;0,INDEX('Surface DEET'!$F$9:$W$38,COLUMN(N237)-COLUMN($E$5),1),$E244),0)</f>
        <v>0</v>
      </c>
      <c r="O244" s="250">
        <f>IF(O$6=$C244,IF(INDEX('Surface DEET'!$F$9:$W$38,COLUMN(O237)-COLUMN($E$5),7)&gt;0,INDEX('Surface DEET'!$F$9:$W$38,COLUMN(O237)-COLUMN($E$5),1),$E244),0)</f>
        <v>0</v>
      </c>
      <c r="P244" s="250">
        <f>IF(P$6=$C244,IF(INDEX('Surface DEET'!$F$9:$W$38,COLUMN(P237)-COLUMN($E$5),7)&gt;0,INDEX('Surface DEET'!$F$9:$W$38,COLUMN(P237)-COLUMN($E$5),1),$E244),0)</f>
        <v>0</v>
      </c>
      <c r="Q244" s="250">
        <f>IF(Q$6=$C244,IF(INDEX('Surface DEET'!$F$9:$W$38,COLUMN(Q237)-COLUMN($E$5),7)&gt;0,INDEX('Surface DEET'!$F$9:$W$38,COLUMN(Q237)-COLUMN($E$5),1),$E244),0)</f>
        <v>0</v>
      </c>
      <c r="R244" s="250">
        <f>IF(R$6=$C244,IF(INDEX('Surface DEET'!$F$9:$W$38,COLUMN(R237)-COLUMN($E$5),7)&gt;0,INDEX('Surface DEET'!$F$9:$W$38,COLUMN(R237)-COLUMN($E$5),1),$E244),0)</f>
        <v>0</v>
      </c>
      <c r="S244" s="250">
        <f>IF(S$6=$C244,IF(INDEX('Surface DEET'!$F$9:$W$38,COLUMN(S237)-COLUMN($E$5),7)&gt;0,INDEX('Surface DEET'!$F$9:$W$38,COLUMN(S237)-COLUMN($E$5),1),$E244),0)</f>
        <v>0</v>
      </c>
      <c r="T244" s="250">
        <f>IF(T$6=$C244,IF(INDEX('Surface DEET'!$F$9:$W$38,COLUMN(T237)-COLUMN($E$5),7)&gt;0,INDEX('Surface DEET'!$F$9:$W$38,COLUMN(T237)-COLUMN($E$5),1),$E244),0)</f>
        <v>0</v>
      </c>
      <c r="U244" s="250">
        <f>IF(U$6=$C244,IF(INDEX('Surface DEET'!$F$9:$W$38,COLUMN(U237)-COLUMN($E$5),7)&gt;0,INDEX('Surface DEET'!$F$9:$W$38,COLUMN(U237)-COLUMN($E$5),1),$E244),0)</f>
        <v>0</v>
      </c>
      <c r="V244" s="250">
        <f>IF(V$6=$C244,IF(INDEX('Surface DEET'!$F$9:$W$38,COLUMN(V237)-COLUMN($E$5),7)&gt;0,INDEX('Surface DEET'!$F$9:$W$38,COLUMN(V237)-COLUMN($E$5),1),$E244),0)</f>
        <v>0</v>
      </c>
      <c r="W244" s="250">
        <f>IF(W$6=$C244,IF(INDEX('Surface DEET'!$F$9:$W$38,COLUMN(W237)-COLUMN($E$5),7)&gt;0,INDEX('Surface DEET'!$F$9:$W$38,COLUMN(W237)-COLUMN($E$5),1),$E244),0)</f>
        <v>0</v>
      </c>
      <c r="X244" s="250">
        <f>IF(X$6=$C244,IF(INDEX('Surface DEET'!$F$9:$W$38,COLUMN(X237)-COLUMN($E$5),7)&gt;0,INDEX('Surface DEET'!$F$9:$W$38,COLUMN(X237)-COLUMN($E$5),1),$E244),0)</f>
        <v>0</v>
      </c>
      <c r="Y244" s="250">
        <f>IF(Y$6=$C244,IF(INDEX('Surface DEET'!$F$9:$W$38,COLUMN(Y237)-COLUMN($E$5),7)&gt;0,INDEX('Surface DEET'!$F$9:$W$38,COLUMN(Y237)-COLUMN($E$5),1),$E244),0)</f>
        <v>0</v>
      </c>
      <c r="Z244" s="250">
        <f>IF(Z$6=$C244,IF(INDEX('Surface DEET'!$F$9:$W$38,COLUMN(Z237)-COLUMN($E$5),7)&gt;0,INDEX('Surface DEET'!$F$9:$W$38,COLUMN(Z237)-COLUMN($E$5),1),$E244),0)</f>
        <v>0</v>
      </c>
      <c r="AA244" s="250">
        <f>IF(AA$6=$C244,IF(INDEX('Surface DEET'!$F$9:$W$38,COLUMN(AA237)-COLUMN($E$5),7)&gt;0,INDEX('Surface DEET'!$F$9:$W$38,COLUMN(AA237)-COLUMN($E$5),1),$E244),0)</f>
        <v>0</v>
      </c>
      <c r="AB244" s="250">
        <f>IF(AB$6=$C244,IF(INDEX('Surface DEET'!$F$9:$W$38,COLUMN(AB237)-COLUMN($E$5),7)&gt;0,INDEX('Surface DEET'!$F$9:$W$38,COLUMN(AB237)-COLUMN($E$5),1),$E244),0)</f>
        <v>0</v>
      </c>
      <c r="AC244" s="250">
        <f>IF(AC$6=$C244,IF(INDEX('Surface DEET'!$F$9:$W$38,COLUMN(AC237)-COLUMN($E$5),7)&gt;0,INDEX('Surface DEET'!$F$9:$W$38,COLUMN(AC237)-COLUMN($E$5),1),$E244),0)</f>
        <v>0</v>
      </c>
      <c r="AD244" s="250">
        <f>IF(AD$6=$C244,IF(INDEX('Surface DEET'!$F$9:$W$38,COLUMN(AD237)-COLUMN($E$5),7)&gt;0,INDEX('Surface DEET'!$F$9:$W$38,COLUMN(AD237)-COLUMN($E$5),1),$E244),0)</f>
        <v>0</v>
      </c>
      <c r="AE244" s="250">
        <f>IF(AE$6=$C244,IF(INDEX('Surface DEET'!$F$9:$W$38,COLUMN(AE237)-COLUMN($E$5),7)&gt;0,INDEX('Surface DEET'!$F$9:$W$38,COLUMN(AE237)-COLUMN($E$5),1),$E244),0)</f>
        <v>0</v>
      </c>
      <c r="AF244" s="250">
        <f>IF(AF$6=$C244,IF(INDEX('Surface DEET'!$F$9:$W$38,COLUMN(AF237)-COLUMN($E$5),7)&gt;0,INDEX('Surface DEET'!$F$9:$W$38,COLUMN(AF237)-COLUMN($E$5),1),$E244),0)</f>
        <v>0</v>
      </c>
      <c r="AG244" s="250">
        <f>IF(AG$6=$C244,IF(INDEX('Surface DEET'!$F$9:$W$38,COLUMN(AG237)-COLUMN($E$5),7)&gt;0,INDEX('Surface DEET'!$F$9:$W$38,COLUMN(AG237)-COLUMN($E$5),1),$E244),0)</f>
        <v>0</v>
      </c>
      <c r="AH244" s="250">
        <f>IF(AH$6=$C244,IF(INDEX('Surface DEET'!$F$9:$W$38,COLUMN(AH237)-COLUMN($E$5),7)&gt;0,INDEX('Surface DEET'!$F$9:$W$38,COLUMN(AH237)-COLUMN($E$5),1),$E244),0)</f>
        <v>0</v>
      </c>
      <c r="AI244" s="250">
        <f>IF(AI$6=$C244,IF(INDEX('Surface DEET'!$F$9:$W$38,COLUMN(AI237)-COLUMN($E$5),7)&gt;0,INDEX('Surface DEET'!$F$9:$W$38,COLUMN(AI237)-COLUMN($E$5),1),$E244),0)</f>
        <v>0</v>
      </c>
    </row>
    <row r="245" spans="2:35">
      <c r="B245" s="250" t="s">
        <v>543</v>
      </c>
      <c r="C245" s="250" t="s">
        <v>651</v>
      </c>
    </row>
    <row r="246" spans="2:35">
      <c r="B246" s="250" t="s">
        <v>533</v>
      </c>
      <c r="C246" s="250" t="s">
        <v>651</v>
      </c>
      <c r="D246" s="250" t="s">
        <v>533</v>
      </c>
      <c r="F246" s="250">
        <f>IF(F243=0,$E$240,F243*$E$239/F244)</f>
        <v>1041</v>
      </c>
      <c r="G246" s="250">
        <f t="shared" ref="G246:AI246" si="29">IF(G243=0,$E$240,G243*$E$239/G244)</f>
        <v>1041</v>
      </c>
      <c r="H246" s="250">
        <f t="shared" si="29"/>
        <v>1041</v>
      </c>
      <c r="I246" s="250">
        <f t="shared" si="29"/>
        <v>1041</v>
      </c>
      <c r="J246" s="250">
        <f t="shared" si="29"/>
        <v>1041</v>
      </c>
      <c r="K246" s="250">
        <f t="shared" si="29"/>
        <v>1041</v>
      </c>
      <c r="L246" s="250">
        <f t="shared" si="29"/>
        <v>1041</v>
      </c>
      <c r="M246" s="250">
        <f t="shared" si="29"/>
        <v>1041</v>
      </c>
      <c r="N246" s="250">
        <f t="shared" si="29"/>
        <v>1041</v>
      </c>
      <c r="O246" s="250">
        <f t="shared" si="29"/>
        <v>1041</v>
      </c>
      <c r="P246" s="250">
        <f t="shared" si="29"/>
        <v>1041</v>
      </c>
      <c r="Q246" s="250">
        <f t="shared" si="29"/>
        <v>1041</v>
      </c>
      <c r="R246" s="250">
        <f t="shared" si="29"/>
        <v>1041</v>
      </c>
      <c r="S246" s="250">
        <f t="shared" si="29"/>
        <v>1041</v>
      </c>
      <c r="T246" s="250">
        <f t="shared" si="29"/>
        <v>1041</v>
      </c>
      <c r="U246" s="250">
        <f t="shared" si="29"/>
        <v>1041</v>
      </c>
      <c r="V246" s="250">
        <f t="shared" si="29"/>
        <v>1041</v>
      </c>
      <c r="W246" s="250">
        <f t="shared" si="29"/>
        <v>1041</v>
      </c>
      <c r="X246" s="250">
        <f t="shared" si="29"/>
        <v>1041</v>
      </c>
      <c r="Y246" s="250">
        <f t="shared" si="29"/>
        <v>1041</v>
      </c>
      <c r="Z246" s="250">
        <f t="shared" si="29"/>
        <v>1041</v>
      </c>
      <c r="AA246" s="250">
        <f t="shared" si="29"/>
        <v>1041</v>
      </c>
      <c r="AB246" s="250">
        <f t="shared" si="29"/>
        <v>1041</v>
      </c>
      <c r="AC246" s="250">
        <f t="shared" si="29"/>
        <v>1041</v>
      </c>
      <c r="AD246" s="250">
        <f t="shared" si="29"/>
        <v>1041</v>
      </c>
      <c r="AE246" s="250">
        <f t="shared" si="29"/>
        <v>1041</v>
      </c>
      <c r="AF246" s="250">
        <f t="shared" si="29"/>
        <v>1041</v>
      </c>
      <c r="AG246" s="250">
        <f t="shared" si="29"/>
        <v>1041</v>
      </c>
      <c r="AH246" s="250">
        <f t="shared" si="29"/>
        <v>1041</v>
      </c>
      <c r="AI246" s="250">
        <f t="shared" si="29"/>
        <v>1041</v>
      </c>
    </row>
    <row r="247" spans="2:35">
      <c r="B247" s="88" t="s">
        <v>294</v>
      </c>
      <c r="C247" s="250" t="s">
        <v>652</v>
      </c>
      <c r="D247" s="88" t="s">
        <v>294</v>
      </c>
      <c r="E247" s="250">
        <f t="array" ref="E247">INDEX(CABS_CVC!$C$3:$O$894,MATCH(1, (CABS_CVC!$A$3:$A$894=Calculs_CABS!C247)*(CABS_CVC!$B$3:$B$894=Calculs_CABS!$D$2),0),MATCH(Calculs_CABS!$D$1,Liste_CABS!$B$3:$B$15,0))</f>
        <v>57</v>
      </c>
    </row>
    <row r="248" spans="2:35">
      <c r="B248" s="250" t="s">
        <v>534</v>
      </c>
      <c r="C248" s="250" t="s">
        <v>652</v>
      </c>
      <c r="D248" s="250" t="s">
        <v>534</v>
      </c>
      <c r="E248" s="250">
        <v>50</v>
      </c>
    </row>
    <row r="249" spans="2:35">
      <c r="B249" s="250" t="s">
        <v>535</v>
      </c>
      <c r="C249" s="250" t="s">
        <v>652</v>
      </c>
      <c r="D249" s="250" t="s">
        <v>535</v>
      </c>
      <c r="E249" s="250">
        <f>E247+E248</f>
        <v>107</v>
      </c>
    </row>
    <row r="250" spans="2:35">
      <c r="B250" s="250" t="s">
        <v>536</v>
      </c>
      <c r="C250" s="250" t="s">
        <v>652</v>
      </c>
      <c r="D250" s="250" t="s">
        <v>536</v>
      </c>
      <c r="E250" s="250">
        <v>0.95</v>
      </c>
    </row>
    <row r="251" spans="2:35">
      <c r="B251" s="250" t="s">
        <v>537</v>
      </c>
      <c r="C251" s="250" t="s">
        <v>652</v>
      </c>
      <c r="D251" s="296" t="s">
        <v>583</v>
      </c>
      <c r="E251" s="250">
        <v>3120</v>
      </c>
      <c r="F251" s="250">
        <f>IF(F$6=$C251,IF(INDEX('Surface DEET'!$Q$9:$W$38,COLUMN(F244)-COLUMN($E$5),1)&gt;0,INDEX('Surface DEET'!$Q$9:$W$38,COLUMN(F244)-COLUMN($E$5),1),$E251),0)</f>
        <v>0</v>
      </c>
      <c r="G251" s="250">
        <f>IF(G$6=$C251,IF(INDEX('Surface DEET'!$Q$9:$W$38,COLUMN(G244)-COLUMN($E$5),1)&gt;0,INDEX('Surface DEET'!$Q$9:$W$38,COLUMN(G244)-COLUMN($E$5),1),$E251),0)</f>
        <v>0</v>
      </c>
      <c r="H251" s="250">
        <f>IF(H$6=$C251,IF(INDEX('Surface DEET'!$Q$9:$W$38,COLUMN(H244)-COLUMN($E$5),1)&gt;0,INDEX('Surface DEET'!$Q$9:$W$38,COLUMN(H244)-COLUMN($E$5),1),$E251),0)</f>
        <v>0</v>
      </c>
      <c r="I251" s="250">
        <f>IF(I$6=$C251,IF(INDEX('Surface DEET'!$Q$9:$W$38,COLUMN(I244)-COLUMN($E$5),1)&gt;0,INDEX('Surface DEET'!$Q$9:$W$38,COLUMN(I244)-COLUMN($E$5),1),$E251),0)</f>
        <v>0</v>
      </c>
      <c r="J251" s="250">
        <f>IF(J$6=$C251,IF(INDEX('Surface DEET'!$Q$9:$W$38,COLUMN(J244)-COLUMN($E$5),1)&gt;0,INDEX('Surface DEET'!$Q$9:$W$38,COLUMN(J244)-COLUMN($E$5),1),$E251),0)</f>
        <v>0</v>
      </c>
      <c r="K251" s="250">
        <f>IF(K$6=$C251,IF(INDEX('Surface DEET'!$Q$9:$W$38,COLUMN(K244)-COLUMN($E$5),1)&gt;0,INDEX('Surface DEET'!$Q$9:$W$38,COLUMN(K244)-COLUMN($E$5),1),$E251),0)</f>
        <v>0</v>
      </c>
      <c r="L251" s="250">
        <f>IF(L$6=$C251,IF(INDEX('Surface DEET'!$Q$9:$W$38,COLUMN(L244)-COLUMN($E$5),1)&gt;0,INDEX('Surface DEET'!$Q$9:$W$38,COLUMN(L244)-COLUMN($E$5),1),$E251),0)</f>
        <v>0</v>
      </c>
      <c r="M251" s="250">
        <f>IF(M$6=$C251,IF(INDEX('Surface DEET'!$Q$9:$W$38,COLUMN(M244)-COLUMN($E$5),1)&gt;0,INDEX('Surface DEET'!$Q$9:$W$38,COLUMN(M244)-COLUMN($E$5),1),$E251),0)</f>
        <v>0</v>
      </c>
      <c r="N251" s="250">
        <f>IF(N$6=$C251,IF(INDEX('Surface DEET'!$Q$9:$W$38,COLUMN(N244)-COLUMN($E$5),1)&gt;0,INDEX('Surface DEET'!$Q$9:$W$38,COLUMN(N244)-COLUMN($E$5),1),$E251),0)</f>
        <v>0</v>
      </c>
      <c r="O251" s="250">
        <f>IF(O$6=$C251,IF(INDEX('Surface DEET'!$Q$9:$W$38,COLUMN(O244)-COLUMN($E$5),1)&gt;0,INDEX('Surface DEET'!$Q$9:$W$38,COLUMN(O244)-COLUMN($E$5),1),$E251),0)</f>
        <v>0</v>
      </c>
      <c r="P251" s="250">
        <f>IF(P$6=$C251,IF(INDEX('Surface DEET'!$Q$9:$W$38,COLUMN(P244)-COLUMN($E$5),1)&gt;0,INDEX('Surface DEET'!$Q$9:$W$38,COLUMN(P244)-COLUMN($E$5),1),$E251),0)</f>
        <v>0</v>
      </c>
      <c r="Q251" s="250">
        <f>IF(Q$6=$C251,IF(INDEX('Surface DEET'!$Q$9:$W$38,COLUMN(Q244)-COLUMN($E$5),1)&gt;0,INDEX('Surface DEET'!$Q$9:$W$38,COLUMN(Q244)-COLUMN($E$5),1),$E251),0)</f>
        <v>0</v>
      </c>
      <c r="R251" s="250">
        <f>IF(R$6=$C251,IF(INDEX('Surface DEET'!$Q$9:$W$38,COLUMN(R244)-COLUMN($E$5),1)&gt;0,INDEX('Surface DEET'!$Q$9:$W$38,COLUMN(R244)-COLUMN($E$5),1),$E251),0)</f>
        <v>0</v>
      </c>
      <c r="S251" s="250">
        <f>IF(S$6=$C251,IF(INDEX('Surface DEET'!$Q$9:$W$38,COLUMN(S244)-COLUMN($E$5),1)&gt;0,INDEX('Surface DEET'!$Q$9:$W$38,COLUMN(S244)-COLUMN($E$5),1),$E251),0)</f>
        <v>0</v>
      </c>
      <c r="T251" s="250">
        <f>IF(T$6=$C251,IF(INDEX('Surface DEET'!$Q$9:$W$38,COLUMN(T244)-COLUMN($E$5),1)&gt;0,INDEX('Surface DEET'!$Q$9:$W$38,COLUMN(T244)-COLUMN($E$5),1),$E251),0)</f>
        <v>0</v>
      </c>
      <c r="U251" s="250">
        <f>IF(U$6=$C251,IF(INDEX('Surface DEET'!$Q$9:$W$38,COLUMN(U244)-COLUMN($E$5),1)&gt;0,INDEX('Surface DEET'!$Q$9:$W$38,COLUMN(U244)-COLUMN($E$5),1),$E251),0)</f>
        <v>0</v>
      </c>
      <c r="V251" s="250">
        <f>IF(V$6=$C251,IF(INDEX('Surface DEET'!$Q$9:$W$38,COLUMN(V244)-COLUMN($E$5),1)&gt;0,INDEX('Surface DEET'!$Q$9:$W$38,COLUMN(V244)-COLUMN($E$5),1),$E251),0)</f>
        <v>0</v>
      </c>
      <c r="W251" s="250">
        <f>IF(W$6=$C251,IF(INDEX('Surface DEET'!$Q$9:$W$38,COLUMN(W244)-COLUMN($E$5),1)&gt;0,INDEX('Surface DEET'!$Q$9:$W$38,COLUMN(W244)-COLUMN($E$5),1),$E251),0)</f>
        <v>0</v>
      </c>
      <c r="X251" s="250">
        <f>IF(X$6=$C251,IF(INDEX('Surface DEET'!$Q$9:$W$38,COLUMN(X244)-COLUMN($E$5),1)&gt;0,INDEX('Surface DEET'!$Q$9:$W$38,COLUMN(X244)-COLUMN($E$5),1),$E251),0)</f>
        <v>0</v>
      </c>
      <c r="Y251" s="250">
        <f>IF(Y$6=$C251,IF(INDEX('Surface DEET'!$Q$9:$W$38,COLUMN(Y244)-COLUMN($E$5),1)&gt;0,INDEX('Surface DEET'!$Q$9:$W$38,COLUMN(Y244)-COLUMN($E$5),1),$E251),0)</f>
        <v>0</v>
      </c>
      <c r="Z251" s="250">
        <f>IF(Z$6=$C251,IF(INDEX('Surface DEET'!$Q$9:$W$38,COLUMN(Z244)-COLUMN($E$5),1)&gt;0,INDEX('Surface DEET'!$Q$9:$W$38,COLUMN(Z244)-COLUMN($E$5),1),$E251),0)</f>
        <v>0</v>
      </c>
      <c r="AA251" s="250">
        <f>IF(AA$6=$C251,IF(INDEX('Surface DEET'!$Q$9:$W$38,COLUMN(AA244)-COLUMN($E$5),1)&gt;0,INDEX('Surface DEET'!$Q$9:$W$38,COLUMN(AA244)-COLUMN($E$5),1),$E251),0)</f>
        <v>0</v>
      </c>
      <c r="AB251" s="250">
        <f>IF(AB$6=$C251,IF(INDEX('Surface DEET'!$Q$9:$W$38,COLUMN(AB244)-COLUMN($E$5),1)&gt;0,INDEX('Surface DEET'!$Q$9:$W$38,COLUMN(AB244)-COLUMN($E$5),1),$E251),0)</f>
        <v>0</v>
      </c>
      <c r="AC251" s="250">
        <f>IF(AC$6=$C251,IF(INDEX('Surface DEET'!$Q$9:$W$38,COLUMN(AC244)-COLUMN($E$5),1)&gt;0,INDEX('Surface DEET'!$Q$9:$W$38,COLUMN(AC244)-COLUMN($E$5),1),$E251),0)</f>
        <v>0</v>
      </c>
      <c r="AD251" s="250">
        <f>IF(AD$6=$C251,IF(INDEX('Surface DEET'!$Q$9:$W$38,COLUMN(AD244)-COLUMN($E$5),1)&gt;0,INDEX('Surface DEET'!$Q$9:$W$38,COLUMN(AD244)-COLUMN($E$5),1),$E251),0)</f>
        <v>0</v>
      </c>
      <c r="AE251" s="250">
        <f>IF(AE$6=$C251,IF(INDEX('Surface DEET'!$Q$9:$W$38,COLUMN(AE244)-COLUMN($E$5),1)&gt;0,INDEX('Surface DEET'!$Q$9:$W$38,COLUMN(AE244)-COLUMN($E$5),1),$E251),0)</f>
        <v>0</v>
      </c>
      <c r="AF251" s="250">
        <f>IF(AF$6=$C251,IF(INDEX('Surface DEET'!$Q$9:$W$38,COLUMN(AF244)-COLUMN($E$5),1)&gt;0,INDEX('Surface DEET'!$Q$9:$W$38,COLUMN(AF244)-COLUMN($E$5),1),$E251),0)</f>
        <v>0</v>
      </c>
      <c r="AG251" s="250">
        <f>IF(AG$6=$C251,IF(INDEX('Surface DEET'!$Q$9:$W$38,COLUMN(AG244)-COLUMN($E$5),1)&gt;0,INDEX('Surface DEET'!$Q$9:$W$38,COLUMN(AG244)-COLUMN($E$5),1),$E251),0)</f>
        <v>0</v>
      </c>
      <c r="AH251" s="250">
        <f>IF(AH$6=$C251,IF(INDEX('Surface DEET'!$Q$9:$W$38,COLUMN(AH244)-COLUMN($E$5),1)&gt;0,INDEX('Surface DEET'!$Q$9:$W$38,COLUMN(AH244)-COLUMN($E$5),1),$E251),0)</f>
        <v>0</v>
      </c>
      <c r="AI251" s="250">
        <f>IF(AI$6=$C251,IF(INDEX('Surface DEET'!$Q$9:$W$38,COLUMN(AI244)-COLUMN($E$5),1)&gt;0,INDEX('Surface DEET'!$Q$9:$W$38,COLUMN(AI244)-COLUMN($E$5),1),$E251),0)</f>
        <v>0</v>
      </c>
    </row>
    <row r="252" spans="2:35">
      <c r="B252" s="250" t="s">
        <v>540</v>
      </c>
      <c r="C252" s="250" t="s">
        <v>652</v>
      </c>
      <c r="D252" s="296" t="s">
        <v>584</v>
      </c>
      <c r="E252" s="250">
        <v>18</v>
      </c>
      <c r="F252" s="250">
        <f>IF(F$6=$C252,IF(INDEX('Surface DEET'!$Q$9:$W$38,COLUMN(F245)-COLUMN($E$5),4)&gt;0,INDEX('Surface DEET'!$Q$9:$W$38,COLUMN(F245)-COLUMN($E$5),4),$E252),0)</f>
        <v>0</v>
      </c>
      <c r="G252" s="250">
        <f>IF(G$6=$C252,IF(INDEX('Surface DEET'!$Q$9:$W$38,COLUMN(G245)-COLUMN($E$5),4)&gt;0,INDEX('Surface DEET'!$Q$9:$W$38,COLUMN(G245)-COLUMN($E$5),4),$E252),0)</f>
        <v>0</v>
      </c>
      <c r="H252" s="250">
        <f>IF(H$6=$C252,IF(INDEX('Surface DEET'!$Q$9:$W$38,COLUMN(H245)-COLUMN($E$5),4)&gt;0,INDEX('Surface DEET'!$Q$9:$W$38,COLUMN(H245)-COLUMN($E$5),4),$E252),0)</f>
        <v>0</v>
      </c>
      <c r="I252" s="250">
        <f>IF(I$6=$C252,IF(INDEX('Surface DEET'!$Q$9:$W$38,COLUMN(I245)-COLUMN($E$5),4)&gt;0,INDEX('Surface DEET'!$Q$9:$W$38,COLUMN(I245)-COLUMN($E$5),4),$E252),0)</f>
        <v>0</v>
      </c>
      <c r="J252" s="250">
        <f>IF(J$6=$C252,IF(INDEX('Surface DEET'!$Q$9:$W$38,COLUMN(J245)-COLUMN($E$5),4)&gt;0,INDEX('Surface DEET'!$Q$9:$W$38,COLUMN(J245)-COLUMN($E$5),4),$E252),0)</f>
        <v>0</v>
      </c>
      <c r="K252" s="250">
        <f>IF(K$6=$C252,IF(INDEX('Surface DEET'!$Q$9:$W$38,COLUMN(K245)-COLUMN($E$5),4)&gt;0,INDEX('Surface DEET'!$Q$9:$W$38,COLUMN(K245)-COLUMN($E$5),4),$E252),0)</f>
        <v>0</v>
      </c>
      <c r="L252" s="250">
        <f>IF(L$6=$C252,IF(INDEX('Surface DEET'!$Q$9:$W$38,COLUMN(L245)-COLUMN($E$5),4)&gt;0,INDEX('Surface DEET'!$Q$9:$W$38,COLUMN(L245)-COLUMN($E$5),4),$E252),0)</f>
        <v>0</v>
      </c>
      <c r="M252" s="250">
        <f>IF(M$6=$C252,IF(INDEX('Surface DEET'!$Q$9:$W$38,COLUMN(M245)-COLUMN($E$5),4)&gt;0,INDEX('Surface DEET'!$Q$9:$W$38,COLUMN(M245)-COLUMN($E$5),4),$E252),0)</f>
        <v>0</v>
      </c>
      <c r="N252" s="250">
        <f>IF(N$6=$C252,IF(INDEX('Surface DEET'!$Q$9:$W$38,COLUMN(N245)-COLUMN($E$5),4)&gt;0,INDEX('Surface DEET'!$Q$9:$W$38,COLUMN(N245)-COLUMN($E$5),4),$E252),0)</f>
        <v>0</v>
      </c>
      <c r="O252" s="250">
        <f>IF(O$6=$C252,IF(INDEX('Surface DEET'!$Q$9:$W$38,COLUMN(O245)-COLUMN($E$5),4)&gt;0,INDEX('Surface DEET'!$Q$9:$W$38,COLUMN(O245)-COLUMN($E$5),4),$E252),0)</f>
        <v>0</v>
      </c>
      <c r="P252" s="250">
        <f>IF(P$6=$C252,IF(INDEX('Surface DEET'!$Q$9:$W$38,COLUMN(P245)-COLUMN($E$5),4)&gt;0,INDEX('Surface DEET'!$Q$9:$W$38,COLUMN(P245)-COLUMN($E$5),4),$E252),0)</f>
        <v>0</v>
      </c>
      <c r="Q252" s="250">
        <f>IF(Q$6=$C252,IF(INDEX('Surface DEET'!$Q$9:$W$38,COLUMN(Q245)-COLUMN($E$5),4)&gt;0,INDEX('Surface DEET'!$Q$9:$W$38,COLUMN(Q245)-COLUMN($E$5),4),$E252),0)</f>
        <v>0</v>
      </c>
      <c r="R252" s="250">
        <f>IF(R$6=$C252,IF(INDEX('Surface DEET'!$Q$9:$W$38,COLUMN(R245)-COLUMN($E$5),4)&gt;0,INDEX('Surface DEET'!$Q$9:$W$38,COLUMN(R245)-COLUMN($E$5),4),$E252),0)</f>
        <v>0</v>
      </c>
      <c r="S252" s="250">
        <f>IF(S$6=$C252,IF(INDEX('Surface DEET'!$Q$9:$W$38,COLUMN(S245)-COLUMN($E$5),4)&gt;0,INDEX('Surface DEET'!$Q$9:$W$38,COLUMN(S245)-COLUMN($E$5),4),$E252),0)</f>
        <v>0</v>
      </c>
      <c r="T252" s="250">
        <f>IF(T$6=$C252,IF(INDEX('Surface DEET'!$Q$9:$W$38,COLUMN(T245)-COLUMN($E$5),4)&gt;0,INDEX('Surface DEET'!$Q$9:$W$38,COLUMN(T245)-COLUMN($E$5),4),$E252),0)</f>
        <v>0</v>
      </c>
      <c r="U252" s="250">
        <f>IF(U$6=$C252,IF(INDEX('Surface DEET'!$Q$9:$W$38,COLUMN(U245)-COLUMN($E$5),4)&gt;0,INDEX('Surface DEET'!$Q$9:$W$38,COLUMN(U245)-COLUMN($E$5),4),$E252),0)</f>
        <v>0</v>
      </c>
      <c r="V252" s="250">
        <f>IF(V$6=$C252,IF(INDEX('Surface DEET'!$Q$9:$W$38,COLUMN(V245)-COLUMN($E$5),4)&gt;0,INDEX('Surface DEET'!$Q$9:$W$38,COLUMN(V245)-COLUMN($E$5),4),$E252),0)</f>
        <v>0</v>
      </c>
      <c r="W252" s="250">
        <f>IF(W$6=$C252,IF(INDEX('Surface DEET'!$Q$9:$W$38,COLUMN(W245)-COLUMN($E$5),4)&gt;0,INDEX('Surface DEET'!$Q$9:$W$38,COLUMN(W245)-COLUMN($E$5),4),$E252),0)</f>
        <v>0</v>
      </c>
      <c r="X252" s="250">
        <f>IF(X$6=$C252,IF(INDEX('Surface DEET'!$Q$9:$W$38,COLUMN(X245)-COLUMN($E$5),4)&gt;0,INDEX('Surface DEET'!$Q$9:$W$38,COLUMN(X245)-COLUMN($E$5),4),$E252),0)</f>
        <v>0</v>
      </c>
      <c r="Y252" s="250">
        <f>IF(Y$6=$C252,IF(INDEX('Surface DEET'!$Q$9:$W$38,COLUMN(Y245)-COLUMN($E$5),4)&gt;0,INDEX('Surface DEET'!$Q$9:$W$38,COLUMN(Y245)-COLUMN($E$5),4),$E252),0)</f>
        <v>0</v>
      </c>
      <c r="Z252" s="250">
        <f>IF(Z$6=$C252,IF(INDEX('Surface DEET'!$Q$9:$W$38,COLUMN(Z245)-COLUMN($E$5),4)&gt;0,INDEX('Surface DEET'!$Q$9:$W$38,COLUMN(Z245)-COLUMN($E$5),4),$E252),0)</f>
        <v>0</v>
      </c>
      <c r="AA252" s="250">
        <f>IF(AA$6=$C252,IF(INDEX('Surface DEET'!$Q$9:$W$38,COLUMN(AA245)-COLUMN($E$5),4)&gt;0,INDEX('Surface DEET'!$Q$9:$W$38,COLUMN(AA245)-COLUMN($E$5),4),$E252),0)</f>
        <v>0</v>
      </c>
      <c r="AB252" s="250">
        <f>IF(AB$6=$C252,IF(INDEX('Surface DEET'!$Q$9:$W$38,COLUMN(AB245)-COLUMN($E$5),4)&gt;0,INDEX('Surface DEET'!$Q$9:$W$38,COLUMN(AB245)-COLUMN($E$5),4),$E252),0)</f>
        <v>0</v>
      </c>
      <c r="AC252" s="250">
        <f>IF(AC$6=$C252,IF(INDEX('Surface DEET'!$Q$9:$W$38,COLUMN(AC245)-COLUMN($E$5),4)&gt;0,INDEX('Surface DEET'!$Q$9:$W$38,COLUMN(AC245)-COLUMN($E$5),4),$E252),0)</f>
        <v>0</v>
      </c>
      <c r="AD252" s="250">
        <f>IF(AD$6=$C252,IF(INDEX('Surface DEET'!$Q$9:$W$38,COLUMN(AD245)-COLUMN($E$5),4)&gt;0,INDEX('Surface DEET'!$Q$9:$W$38,COLUMN(AD245)-COLUMN($E$5),4),$E252),0)</f>
        <v>0</v>
      </c>
      <c r="AE252" s="250">
        <f>IF(AE$6=$C252,IF(INDEX('Surface DEET'!$Q$9:$W$38,COLUMN(AE245)-COLUMN($E$5),4)&gt;0,INDEX('Surface DEET'!$Q$9:$W$38,COLUMN(AE245)-COLUMN($E$5),4),$E252),0)</f>
        <v>0</v>
      </c>
      <c r="AF252" s="250">
        <f>IF(AF$6=$C252,IF(INDEX('Surface DEET'!$Q$9:$W$38,COLUMN(AF245)-COLUMN($E$5),4)&gt;0,INDEX('Surface DEET'!$Q$9:$W$38,COLUMN(AF245)-COLUMN($E$5),4),$E252),0)</f>
        <v>0</v>
      </c>
      <c r="AG252" s="250">
        <f>IF(AG$6=$C252,IF(INDEX('Surface DEET'!$Q$9:$W$38,COLUMN(AG245)-COLUMN($E$5),4)&gt;0,INDEX('Surface DEET'!$Q$9:$W$38,COLUMN(AG245)-COLUMN($E$5),4),$E252),0)</f>
        <v>0</v>
      </c>
      <c r="AH252" s="250">
        <f>IF(AH$6=$C252,IF(INDEX('Surface DEET'!$Q$9:$W$38,COLUMN(AH245)-COLUMN($E$5),4)&gt;0,INDEX('Surface DEET'!$Q$9:$W$38,COLUMN(AH245)-COLUMN($E$5),4),$E252),0)</f>
        <v>0</v>
      </c>
      <c r="AI252" s="250">
        <f>IF(AI$6=$C252,IF(INDEX('Surface DEET'!$Q$9:$W$38,COLUMN(AI245)-COLUMN($E$5),4)&gt;0,INDEX('Surface DEET'!$Q$9:$W$38,COLUMN(AI245)-COLUMN($E$5),4),$E252),0)</f>
        <v>0</v>
      </c>
    </row>
    <row r="253" spans="2:35">
      <c r="B253" s="250" t="s">
        <v>543</v>
      </c>
      <c r="C253" s="250" t="s">
        <v>652</v>
      </c>
      <c r="D253" s="296" t="s">
        <v>585</v>
      </c>
      <c r="E253" s="250">
        <v>70</v>
      </c>
      <c r="F253" s="250">
        <f>IF(F$6=$C253,IF(INDEX('Surface DEET'!$Q$9:$W$38,COLUMN(F246)-COLUMN($E$5),7)&gt;0,INDEX('Surface DEET'!$Q$9:$W$38,COLUMN(F246)-COLUMN($E$5),7),$E253),0)</f>
        <v>0</v>
      </c>
      <c r="G253" s="250">
        <f>IF(G$6=$C253,IF(INDEX('Surface DEET'!$Q$9:$W$38,COLUMN(G246)-COLUMN($E$5),7)&gt;0,INDEX('Surface DEET'!$Q$9:$W$38,COLUMN(G246)-COLUMN($E$5),7),$E253),0)</f>
        <v>0</v>
      </c>
      <c r="H253" s="250">
        <f>IF(H$6=$C253,IF(INDEX('Surface DEET'!$Q$9:$W$38,COLUMN(H246)-COLUMN($E$5),7)&gt;0,INDEX('Surface DEET'!$Q$9:$W$38,COLUMN(H246)-COLUMN($E$5),7),$E253),0)</f>
        <v>0</v>
      </c>
      <c r="I253" s="250">
        <f>IF(I$6=$C253,IF(INDEX('Surface DEET'!$Q$9:$W$38,COLUMN(I246)-COLUMN($E$5),7)&gt;0,INDEX('Surface DEET'!$Q$9:$W$38,COLUMN(I246)-COLUMN($E$5),7),$E253),0)</f>
        <v>0</v>
      </c>
      <c r="J253" s="250">
        <f>IF(J$6=$C253,IF(INDEX('Surface DEET'!$Q$9:$W$38,COLUMN(J246)-COLUMN($E$5),7)&gt;0,INDEX('Surface DEET'!$Q$9:$W$38,COLUMN(J246)-COLUMN($E$5),7),$E253),0)</f>
        <v>0</v>
      </c>
      <c r="K253" s="250">
        <f>IF(K$6=$C253,IF(INDEX('Surface DEET'!$Q$9:$W$38,COLUMN(K246)-COLUMN($E$5),7)&gt;0,INDEX('Surface DEET'!$Q$9:$W$38,COLUMN(K246)-COLUMN($E$5),7),$E253),0)</f>
        <v>0</v>
      </c>
      <c r="L253" s="250">
        <f>IF(L$6=$C253,IF(INDEX('Surface DEET'!$Q$9:$W$38,COLUMN(L246)-COLUMN($E$5),7)&gt;0,INDEX('Surface DEET'!$Q$9:$W$38,COLUMN(L246)-COLUMN($E$5),7),$E253),0)</f>
        <v>0</v>
      </c>
      <c r="M253" s="250">
        <f>IF(M$6=$C253,IF(INDEX('Surface DEET'!$Q$9:$W$38,COLUMN(M246)-COLUMN($E$5),7)&gt;0,INDEX('Surface DEET'!$Q$9:$W$38,COLUMN(M246)-COLUMN($E$5),7),$E253),0)</f>
        <v>0</v>
      </c>
      <c r="N253" s="250">
        <f>IF(N$6=$C253,IF(INDEX('Surface DEET'!$Q$9:$W$38,COLUMN(N246)-COLUMN($E$5),7)&gt;0,INDEX('Surface DEET'!$Q$9:$W$38,COLUMN(N246)-COLUMN($E$5),7),$E253),0)</f>
        <v>0</v>
      </c>
      <c r="O253" s="250">
        <f>IF(O$6=$C253,IF(INDEX('Surface DEET'!$Q$9:$W$38,COLUMN(O246)-COLUMN($E$5),7)&gt;0,INDEX('Surface DEET'!$Q$9:$W$38,COLUMN(O246)-COLUMN($E$5),7),$E253),0)</f>
        <v>0</v>
      </c>
      <c r="P253" s="250">
        <f>IF(P$6=$C253,IF(INDEX('Surface DEET'!$Q$9:$W$38,COLUMN(P246)-COLUMN($E$5),7)&gt;0,INDEX('Surface DEET'!$Q$9:$W$38,COLUMN(P246)-COLUMN($E$5),7),$E253),0)</f>
        <v>0</v>
      </c>
      <c r="Q253" s="250">
        <f>IF(Q$6=$C253,IF(INDEX('Surface DEET'!$Q$9:$W$38,COLUMN(Q246)-COLUMN($E$5),7)&gt;0,INDEX('Surface DEET'!$Q$9:$W$38,COLUMN(Q246)-COLUMN($E$5),7),$E253),0)</f>
        <v>0</v>
      </c>
      <c r="R253" s="250">
        <f>IF(R$6=$C253,IF(INDEX('Surface DEET'!$Q$9:$W$38,COLUMN(R246)-COLUMN($E$5),7)&gt;0,INDEX('Surface DEET'!$Q$9:$W$38,COLUMN(R246)-COLUMN($E$5),7),$E253),0)</f>
        <v>0</v>
      </c>
      <c r="S253" s="250">
        <f>IF(S$6=$C253,IF(INDEX('Surface DEET'!$Q$9:$W$38,COLUMN(S246)-COLUMN($E$5),7)&gt;0,INDEX('Surface DEET'!$Q$9:$W$38,COLUMN(S246)-COLUMN($E$5),7),$E253),0)</f>
        <v>0</v>
      </c>
      <c r="T253" s="250">
        <f>IF(T$6=$C253,IF(INDEX('Surface DEET'!$Q$9:$W$38,COLUMN(T246)-COLUMN($E$5),7)&gt;0,INDEX('Surface DEET'!$Q$9:$W$38,COLUMN(T246)-COLUMN($E$5),7),$E253),0)</f>
        <v>0</v>
      </c>
      <c r="U253" s="250">
        <f>IF(U$6=$C253,IF(INDEX('Surface DEET'!$Q$9:$W$38,COLUMN(U246)-COLUMN($E$5),7)&gt;0,INDEX('Surface DEET'!$Q$9:$W$38,COLUMN(U246)-COLUMN($E$5),7),$E253),0)</f>
        <v>0</v>
      </c>
      <c r="V253" s="250">
        <f>IF(V$6=$C253,IF(INDEX('Surface DEET'!$Q$9:$W$38,COLUMN(V246)-COLUMN($E$5),7)&gt;0,INDEX('Surface DEET'!$Q$9:$W$38,COLUMN(V246)-COLUMN($E$5),7),$E253),0)</f>
        <v>0</v>
      </c>
      <c r="W253" s="250">
        <f>IF(W$6=$C253,IF(INDEX('Surface DEET'!$Q$9:$W$38,COLUMN(W246)-COLUMN($E$5),7)&gt;0,INDEX('Surface DEET'!$Q$9:$W$38,COLUMN(W246)-COLUMN($E$5),7),$E253),0)</f>
        <v>0</v>
      </c>
      <c r="X253" s="250">
        <f>IF(X$6=$C253,IF(INDEX('Surface DEET'!$Q$9:$W$38,COLUMN(X246)-COLUMN($E$5),7)&gt;0,INDEX('Surface DEET'!$Q$9:$W$38,COLUMN(X246)-COLUMN($E$5),7),$E253),0)</f>
        <v>0</v>
      </c>
      <c r="Y253" s="250">
        <f>IF(Y$6=$C253,IF(INDEX('Surface DEET'!$Q$9:$W$38,COLUMN(Y246)-COLUMN($E$5),7)&gt;0,INDEX('Surface DEET'!$Q$9:$W$38,COLUMN(Y246)-COLUMN($E$5),7),$E253),0)</f>
        <v>0</v>
      </c>
      <c r="Z253" s="250">
        <f>IF(Z$6=$C253,IF(INDEX('Surface DEET'!$Q$9:$W$38,COLUMN(Z246)-COLUMN($E$5),7)&gt;0,INDEX('Surface DEET'!$Q$9:$W$38,COLUMN(Z246)-COLUMN($E$5),7),$E253),0)</f>
        <v>0</v>
      </c>
      <c r="AA253" s="250">
        <f>IF(AA$6=$C253,IF(INDEX('Surface DEET'!$Q$9:$W$38,COLUMN(AA246)-COLUMN($E$5),7)&gt;0,INDEX('Surface DEET'!$Q$9:$W$38,COLUMN(AA246)-COLUMN($E$5),7),$E253),0)</f>
        <v>0</v>
      </c>
      <c r="AB253" s="250">
        <f>IF(AB$6=$C253,IF(INDEX('Surface DEET'!$Q$9:$W$38,COLUMN(AB246)-COLUMN($E$5),7)&gt;0,INDEX('Surface DEET'!$Q$9:$W$38,COLUMN(AB246)-COLUMN($E$5),7),$E253),0)</f>
        <v>0</v>
      </c>
      <c r="AC253" s="250">
        <f>IF(AC$6=$C253,IF(INDEX('Surface DEET'!$Q$9:$W$38,COLUMN(AC246)-COLUMN($E$5),7)&gt;0,INDEX('Surface DEET'!$Q$9:$W$38,COLUMN(AC246)-COLUMN($E$5),7),$E253),0)</f>
        <v>0</v>
      </c>
      <c r="AD253" s="250">
        <f>IF(AD$6=$C253,IF(INDEX('Surface DEET'!$Q$9:$W$38,COLUMN(AD246)-COLUMN($E$5),7)&gt;0,INDEX('Surface DEET'!$Q$9:$W$38,COLUMN(AD246)-COLUMN($E$5),7),$E253),0)</f>
        <v>0</v>
      </c>
      <c r="AE253" s="250">
        <f>IF(AE$6=$C253,IF(INDEX('Surface DEET'!$Q$9:$W$38,COLUMN(AE246)-COLUMN($E$5),7)&gt;0,INDEX('Surface DEET'!$Q$9:$W$38,COLUMN(AE246)-COLUMN($E$5),7),$E253),0)</f>
        <v>0</v>
      </c>
      <c r="AF253" s="250">
        <f>IF(AF$6=$C253,IF(INDEX('Surface DEET'!$Q$9:$W$38,COLUMN(AF246)-COLUMN($E$5),7)&gt;0,INDEX('Surface DEET'!$Q$9:$W$38,COLUMN(AF246)-COLUMN($E$5),7),$E253),0)</f>
        <v>0</v>
      </c>
      <c r="AG253" s="250">
        <f>IF(AG$6=$C253,IF(INDEX('Surface DEET'!$Q$9:$W$38,COLUMN(AG246)-COLUMN($E$5),7)&gt;0,INDEX('Surface DEET'!$Q$9:$W$38,COLUMN(AG246)-COLUMN($E$5),7),$E253),0)</f>
        <v>0</v>
      </c>
      <c r="AH253" s="250">
        <f>IF(AH$6=$C253,IF(INDEX('Surface DEET'!$Q$9:$W$38,COLUMN(AH246)-COLUMN($E$5),7)&gt;0,INDEX('Surface DEET'!$Q$9:$W$38,COLUMN(AH246)-COLUMN($E$5),7),$E253),0)</f>
        <v>0</v>
      </c>
      <c r="AI253" s="250">
        <f>IF(AI$6=$C253,IF(INDEX('Surface DEET'!$Q$9:$W$38,COLUMN(AI246)-COLUMN($E$5),7)&gt;0,INDEX('Surface DEET'!$Q$9:$W$38,COLUMN(AI246)-COLUMN($E$5),7),$E253),0)</f>
        <v>0</v>
      </c>
    </row>
    <row r="254" spans="2:35">
      <c r="B254" s="250" t="s">
        <v>533</v>
      </c>
      <c r="C254" s="250" t="s">
        <v>652</v>
      </c>
      <c r="D254" s="250" t="s">
        <v>533</v>
      </c>
      <c r="F254" s="250">
        <f>$E$248*(F251/$E$251)*($E$250*(F252/$E$252)*(F253/$E$253)+(1-$E$250))+0.28*$E$247*(F251-$E$251)/$E$251</f>
        <v>-15.96</v>
      </c>
      <c r="G254" s="250">
        <f t="shared" ref="G254:AI254" si="30">$E$248*(G251/$E$251)*($E$250*(G252/$E$252)*(G253/$E$253)+(1-$E$250))+0.28*$E$247*(G251-$E$251)/$E$251</f>
        <v>-15.96</v>
      </c>
      <c r="H254" s="250">
        <f t="shared" si="30"/>
        <v>-15.96</v>
      </c>
      <c r="I254" s="250">
        <f t="shared" si="30"/>
        <v>-15.96</v>
      </c>
      <c r="J254" s="250">
        <f t="shared" si="30"/>
        <v>-15.96</v>
      </c>
      <c r="K254" s="250">
        <f t="shared" si="30"/>
        <v>-15.96</v>
      </c>
      <c r="L254" s="250">
        <f t="shared" si="30"/>
        <v>-15.96</v>
      </c>
      <c r="M254" s="250">
        <f t="shared" si="30"/>
        <v>-15.96</v>
      </c>
      <c r="N254" s="250">
        <f t="shared" si="30"/>
        <v>-15.96</v>
      </c>
      <c r="O254" s="250">
        <f t="shared" si="30"/>
        <v>-15.96</v>
      </c>
      <c r="P254" s="250">
        <f t="shared" si="30"/>
        <v>-15.96</v>
      </c>
      <c r="Q254" s="250">
        <f t="shared" si="30"/>
        <v>-15.96</v>
      </c>
      <c r="R254" s="250">
        <f t="shared" si="30"/>
        <v>-15.96</v>
      </c>
      <c r="S254" s="250">
        <f t="shared" si="30"/>
        <v>-15.96</v>
      </c>
      <c r="T254" s="250">
        <f t="shared" si="30"/>
        <v>-15.96</v>
      </c>
      <c r="U254" s="250">
        <f t="shared" si="30"/>
        <v>-15.96</v>
      </c>
      <c r="V254" s="250">
        <f t="shared" si="30"/>
        <v>-15.96</v>
      </c>
      <c r="W254" s="250">
        <f t="shared" si="30"/>
        <v>-15.96</v>
      </c>
      <c r="X254" s="250">
        <f t="shared" si="30"/>
        <v>-15.96</v>
      </c>
      <c r="Y254" s="250">
        <f t="shared" si="30"/>
        <v>-15.96</v>
      </c>
      <c r="Z254" s="250">
        <f t="shared" si="30"/>
        <v>-15.96</v>
      </c>
      <c r="AA254" s="250">
        <f t="shared" si="30"/>
        <v>-15.96</v>
      </c>
      <c r="AB254" s="250">
        <f t="shared" si="30"/>
        <v>-15.96</v>
      </c>
      <c r="AC254" s="250">
        <f t="shared" si="30"/>
        <v>-15.96</v>
      </c>
      <c r="AD254" s="250">
        <f t="shared" si="30"/>
        <v>-15.96</v>
      </c>
      <c r="AE254" s="250">
        <f t="shared" si="30"/>
        <v>-15.96</v>
      </c>
      <c r="AF254" s="250">
        <f t="shared" si="30"/>
        <v>-15.96</v>
      </c>
      <c r="AG254" s="250">
        <f t="shared" si="30"/>
        <v>-15.96</v>
      </c>
      <c r="AH254" s="250">
        <f t="shared" si="30"/>
        <v>-15.96</v>
      </c>
      <c r="AI254" s="250">
        <f t="shared" si="30"/>
        <v>-15.96</v>
      </c>
    </row>
    <row r="255" spans="2:35">
      <c r="B255" s="88" t="s">
        <v>294</v>
      </c>
      <c r="C255" s="250" t="s">
        <v>653</v>
      </c>
      <c r="D255" s="88" t="s">
        <v>294</v>
      </c>
      <c r="E255" s="250">
        <f t="array" ref="E255">INDEX(CABS_CVC!$C$3:$O$894,MATCH(1, (CABS_CVC!$A$3:$A$894=Calculs_CABS!C255)*(CABS_CVC!$B$3:$B$894=Calculs_CABS!$D$2),0),MATCH(Calculs_CABS!$D$1,Liste_CABS!$B$3:$B$15,0))</f>
        <v>57</v>
      </c>
    </row>
    <row r="256" spans="2:35">
      <c r="B256" s="250" t="s">
        <v>534</v>
      </c>
      <c r="C256" s="250" t="s">
        <v>653</v>
      </c>
      <c r="D256" s="250" t="s">
        <v>534</v>
      </c>
      <c r="E256" s="250">
        <v>60</v>
      </c>
    </row>
    <row r="257" spans="2:35">
      <c r="B257" s="250" t="s">
        <v>535</v>
      </c>
      <c r="C257" s="250" t="s">
        <v>653</v>
      </c>
      <c r="D257" s="250" t="s">
        <v>535</v>
      </c>
      <c r="E257" s="250">
        <f>E255+E256</f>
        <v>117</v>
      </c>
    </row>
    <row r="258" spans="2:35">
      <c r="B258" s="250" t="s">
        <v>536</v>
      </c>
      <c r="C258" s="250" t="s">
        <v>653</v>
      </c>
      <c r="D258" s="250" t="s">
        <v>536</v>
      </c>
      <c r="E258" s="250">
        <v>0.95</v>
      </c>
    </row>
    <row r="259" spans="2:35">
      <c r="B259" s="250" t="s">
        <v>537</v>
      </c>
      <c r="C259" s="250" t="s">
        <v>653</v>
      </c>
      <c r="D259" s="296" t="s">
        <v>583</v>
      </c>
      <c r="E259" s="250">
        <v>3120</v>
      </c>
      <c r="F259" s="250">
        <f>IF(F$6=$C259,IF(INDEX('Surface DEET'!$Q$9:$W$38,COLUMN(F252)-COLUMN($E$5),1)&gt;0,INDEX('Surface DEET'!$Q$9:$W$38,COLUMN(F252)-COLUMN($E$5),1),$E259),0)</f>
        <v>0</v>
      </c>
      <c r="G259" s="250">
        <f>IF(G$6=$C259,IF(INDEX('Surface DEET'!$Q$9:$W$38,COLUMN(G252)-COLUMN($E$5),1)&gt;0,INDEX('Surface DEET'!$Q$9:$W$38,COLUMN(G252)-COLUMN($E$5),1),$E259),0)</f>
        <v>0</v>
      </c>
      <c r="H259" s="250">
        <f>IF(H$6=$C259,IF(INDEX('Surface DEET'!$Q$9:$W$38,COLUMN(H252)-COLUMN($E$5),1)&gt;0,INDEX('Surface DEET'!$Q$9:$W$38,COLUMN(H252)-COLUMN($E$5),1),$E259),0)</f>
        <v>0</v>
      </c>
      <c r="I259" s="250">
        <f>IF(I$6=$C259,IF(INDEX('Surface DEET'!$Q$9:$W$38,COLUMN(I252)-COLUMN($E$5),1)&gt;0,INDEX('Surface DEET'!$Q$9:$W$38,COLUMN(I252)-COLUMN($E$5),1),$E259),0)</f>
        <v>0</v>
      </c>
      <c r="J259" s="250">
        <f>IF(J$6=$C259,IF(INDEX('Surface DEET'!$Q$9:$W$38,COLUMN(J252)-COLUMN($E$5),1)&gt;0,INDEX('Surface DEET'!$Q$9:$W$38,COLUMN(J252)-COLUMN($E$5),1),$E259),0)</f>
        <v>0</v>
      </c>
      <c r="K259" s="250">
        <f>IF(K$6=$C259,IF(INDEX('Surface DEET'!$Q$9:$W$38,COLUMN(K252)-COLUMN($E$5),1)&gt;0,INDEX('Surface DEET'!$Q$9:$W$38,COLUMN(K252)-COLUMN($E$5),1),$E259),0)</f>
        <v>0</v>
      </c>
      <c r="L259" s="250">
        <f>IF(L$6=$C259,IF(INDEX('Surface DEET'!$Q$9:$W$38,COLUMN(L252)-COLUMN($E$5),1)&gt;0,INDEX('Surface DEET'!$Q$9:$W$38,COLUMN(L252)-COLUMN($E$5),1),$E259),0)</f>
        <v>0</v>
      </c>
      <c r="M259" s="250">
        <f>IF(M$6=$C259,IF(INDEX('Surface DEET'!$Q$9:$W$38,COLUMN(M252)-COLUMN($E$5),1)&gt;0,INDEX('Surface DEET'!$Q$9:$W$38,COLUMN(M252)-COLUMN($E$5),1),$E259),0)</f>
        <v>0</v>
      </c>
      <c r="N259" s="250">
        <f>IF(N$6=$C259,IF(INDEX('Surface DEET'!$Q$9:$W$38,COLUMN(N252)-COLUMN($E$5),1)&gt;0,INDEX('Surface DEET'!$Q$9:$W$38,COLUMN(N252)-COLUMN($E$5),1),$E259),0)</f>
        <v>0</v>
      </c>
      <c r="O259" s="250">
        <f>IF(O$6=$C259,IF(INDEX('Surface DEET'!$Q$9:$W$38,COLUMN(O252)-COLUMN($E$5),1)&gt;0,INDEX('Surface DEET'!$Q$9:$W$38,COLUMN(O252)-COLUMN($E$5),1),$E259),0)</f>
        <v>0</v>
      </c>
      <c r="P259" s="250">
        <f>IF(P$6=$C259,IF(INDEX('Surface DEET'!$Q$9:$W$38,COLUMN(P252)-COLUMN($E$5),1)&gt;0,INDEX('Surface DEET'!$Q$9:$W$38,COLUMN(P252)-COLUMN($E$5),1),$E259),0)</f>
        <v>0</v>
      </c>
      <c r="Q259" s="250">
        <f>IF(Q$6=$C259,IF(INDEX('Surface DEET'!$Q$9:$W$38,COLUMN(Q252)-COLUMN($E$5),1)&gt;0,INDEX('Surface DEET'!$Q$9:$W$38,COLUMN(Q252)-COLUMN($E$5),1),$E259),0)</f>
        <v>0</v>
      </c>
      <c r="R259" s="250">
        <f>IF(R$6=$C259,IF(INDEX('Surface DEET'!$Q$9:$W$38,COLUMN(R252)-COLUMN($E$5),1)&gt;0,INDEX('Surface DEET'!$Q$9:$W$38,COLUMN(R252)-COLUMN($E$5),1),$E259),0)</f>
        <v>0</v>
      </c>
      <c r="S259" s="250">
        <f>IF(S$6=$C259,IF(INDEX('Surface DEET'!$Q$9:$W$38,COLUMN(S252)-COLUMN($E$5),1)&gt;0,INDEX('Surface DEET'!$Q$9:$W$38,COLUMN(S252)-COLUMN($E$5),1),$E259),0)</f>
        <v>0</v>
      </c>
      <c r="T259" s="250">
        <f>IF(T$6=$C259,IF(INDEX('Surface DEET'!$Q$9:$W$38,COLUMN(T252)-COLUMN($E$5),1)&gt;0,INDEX('Surface DEET'!$Q$9:$W$38,COLUMN(T252)-COLUMN($E$5),1),$E259),0)</f>
        <v>0</v>
      </c>
      <c r="U259" s="250">
        <f>IF(U$6=$C259,IF(INDEX('Surface DEET'!$Q$9:$W$38,COLUMN(U252)-COLUMN($E$5),1)&gt;0,INDEX('Surface DEET'!$Q$9:$W$38,COLUMN(U252)-COLUMN($E$5),1),$E259),0)</f>
        <v>0</v>
      </c>
      <c r="V259" s="250">
        <f>IF(V$6=$C259,IF(INDEX('Surface DEET'!$Q$9:$W$38,COLUMN(V252)-COLUMN($E$5),1)&gt;0,INDEX('Surface DEET'!$Q$9:$W$38,COLUMN(V252)-COLUMN($E$5),1),$E259),0)</f>
        <v>0</v>
      </c>
      <c r="W259" s="250">
        <f>IF(W$6=$C259,IF(INDEX('Surface DEET'!$Q$9:$W$38,COLUMN(W252)-COLUMN($E$5),1)&gt;0,INDEX('Surface DEET'!$Q$9:$W$38,COLUMN(W252)-COLUMN($E$5),1),$E259),0)</f>
        <v>0</v>
      </c>
      <c r="X259" s="250">
        <f>IF(X$6=$C259,IF(INDEX('Surface DEET'!$Q$9:$W$38,COLUMN(X252)-COLUMN($E$5),1)&gt;0,INDEX('Surface DEET'!$Q$9:$W$38,COLUMN(X252)-COLUMN($E$5),1),$E259),0)</f>
        <v>0</v>
      </c>
      <c r="Y259" s="250">
        <f>IF(Y$6=$C259,IF(INDEX('Surface DEET'!$Q$9:$W$38,COLUMN(Y252)-COLUMN($E$5),1)&gt;0,INDEX('Surface DEET'!$Q$9:$W$38,COLUMN(Y252)-COLUMN($E$5),1),$E259),0)</f>
        <v>0</v>
      </c>
      <c r="Z259" s="250">
        <f>IF(Z$6=$C259,IF(INDEX('Surface DEET'!$Q$9:$W$38,COLUMN(Z252)-COLUMN($E$5),1)&gt;0,INDEX('Surface DEET'!$Q$9:$W$38,COLUMN(Z252)-COLUMN($E$5),1),$E259),0)</f>
        <v>0</v>
      </c>
      <c r="AA259" s="250">
        <f>IF(AA$6=$C259,IF(INDEX('Surface DEET'!$Q$9:$W$38,COLUMN(AA252)-COLUMN($E$5),1)&gt;0,INDEX('Surface DEET'!$Q$9:$W$38,COLUMN(AA252)-COLUMN($E$5),1),$E259),0)</f>
        <v>0</v>
      </c>
      <c r="AB259" s="250">
        <f>IF(AB$6=$C259,IF(INDEX('Surface DEET'!$Q$9:$W$38,COLUMN(AB252)-COLUMN($E$5),1)&gt;0,INDEX('Surface DEET'!$Q$9:$W$38,COLUMN(AB252)-COLUMN($E$5),1),$E259),0)</f>
        <v>0</v>
      </c>
      <c r="AC259" s="250">
        <f>IF(AC$6=$C259,IF(INDEX('Surface DEET'!$Q$9:$W$38,COLUMN(AC252)-COLUMN($E$5),1)&gt;0,INDEX('Surface DEET'!$Q$9:$W$38,COLUMN(AC252)-COLUMN($E$5),1),$E259),0)</f>
        <v>0</v>
      </c>
      <c r="AD259" s="250">
        <f>IF(AD$6=$C259,IF(INDEX('Surface DEET'!$Q$9:$W$38,COLUMN(AD252)-COLUMN($E$5),1)&gt;0,INDEX('Surface DEET'!$Q$9:$W$38,COLUMN(AD252)-COLUMN($E$5),1),$E259),0)</f>
        <v>0</v>
      </c>
      <c r="AE259" s="250">
        <f>IF(AE$6=$C259,IF(INDEX('Surface DEET'!$Q$9:$W$38,COLUMN(AE252)-COLUMN($E$5),1)&gt;0,INDEX('Surface DEET'!$Q$9:$W$38,COLUMN(AE252)-COLUMN($E$5),1),$E259),0)</f>
        <v>0</v>
      </c>
      <c r="AF259" s="250">
        <f>IF(AF$6=$C259,IF(INDEX('Surface DEET'!$Q$9:$W$38,COLUMN(AF252)-COLUMN($E$5),1)&gt;0,INDEX('Surface DEET'!$Q$9:$W$38,COLUMN(AF252)-COLUMN($E$5),1),$E259),0)</f>
        <v>0</v>
      </c>
      <c r="AG259" s="250">
        <f>IF(AG$6=$C259,IF(INDEX('Surface DEET'!$Q$9:$W$38,COLUMN(AG252)-COLUMN($E$5),1)&gt;0,INDEX('Surface DEET'!$Q$9:$W$38,COLUMN(AG252)-COLUMN($E$5),1),$E259),0)</f>
        <v>0</v>
      </c>
      <c r="AH259" s="250">
        <f>IF(AH$6=$C259,IF(INDEX('Surface DEET'!$Q$9:$W$38,COLUMN(AH252)-COLUMN($E$5),1)&gt;0,INDEX('Surface DEET'!$Q$9:$W$38,COLUMN(AH252)-COLUMN($E$5),1),$E259),0)</f>
        <v>0</v>
      </c>
      <c r="AI259" s="250">
        <f>IF(AI$6=$C259,IF(INDEX('Surface DEET'!$Q$9:$W$38,COLUMN(AI252)-COLUMN($E$5),1)&gt;0,INDEX('Surface DEET'!$Q$9:$W$38,COLUMN(AI252)-COLUMN($E$5),1),$E259),0)</f>
        <v>0</v>
      </c>
    </row>
    <row r="260" spans="2:35">
      <c r="B260" s="250" t="s">
        <v>540</v>
      </c>
      <c r="C260" s="250" t="s">
        <v>653</v>
      </c>
      <c r="D260" s="296" t="s">
        <v>584</v>
      </c>
      <c r="E260" s="250">
        <v>15</v>
      </c>
      <c r="F260" s="250">
        <f>IF(F$6=$C260,IF(INDEX('Surface DEET'!$Q$9:$W$38,COLUMN(F253)-COLUMN($E$5),4)&gt;0,INDEX('Surface DEET'!$Q$9:$W$38,COLUMN(F253)-COLUMN($E$5),4),$E260),0)</f>
        <v>0</v>
      </c>
      <c r="G260" s="250">
        <f>IF(G$6=$C260,IF(INDEX('Surface DEET'!$Q$9:$W$38,COLUMN(G253)-COLUMN($E$5),4)&gt;0,INDEX('Surface DEET'!$Q$9:$W$38,COLUMN(G253)-COLUMN($E$5),4),$E260),0)</f>
        <v>0</v>
      </c>
      <c r="H260" s="250">
        <f>IF(H$6=$C260,IF(INDEX('Surface DEET'!$Q$9:$W$38,COLUMN(H253)-COLUMN($E$5),4)&gt;0,INDEX('Surface DEET'!$Q$9:$W$38,COLUMN(H253)-COLUMN($E$5),4),$E260),0)</f>
        <v>0</v>
      </c>
      <c r="I260" s="250">
        <f>IF(I$6=$C260,IF(INDEX('Surface DEET'!$Q$9:$W$38,COLUMN(I253)-COLUMN($E$5),4)&gt;0,INDEX('Surface DEET'!$Q$9:$W$38,COLUMN(I253)-COLUMN($E$5),4),$E260),0)</f>
        <v>0</v>
      </c>
      <c r="J260" s="250">
        <f>IF(J$6=$C260,IF(INDEX('Surface DEET'!$Q$9:$W$38,COLUMN(J253)-COLUMN($E$5),4)&gt;0,INDEX('Surface DEET'!$Q$9:$W$38,COLUMN(J253)-COLUMN($E$5),4),$E260),0)</f>
        <v>0</v>
      </c>
      <c r="K260" s="250">
        <f>IF(K$6=$C260,IF(INDEX('Surface DEET'!$Q$9:$W$38,COLUMN(K253)-COLUMN($E$5),4)&gt;0,INDEX('Surface DEET'!$Q$9:$W$38,COLUMN(K253)-COLUMN($E$5),4),$E260),0)</f>
        <v>0</v>
      </c>
      <c r="L260" s="250">
        <f>IF(L$6=$C260,IF(INDEX('Surface DEET'!$Q$9:$W$38,COLUMN(L253)-COLUMN($E$5),4)&gt;0,INDEX('Surface DEET'!$Q$9:$W$38,COLUMN(L253)-COLUMN($E$5),4),$E260),0)</f>
        <v>0</v>
      </c>
      <c r="M260" s="250">
        <f>IF(M$6=$C260,IF(INDEX('Surface DEET'!$Q$9:$W$38,COLUMN(M253)-COLUMN($E$5),4)&gt;0,INDEX('Surface DEET'!$Q$9:$W$38,COLUMN(M253)-COLUMN($E$5),4),$E260),0)</f>
        <v>0</v>
      </c>
      <c r="N260" s="250">
        <f>IF(N$6=$C260,IF(INDEX('Surface DEET'!$Q$9:$W$38,COLUMN(N253)-COLUMN($E$5),4)&gt;0,INDEX('Surface DEET'!$Q$9:$W$38,COLUMN(N253)-COLUMN($E$5),4),$E260),0)</f>
        <v>0</v>
      </c>
      <c r="O260" s="250">
        <f>IF(O$6=$C260,IF(INDEX('Surface DEET'!$Q$9:$W$38,COLUMN(O253)-COLUMN($E$5),4)&gt;0,INDEX('Surface DEET'!$Q$9:$W$38,COLUMN(O253)-COLUMN($E$5),4),$E260),0)</f>
        <v>0</v>
      </c>
      <c r="P260" s="250">
        <f>IF(P$6=$C260,IF(INDEX('Surface DEET'!$Q$9:$W$38,COLUMN(P253)-COLUMN($E$5),4)&gt;0,INDEX('Surface DEET'!$Q$9:$W$38,COLUMN(P253)-COLUMN($E$5),4),$E260),0)</f>
        <v>0</v>
      </c>
      <c r="Q260" s="250">
        <f>IF(Q$6=$C260,IF(INDEX('Surface DEET'!$Q$9:$W$38,COLUMN(Q253)-COLUMN($E$5),4)&gt;0,INDEX('Surface DEET'!$Q$9:$W$38,COLUMN(Q253)-COLUMN($E$5),4),$E260),0)</f>
        <v>0</v>
      </c>
      <c r="R260" s="250">
        <f>IF(R$6=$C260,IF(INDEX('Surface DEET'!$Q$9:$W$38,COLUMN(R253)-COLUMN($E$5),4)&gt;0,INDEX('Surface DEET'!$Q$9:$W$38,COLUMN(R253)-COLUMN($E$5),4),$E260),0)</f>
        <v>0</v>
      </c>
      <c r="S260" s="250">
        <f>IF(S$6=$C260,IF(INDEX('Surface DEET'!$Q$9:$W$38,COLUMN(S253)-COLUMN($E$5),4)&gt;0,INDEX('Surface DEET'!$Q$9:$W$38,COLUMN(S253)-COLUMN($E$5),4),$E260),0)</f>
        <v>0</v>
      </c>
      <c r="T260" s="250">
        <f>IF(T$6=$C260,IF(INDEX('Surface DEET'!$Q$9:$W$38,COLUMN(T253)-COLUMN($E$5),4)&gt;0,INDEX('Surface DEET'!$Q$9:$W$38,COLUMN(T253)-COLUMN($E$5),4),$E260),0)</f>
        <v>0</v>
      </c>
      <c r="U260" s="250">
        <f>IF(U$6=$C260,IF(INDEX('Surface DEET'!$Q$9:$W$38,COLUMN(U253)-COLUMN($E$5),4)&gt;0,INDEX('Surface DEET'!$Q$9:$W$38,COLUMN(U253)-COLUMN($E$5),4),$E260),0)</f>
        <v>0</v>
      </c>
      <c r="V260" s="250">
        <f>IF(V$6=$C260,IF(INDEX('Surface DEET'!$Q$9:$W$38,COLUMN(V253)-COLUMN($E$5),4)&gt;0,INDEX('Surface DEET'!$Q$9:$W$38,COLUMN(V253)-COLUMN($E$5),4),$E260),0)</f>
        <v>0</v>
      </c>
      <c r="W260" s="250">
        <f>IF(W$6=$C260,IF(INDEX('Surface DEET'!$Q$9:$W$38,COLUMN(W253)-COLUMN($E$5),4)&gt;0,INDEX('Surface DEET'!$Q$9:$W$38,COLUMN(W253)-COLUMN($E$5),4),$E260),0)</f>
        <v>0</v>
      </c>
      <c r="X260" s="250">
        <f>IF(X$6=$C260,IF(INDEX('Surface DEET'!$Q$9:$W$38,COLUMN(X253)-COLUMN($E$5),4)&gt;0,INDEX('Surface DEET'!$Q$9:$W$38,COLUMN(X253)-COLUMN($E$5),4),$E260),0)</f>
        <v>0</v>
      </c>
      <c r="Y260" s="250">
        <f>IF(Y$6=$C260,IF(INDEX('Surface DEET'!$Q$9:$W$38,COLUMN(Y253)-COLUMN($E$5),4)&gt;0,INDEX('Surface DEET'!$Q$9:$W$38,COLUMN(Y253)-COLUMN($E$5),4),$E260),0)</f>
        <v>0</v>
      </c>
      <c r="Z260" s="250">
        <f>IF(Z$6=$C260,IF(INDEX('Surface DEET'!$Q$9:$W$38,COLUMN(Z253)-COLUMN($E$5),4)&gt;0,INDEX('Surface DEET'!$Q$9:$W$38,COLUMN(Z253)-COLUMN($E$5),4),$E260),0)</f>
        <v>0</v>
      </c>
      <c r="AA260" s="250">
        <f>IF(AA$6=$C260,IF(INDEX('Surface DEET'!$Q$9:$W$38,COLUMN(AA253)-COLUMN($E$5),4)&gt;0,INDEX('Surface DEET'!$Q$9:$W$38,COLUMN(AA253)-COLUMN($E$5),4),$E260),0)</f>
        <v>0</v>
      </c>
      <c r="AB260" s="250">
        <f>IF(AB$6=$C260,IF(INDEX('Surface DEET'!$Q$9:$W$38,COLUMN(AB253)-COLUMN($E$5),4)&gt;0,INDEX('Surface DEET'!$Q$9:$W$38,COLUMN(AB253)-COLUMN($E$5),4),$E260),0)</f>
        <v>0</v>
      </c>
      <c r="AC260" s="250">
        <f>IF(AC$6=$C260,IF(INDEX('Surface DEET'!$Q$9:$W$38,COLUMN(AC253)-COLUMN($E$5),4)&gt;0,INDEX('Surface DEET'!$Q$9:$W$38,COLUMN(AC253)-COLUMN($E$5),4),$E260),0)</f>
        <v>0</v>
      </c>
      <c r="AD260" s="250">
        <f>IF(AD$6=$C260,IF(INDEX('Surface DEET'!$Q$9:$W$38,COLUMN(AD253)-COLUMN($E$5),4)&gt;0,INDEX('Surface DEET'!$Q$9:$W$38,COLUMN(AD253)-COLUMN($E$5),4),$E260),0)</f>
        <v>0</v>
      </c>
      <c r="AE260" s="250">
        <f>IF(AE$6=$C260,IF(INDEX('Surface DEET'!$Q$9:$W$38,COLUMN(AE253)-COLUMN($E$5),4)&gt;0,INDEX('Surface DEET'!$Q$9:$W$38,COLUMN(AE253)-COLUMN($E$5),4),$E260),0)</f>
        <v>0</v>
      </c>
      <c r="AF260" s="250">
        <f>IF(AF$6=$C260,IF(INDEX('Surface DEET'!$Q$9:$W$38,COLUMN(AF253)-COLUMN($E$5),4)&gt;0,INDEX('Surface DEET'!$Q$9:$W$38,COLUMN(AF253)-COLUMN($E$5),4),$E260),0)</f>
        <v>0</v>
      </c>
      <c r="AG260" s="250">
        <f>IF(AG$6=$C260,IF(INDEX('Surface DEET'!$Q$9:$W$38,COLUMN(AG253)-COLUMN($E$5),4)&gt;0,INDEX('Surface DEET'!$Q$9:$W$38,COLUMN(AG253)-COLUMN($E$5),4),$E260),0)</f>
        <v>0</v>
      </c>
      <c r="AH260" s="250">
        <f>IF(AH$6=$C260,IF(INDEX('Surface DEET'!$Q$9:$W$38,COLUMN(AH253)-COLUMN($E$5),4)&gt;0,INDEX('Surface DEET'!$Q$9:$W$38,COLUMN(AH253)-COLUMN($E$5),4),$E260),0)</f>
        <v>0</v>
      </c>
      <c r="AI260" s="250">
        <f>IF(AI$6=$C260,IF(INDEX('Surface DEET'!$Q$9:$W$38,COLUMN(AI253)-COLUMN($E$5),4)&gt;0,INDEX('Surface DEET'!$Q$9:$W$38,COLUMN(AI253)-COLUMN($E$5),4),$E260),0)</f>
        <v>0</v>
      </c>
    </row>
    <row r="261" spans="2:35">
      <c r="B261" s="250" t="s">
        <v>543</v>
      </c>
      <c r="C261" s="250" t="s">
        <v>653</v>
      </c>
      <c r="D261" s="296" t="s">
        <v>585</v>
      </c>
      <c r="E261" s="250">
        <v>70</v>
      </c>
      <c r="F261" s="250">
        <f>IF(F$6=$C261,IF(INDEX('Surface DEET'!$Q$9:$W$38,COLUMN(F254)-COLUMN($E$5),7)&gt;0,INDEX('Surface DEET'!$Q$9:$W$38,COLUMN(F254)-COLUMN($E$5),7),$E261),0)</f>
        <v>0</v>
      </c>
      <c r="G261" s="250">
        <f>IF(G$6=$C261,IF(INDEX('Surface DEET'!$Q$9:$W$38,COLUMN(G254)-COLUMN($E$5),7)&gt;0,INDEX('Surface DEET'!$Q$9:$W$38,COLUMN(G254)-COLUMN($E$5),7),$E261),0)</f>
        <v>0</v>
      </c>
      <c r="H261" s="250">
        <f>IF(H$6=$C261,IF(INDEX('Surface DEET'!$Q$9:$W$38,COLUMN(H254)-COLUMN($E$5),7)&gt;0,INDEX('Surface DEET'!$Q$9:$W$38,COLUMN(H254)-COLUMN($E$5),7),$E261),0)</f>
        <v>0</v>
      </c>
      <c r="I261" s="250">
        <f>IF(I$6=$C261,IF(INDEX('Surface DEET'!$Q$9:$W$38,COLUMN(I254)-COLUMN($E$5),7)&gt;0,INDEX('Surface DEET'!$Q$9:$W$38,COLUMN(I254)-COLUMN($E$5),7),$E261),0)</f>
        <v>0</v>
      </c>
      <c r="J261" s="250">
        <f>IF(J$6=$C261,IF(INDEX('Surface DEET'!$Q$9:$W$38,COLUMN(J254)-COLUMN($E$5),7)&gt;0,INDEX('Surface DEET'!$Q$9:$W$38,COLUMN(J254)-COLUMN($E$5),7),$E261),0)</f>
        <v>0</v>
      </c>
      <c r="K261" s="250">
        <f>IF(K$6=$C261,IF(INDEX('Surface DEET'!$Q$9:$W$38,COLUMN(K254)-COLUMN($E$5),7)&gt;0,INDEX('Surface DEET'!$Q$9:$W$38,COLUMN(K254)-COLUMN($E$5),7),$E261),0)</f>
        <v>0</v>
      </c>
      <c r="L261" s="250">
        <f>IF(L$6=$C261,IF(INDEX('Surface DEET'!$Q$9:$W$38,COLUMN(L254)-COLUMN($E$5),7)&gt;0,INDEX('Surface DEET'!$Q$9:$W$38,COLUMN(L254)-COLUMN($E$5),7),$E261),0)</f>
        <v>0</v>
      </c>
      <c r="M261" s="250">
        <f>IF(M$6=$C261,IF(INDEX('Surface DEET'!$Q$9:$W$38,COLUMN(M254)-COLUMN($E$5),7)&gt;0,INDEX('Surface DEET'!$Q$9:$W$38,COLUMN(M254)-COLUMN($E$5),7),$E261),0)</f>
        <v>0</v>
      </c>
      <c r="N261" s="250">
        <f>IF(N$6=$C261,IF(INDEX('Surface DEET'!$Q$9:$W$38,COLUMN(N254)-COLUMN($E$5),7)&gt;0,INDEX('Surface DEET'!$Q$9:$W$38,COLUMN(N254)-COLUMN($E$5),7),$E261),0)</f>
        <v>0</v>
      </c>
      <c r="O261" s="250">
        <f>IF(O$6=$C261,IF(INDEX('Surface DEET'!$Q$9:$W$38,COLUMN(O254)-COLUMN($E$5),7)&gt;0,INDEX('Surface DEET'!$Q$9:$W$38,COLUMN(O254)-COLUMN($E$5),7),$E261),0)</f>
        <v>0</v>
      </c>
      <c r="P261" s="250">
        <f>IF(P$6=$C261,IF(INDEX('Surface DEET'!$Q$9:$W$38,COLUMN(P254)-COLUMN($E$5),7)&gt;0,INDEX('Surface DEET'!$Q$9:$W$38,COLUMN(P254)-COLUMN($E$5),7),$E261),0)</f>
        <v>0</v>
      </c>
      <c r="Q261" s="250">
        <f>IF(Q$6=$C261,IF(INDEX('Surface DEET'!$Q$9:$W$38,COLUMN(Q254)-COLUMN($E$5),7)&gt;0,INDEX('Surface DEET'!$Q$9:$W$38,COLUMN(Q254)-COLUMN($E$5),7),$E261),0)</f>
        <v>0</v>
      </c>
      <c r="R261" s="250">
        <f>IF(R$6=$C261,IF(INDEX('Surface DEET'!$Q$9:$W$38,COLUMN(R254)-COLUMN($E$5),7)&gt;0,INDEX('Surface DEET'!$Q$9:$W$38,COLUMN(R254)-COLUMN($E$5),7),$E261),0)</f>
        <v>0</v>
      </c>
      <c r="S261" s="250">
        <f>IF(S$6=$C261,IF(INDEX('Surface DEET'!$Q$9:$W$38,COLUMN(S254)-COLUMN($E$5),7)&gt;0,INDEX('Surface DEET'!$Q$9:$W$38,COLUMN(S254)-COLUMN($E$5),7),$E261),0)</f>
        <v>0</v>
      </c>
      <c r="T261" s="250">
        <f>IF(T$6=$C261,IF(INDEX('Surface DEET'!$Q$9:$W$38,COLUMN(T254)-COLUMN($E$5),7)&gt;0,INDEX('Surface DEET'!$Q$9:$W$38,COLUMN(T254)-COLUMN($E$5),7),$E261),0)</f>
        <v>0</v>
      </c>
      <c r="U261" s="250">
        <f>IF(U$6=$C261,IF(INDEX('Surface DEET'!$Q$9:$W$38,COLUMN(U254)-COLUMN($E$5),7)&gt;0,INDEX('Surface DEET'!$Q$9:$W$38,COLUMN(U254)-COLUMN($E$5),7),$E261),0)</f>
        <v>0</v>
      </c>
      <c r="V261" s="250">
        <f>IF(V$6=$C261,IF(INDEX('Surface DEET'!$Q$9:$W$38,COLUMN(V254)-COLUMN($E$5),7)&gt;0,INDEX('Surface DEET'!$Q$9:$W$38,COLUMN(V254)-COLUMN($E$5),7),$E261),0)</f>
        <v>0</v>
      </c>
      <c r="W261" s="250">
        <f>IF(W$6=$C261,IF(INDEX('Surface DEET'!$Q$9:$W$38,COLUMN(W254)-COLUMN($E$5),7)&gt;0,INDEX('Surface DEET'!$Q$9:$W$38,COLUMN(W254)-COLUMN($E$5),7),$E261),0)</f>
        <v>0</v>
      </c>
      <c r="X261" s="250">
        <f>IF(X$6=$C261,IF(INDEX('Surface DEET'!$Q$9:$W$38,COLUMN(X254)-COLUMN($E$5),7)&gt;0,INDEX('Surface DEET'!$Q$9:$W$38,COLUMN(X254)-COLUMN($E$5),7),$E261),0)</f>
        <v>0</v>
      </c>
      <c r="Y261" s="250">
        <f>IF(Y$6=$C261,IF(INDEX('Surface DEET'!$Q$9:$W$38,COLUMN(Y254)-COLUMN($E$5),7)&gt;0,INDEX('Surface DEET'!$Q$9:$W$38,COLUMN(Y254)-COLUMN($E$5),7),$E261),0)</f>
        <v>0</v>
      </c>
      <c r="Z261" s="250">
        <f>IF(Z$6=$C261,IF(INDEX('Surface DEET'!$Q$9:$W$38,COLUMN(Z254)-COLUMN($E$5),7)&gt;0,INDEX('Surface DEET'!$Q$9:$W$38,COLUMN(Z254)-COLUMN($E$5),7),$E261),0)</f>
        <v>0</v>
      </c>
      <c r="AA261" s="250">
        <f>IF(AA$6=$C261,IF(INDEX('Surface DEET'!$Q$9:$W$38,COLUMN(AA254)-COLUMN($E$5),7)&gt;0,INDEX('Surface DEET'!$Q$9:$W$38,COLUMN(AA254)-COLUMN($E$5),7),$E261),0)</f>
        <v>0</v>
      </c>
      <c r="AB261" s="250">
        <f>IF(AB$6=$C261,IF(INDEX('Surface DEET'!$Q$9:$W$38,COLUMN(AB254)-COLUMN($E$5),7)&gt;0,INDEX('Surface DEET'!$Q$9:$W$38,COLUMN(AB254)-COLUMN($E$5),7),$E261),0)</f>
        <v>0</v>
      </c>
      <c r="AC261" s="250">
        <f>IF(AC$6=$C261,IF(INDEX('Surface DEET'!$Q$9:$W$38,COLUMN(AC254)-COLUMN($E$5),7)&gt;0,INDEX('Surface DEET'!$Q$9:$W$38,COLUMN(AC254)-COLUMN($E$5),7),$E261),0)</f>
        <v>0</v>
      </c>
      <c r="AD261" s="250">
        <f>IF(AD$6=$C261,IF(INDEX('Surface DEET'!$Q$9:$W$38,COLUMN(AD254)-COLUMN($E$5),7)&gt;0,INDEX('Surface DEET'!$Q$9:$W$38,COLUMN(AD254)-COLUMN($E$5),7),$E261),0)</f>
        <v>0</v>
      </c>
      <c r="AE261" s="250">
        <f>IF(AE$6=$C261,IF(INDEX('Surface DEET'!$Q$9:$W$38,COLUMN(AE254)-COLUMN($E$5),7)&gt;0,INDEX('Surface DEET'!$Q$9:$W$38,COLUMN(AE254)-COLUMN($E$5),7),$E261),0)</f>
        <v>0</v>
      </c>
      <c r="AF261" s="250">
        <f>IF(AF$6=$C261,IF(INDEX('Surface DEET'!$Q$9:$W$38,COLUMN(AF254)-COLUMN($E$5),7)&gt;0,INDEX('Surface DEET'!$Q$9:$W$38,COLUMN(AF254)-COLUMN($E$5),7),$E261),0)</f>
        <v>0</v>
      </c>
      <c r="AG261" s="250">
        <f>IF(AG$6=$C261,IF(INDEX('Surface DEET'!$Q$9:$W$38,COLUMN(AG254)-COLUMN($E$5),7)&gt;0,INDEX('Surface DEET'!$Q$9:$W$38,COLUMN(AG254)-COLUMN($E$5),7),$E261),0)</f>
        <v>0</v>
      </c>
      <c r="AH261" s="250">
        <f>IF(AH$6=$C261,IF(INDEX('Surface DEET'!$Q$9:$W$38,COLUMN(AH254)-COLUMN($E$5),7)&gt;0,INDEX('Surface DEET'!$Q$9:$W$38,COLUMN(AH254)-COLUMN($E$5),7),$E261),0)</f>
        <v>0</v>
      </c>
      <c r="AI261" s="250">
        <f>IF(AI$6=$C261,IF(INDEX('Surface DEET'!$Q$9:$W$38,COLUMN(AI254)-COLUMN($E$5),7)&gt;0,INDEX('Surface DEET'!$Q$9:$W$38,COLUMN(AI254)-COLUMN($E$5),7),$E261),0)</f>
        <v>0</v>
      </c>
    </row>
    <row r="262" spans="2:35">
      <c r="B262" s="250" t="s">
        <v>533</v>
      </c>
      <c r="C262" s="250" t="s">
        <v>653</v>
      </c>
      <c r="D262" s="250" t="s">
        <v>533</v>
      </c>
      <c r="F262" s="250">
        <f>$E$256*(F259/$E$259)*($E$258*(F260/$E$260)*(F261/$E$261)+(1-$E$258))+0.28*$E$255*(F259-$E$259)/$E$259</f>
        <v>-15.96</v>
      </c>
      <c r="G262" s="250">
        <f t="shared" ref="G262:AI262" si="31">$E$256*(G259/$E$259)*($E$258*(G260/$E$260)*(G261/$E$261)+(1-$E$258))+0.28*$E$255*(G259-$E$259)/$E$259</f>
        <v>-15.96</v>
      </c>
      <c r="H262" s="250">
        <f t="shared" si="31"/>
        <v>-15.96</v>
      </c>
      <c r="I262" s="250">
        <f t="shared" si="31"/>
        <v>-15.96</v>
      </c>
      <c r="J262" s="250">
        <f t="shared" si="31"/>
        <v>-15.96</v>
      </c>
      <c r="K262" s="250">
        <f t="shared" si="31"/>
        <v>-15.96</v>
      </c>
      <c r="L262" s="250">
        <f t="shared" si="31"/>
        <v>-15.96</v>
      </c>
      <c r="M262" s="250">
        <f t="shared" si="31"/>
        <v>-15.96</v>
      </c>
      <c r="N262" s="250">
        <f t="shared" si="31"/>
        <v>-15.96</v>
      </c>
      <c r="O262" s="250">
        <f t="shared" si="31"/>
        <v>-15.96</v>
      </c>
      <c r="P262" s="250">
        <f t="shared" si="31"/>
        <v>-15.96</v>
      </c>
      <c r="Q262" s="250">
        <f t="shared" si="31"/>
        <v>-15.96</v>
      </c>
      <c r="R262" s="250">
        <f t="shared" si="31"/>
        <v>-15.96</v>
      </c>
      <c r="S262" s="250">
        <f t="shared" si="31"/>
        <v>-15.96</v>
      </c>
      <c r="T262" s="250">
        <f t="shared" si="31"/>
        <v>-15.96</v>
      </c>
      <c r="U262" s="250">
        <f t="shared" si="31"/>
        <v>-15.96</v>
      </c>
      <c r="V262" s="250">
        <f t="shared" si="31"/>
        <v>-15.96</v>
      </c>
      <c r="W262" s="250">
        <f t="shared" si="31"/>
        <v>-15.96</v>
      </c>
      <c r="X262" s="250">
        <f t="shared" si="31"/>
        <v>-15.96</v>
      </c>
      <c r="Y262" s="250">
        <f t="shared" si="31"/>
        <v>-15.96</v>
      </c>
      <c r="Z262" s="250">
        <f t="shared" si="31"/>
        <v>-15.96</v>
      </c>
      <c r="AA262" s="250">
        <f t="shared" si="31"/>
        <v>-15.96</v>
      </c>
      <c r="AB262" s="250">
        <f t="shared" si="31"/>
        <v>-15.96</v>
      </c>
      <c r="AC262" s="250">
        <f t="shared" si="31"/>
        <v>-15.96</v>
      </c>
      <c r="AD262" s="250">
        <f t="shared" si="31"/>
        <v>-15.96</v>
      </c>
      <c r="AE262" s="250">
        <f t="shared" si="31"/>
        <v>-15.96</v>
      </c>
      <c r="AF262" s="250">
        <f t="shared" si="31"/>
        <v>-15.96</v>
      </c>
      <c r="AG262" s="250">
        <f t="shared" si="31"/>
        <v>-15.96</v>
      </c>
      <c r="AH262" s="250">
        <f t="shared" si="31"/>
        <v>-15.96</v>
      </c>
      <c r="AI262" s="250">
        <f t="shared" si="31"/>
        <v>-15.96</v>
      </c>
    </row>
    <row r="263" spans="2:35">
      <c r="B263" s="88" t="s">
        <v>294</v>
      </c>
      <c r="C263" s="250" t="s">
        <v>654</v>
      </c>
      <c r="D263" s="88" t="s">
        <v>294</v>
      </c>
      <c r="E263" s="250">
        <f t="array" ref="E263">INDEX(CABS_CVC!$C$3:$O$894,MATCH(1, (CABS_CVC!$A$3:$A$894=Calculs_CABS!C263)*(CABS_CVC!$B$3:$B$894=Calculs_CABS!$D$2),0),MATCH(Calculs_CABS!$D$1,Liste_CABS!$B$3:$B$15,0))</f>
        <v>57</v>
      </c>
    </row>
    <row r="264" spans="2:35">
      <c r="B264" s="250" t="s">
        <v>534</v>
      </c>
      <c r="C264" s="250" t="s">
        <v>654</v>
      </c>
      <c r="D264" s="250" t="s">
        <v>534</v>
      </c>
      <c r="E264" s="250">
        <v>21</v>
      </c>
    </row>
    <row r="265" spans="2:35">
      <c r="B265" s="250" t="s">
        <v>535</v>
      </c>
      <c r="C265" s="250" t="s">
        <v>654</v>
      </c>
      <c r="D265" s="250" t="s">
        <v>535</v>
      </c>
      <c r="E265" s="250">
        <f>E263+E264</f>
        <v>78</v>
      </c>
    </row>
    <row r="266" spans="2:35">
      <c r="B266" s="250" t="s">
        <v>536</v>
      </c>
      <c r="C266" s="250" t="s">
        <v>654</v>
      </c>
      <c r="D266" s="250" t="s">
        <v>536</v>
      </c>
      <c r="E266" s="250">
        <v>0.95</v>
      </c>
    </row>
    <row r="267" spans="2:35">
      <c r="B267" s="250" t="s">
        <v>537</v>
      </c>
      <c r="C267" s="250" t="s">
        <v>654</v>
      </c>
      <c r="D267" s="296" t="s">
        <v>583</v>
      </c>
      <c r="E267" s="250">
        <v>3120</v>
      </c>
      <c r="F267" s="250">
        <f>IF(F$6=$C267,IF(INDEX('Surface DEET'!$Q$9:$W$38,COLUMN(F260)-COLUMN($E$5),1)&gt;0,INDEX('Surface DEET'!$Q$9:$W$38,COLUMN(F260)-COLUMN($E$5),1),$E267),0)</f>
        <v>0</v>
      </c>
      <c r="G267" s="250">
        <f>IF(G$6=$C267,IF(INDEX('Surface DEET'!$Q$9:$W$38,COLUMN(G260)-COLUMN($E$5),1)&gt;0,INDEX('Surface DEET'!$Q$9:$W$38,COLUMN(G260)-COLUMN($E$5),1),$E267),0)</f>
        <v>0</v>
      </c>
      <c r="H267" s="250">
        <f>IF(H$6=$C267,IF(INDEX('Surface DEET'!$Q$9:$W$38,COLUMN(H260)-COLUMN($E$5),1)&gt;0,INDEX('Surface DEET'!$Q$9:$W$38,COLUMN(H260)-COLUMN($E$5),1),$E267),0)</f>
        <v>0</v>
      </c>
      <c r="I267" s="250">
        <f>IF(I$6=$C267,IF(INDEX('Surface DEET'!$Q$9:$W$38,COLUMN(I260)-COLUMN($E$5),1)&gt;0,INDEX('Surface DEET'!$Q$9:$W$38,COLUMN(I260)-COLUMN($E$5),1),$E267),0)</f>
        <v>0</v>
      </c>
      <c r="J267" s="250">
        <f>IF(J$6=$C267,IF(INDEX('Surface DEET'!$Q$9:$W$38,COLUMN(J260)-COLUMN($E$5),1)&gt;0,INDEX('Surface DEET'!$Q$9:$W$38,COLUMN(J260)-COLUMN($E$5),1),$E267),0)</f>
        <v>0</v>
      </c>
      <c r="K267" s="250">
        <f>IF(K$6=$C267,IF(INDEX('Surface DEET'!$Q$9:$W$38,COLUMN(K260)-COLUMN($E$5),1)&gt;0,INDEX('Surface DEET'!$Q$9:$W$38,COLUMN(K260)-COLUMN($E$5),1),$E267),0)</f>
        <v>0</v>
      </c>
      <c r="L267" s="250">
        <f>IF(L$6=$C267,IF(INDEX('Surface DEET'!$Q$9:$W$38,COLUMN(L260)-COLUMN($E$5),1)&gt;0,INDEX('Surface DEET'!$Q$9:$W$38,COLUMN(L260)-COLUMN($E$5),1),$E267),0)</f>
        <v>0</v>
      </c>
      <c r="M267" s="250">
        <f>IF(M$6=$C267,IF(INDEX('Surface DEET'!$Q$9:$W$38,COLUMN(M260)-COLUMN($E$5),1)&gt;0,INDEX('Surface DEET'!$Q$9:$W$38,COLUMN(M260)-COLUMN($E$5),1),$E267),0)</f>
        <v>0</v>
      </c>
      <c r="N267" s="250">
        <f>IF(N$6=$C267,IF(INDEX('Surface DEET'!$Q$9:$W$38,COLUMN(N260)-COLUMN($E$5),1)&gt;0,INDEX('Surface DEET'!$Q$9:$W$38,COLUMN(N260)-COLUMN($E$5),1),$E267),0)</f>
        <v>0</v>
      </c>
      <c r="O267" s="250">
        <f>IF(O$6=$C267,IF(INDEX('Surface DEET'!$Q$9:$W$38,COLUMN(O260)-COLUMN($E$5),1)&gt;0,INDEX('Surface DEET'!$Q$9:$W$38,COLUMN(O260)-COLUMN($E$5),1),$E267),0)</f>
        <v>0</v>
      </c>
      <c r="P267" s="250">
        <f>IF(P$6=$C267,IF(INDEX('Surface DEET'!$Q$9:$W$38,COLUMN(P260)-COLUMN($E$5),1)&gt;0,INDEX('Surface DEET'!$Q$9:$W$38,COLUMN(P260)-COLUMN($E$5),1),$E267),0)</f>
        <v>0</v>
      </c>
      <c r="Q267" s="250">
        <f>IF(Q$6=$C267,IF(INDEX('Surface DEET'!$Q$9:$W$38,COLUMN(Q260)-COLUMN($E$5),1)&gt;0,INDEX('Surface DEET'!$Q$9:$W$38,COLUMN(Q260)-COLUMN($E$5),1),$E267),0)</f>
        <v>0</v>
      </c>
      <c r="R267" s="250">
        <f>IF(R$6=$C267,IF(INDEX('Surface DEET'!$Q$9:$W$38,COLUMN(R260)-COLUMN($E$5),1)&gt;0,INDEX('Surface DEET'!$Q$9:$W$38,COLUMN(R260)-COLUMN($E$5),1),$E267),0)</f>
        <v>0</v>
      </c>
      <c r="S267" s="250">
        <f>IF(S$6=$C267,IF(INDEX('Surface DEET'!$Q$9:$W$38,COLUMN(S260)-COLUMN($E$5),1)&gt;0,INDEX('Surface DEET'!$Q$9:$W$38,COLUMN(S260)-COLUMN($E$5),1),$E267),0)</f>
        <v>0</v>
      </c>
      <c r="T267" s="250">
        <f>IF(T$6=$C267,IF(INDEX('Surface DEET'!$Q$9:$W$38,COLUMN(T260)-COLUMN($E$5),1)&gt;0,INDEX('Surface DEET'!$Q$9:$W$38,COLUMN(T260)-COLUMN($E$5),1),$E267),0)</f>
        <v>0</v>
      </c>
      <c r="U267" s="250">
        <f>IF(U$6=$C267,IF(INDEX('Surface DEET'!$Q$9:$W$38,COLUMN(U260)-COLUMN($E$5),1)&gt;0,INDEX('Surface DEET'!$Q$9:$W$38,COLUMN(U260)-COLUMN($E$5),1),$E267),0)</f>
        <v>0</v>
      </c>
      <c r="V267" s="250">
        <f>IF(V$6=$C267,IF(INDEX('Surface DEET'!$Q$9:$W$38,COLUMN(V260)-COLUMN($E$5),1)&gt;0,INDEX('Surface DEET'!$Q$9:$W$38,COLUMN(V260)-COLUMN($E$5),1),$E267),0)</f>
        <v>0</v>
      </c>
      <c r="W267" s="250">
        <f>IF(W$6=$C267,IF(INDEX('Surface DEET'!$Q$9:$W$38,COLUMN(W260)-COLUMN($E$5),1)&gt;0,INDEX('Surface DEET'!$Q$9:$W$38,COLUMN(W260)-COLUMN($E$5),1),$E267),0)</f>
        <v>0</v>
      </c>
      <c r="X267" s="250">
        <f>IF(X$6=$C267,IF(INDEX('Surface DEET'!$Q$9:$W$38,COLUMN(X260)-COLUMN($E$5),1)&gt;0,INDEX('Surface DEET'!$Q$9:$W$38,COLUMN(X260)-COLUMN($E$5),1),$E267),0)</f>
        <v>0</v>
      </c>
      <c r="Y267" s="250">
        <f>IF(Y$6=$C267,IF(INDEX('Surface DEET'!$Q$9:$W$38,COLUMN(Y260)-COLUMN($E$5),1)&gt;0,INDEX('Surface DEET'!$Q$9:$W$38,COLUMN(Y260)-COLUMN($E$5),1),$E267),0)</f>
        <v>0</v>
      </c>
      <c r="Z267" s="250">
        <f>IF(Z$6=$C267,IF(INDEX('Surface DEET'!$Q$9:$W$38,COLUMN(Z260)-COLUMN($E$5),1)&gt;0,INDEX('Surface DEET'!$Q$9:$W$38,COLUMN(Z260)-COLUMN($E$5),1),$E267),0)</f>
        <v>0</v>
      </c>
      <c r="AA267" s="250">
        <f>IF(AA$6=$C267,IF(INDEX('Surface DEET'!$Q$9:$W$38,COLUMN(AA260)-COLUMN($E$5),1)&gt;0,INDEX('Surface DEET'!$Q$9:$W$38,COLUMN(AA260)-COLUMN($E$5),1),$E267),0)</f>
        <v>0</v>
      </c>
      <c r="AB267" s="250">
        <f>IF(AB$6=$C267,IF(INDEX('Surface DEET'!$Q$9:$W$38,COLUMN(AB260)-COLUMN($E$5),1)&gt;0,INDEX('Surface DEET'!$Q$9:$W$38,COLUMN(AB260)-COLUMN($E$5),1),$E267),0)</f>
        <v>0</v>
      </c>
      <c r="AC267" s="250">
        <f>IF(AC$6=$C267,IF(INDEX('Surface DEET'!$Q$9:$W$38,COLUMN(AC260)-COLUMN($E$5),1)&gt;0,INDEX('Surface DEET'!$Q$9:$W$38,COLUMN(AC260)-COLUMN($E$5),1),$E267),0)</f>
        <v>0</v>
      </c>
      <c r="AD267" s="250">
        <f>IF(AD$6=$C267,IF(INDEX('Surface DEET'!$Q$9:$W$38,COLUMN(AD260)-COLUMN($E$5),1)&gt;0,INDEX('Surface DEET'!$Q$9:$W$38,COLUMN(AD260)-COLUMN($E$5),1),$E267),0)</f>
        <v>0</v>
      </c>
      <c r="AE267" s="250">
        <f>IF(AE$6=$C267,IF(INDEX('Surface DEET'!$Q$9:$W$38,COLUMN(AE260)-COLUMN($E$5),1)&gt;0,INDEX('Surface DEET'!$Q$9:$W$38,COLUMN(AE260)-COLUMN($E$5),1),$E267),0)</f>
        <v>0</v>
      </c>
      <c r="AF267" s="250">
        <f>IF(AF$6=$C267,IF(INDEX('Surface DEET'!$Q$9:$W$38,COLUMN(AF260)-COLUMN($E$5),1)&gt;0,INDEX('Surface DEET'!$Q$9:$W$38,COLUMN(AF260)-COLUMN($E$5),1),$E267),0)</f>
        <v>0</v>
      </c>
      <c r="AG267" s="250">
        <f>IF(AG$6=$C267,IF(INDEX('Surface DEET'!$Q$9:$W$38,COLUMN(AG260)-COLUMN($E$5),1)&gt;0,INDEX('Surface DEET'!$Q$9:$W$38,COLUMN(AG260)-COLUMN($E$5),1),$E267),0)</f>
        <v>0</v>
      </c>
      <c r="AH267" s="250">
        <f>IF(AH$6=$C267,IF(INDEX('Surface DEET'!$Q$9:$W$38,COLUMN(AH260)-COLUMN($E$5),1)&gt;0,INDEX('Surface DEET'!$Q$9:$W$38,COLUMN(AH260)-COLUMN($E$5),1),$E267),0)</f>
        <v>0</v>
      </c>
      <c r="AI267" s="250">
        <f>IF(AI$6=$C267,IF(INDEX('Surface DEET'!$Q$9:$W$38,COLUMN(AI260)-COLUMN($E$5),1)&gt;0,INDEX('Surface DEET'!$Q$9:$W$38,COLUMN(AI260)-COLUMN($E$5),1),$E267),0)</f>
        <v>0</v>
      </c>
    </row>
    <row r="268" spans="2:35">
      <c r="B268" s="250" t="s">
        <v>540</v>
      </c>
      <c r="C268" s="250" t="s">
        <v>654</v>
      </c>
      <c r="D268" s="296" t="s">
        <v>655</v>
      </c>
      <c r="E268" s="250">
        <v>25</v>
      </c>
      <c r="F268" s="250">
        <f>IF(F$6=$C268,IF(INDEX('Surface DEET'!$Q$9:$W$38,COLUMN(F261)-COLUMN($E$5),4)&gt;0,INDEX('Surface DEET'!$Q$9:$W$38,COLUMN(F261)-COLUMN($E$5),4),$E268),0)</f>
        <v>0</v>
      </c>
      <c r="G268" s="250">
        <f>IF(G$6=$C268,IF(INDEX('Surface DEET'!$Q$9:$W$38,COLUMN(G261)-COLUMN($E$5),4)&gt;0,INDEX('Surface DEET'!$Q$9:$W$38,COLUMN(G261)-COLUMN($E$5),4),$E268),0)</f>
        <v>0</v>
      </c>
      <c r="H268" s="250">
        <f>IF(H$6=$C268,IF(INDEX('Surface DEET'!$Q$9:$W$38,COLUMN(H261)-COLUMN($E$5),4)&gt;0,INDEX('Surface DEET'!$Q$9:$W$38,COLUMN(H261)-COLUMN($E$5),4),$E268),0)</f>
        <v>0</v>
      </c>
      <c r="I268" s="250">
        <f>IF(I$6=$C268,IF(INDEX('Surface DEET'!$Q$9:$W$38,COLUMN(I261)-COLUMN($E$5),4)&gt;0,INDEX('Surface DEET'!$Q$9:$W$38,COLUMN(I261)-COLUMN($E$5),4),$E268),0)</f>
        <v>0</v>
      </c>
      <c r="J268" s="250">
        <f>IF(J$6=$C268,IF(INDEX('Surface DEET'!$Q$9:$W$38,COLUMN(J261)-COLUMN($E$5),4)&gt;0,INDEX('Surface DEET'!$Q$9:$W$38,COLUMN(J261)-COLUMN($E$5),4),$E268),0)</f>
        <v>0</v>
      </c>
      <c r="K268" s="250">
        <f>IF(K$6=$C268,IF(INDEX('Surface DEET'!$Q$9:$W$38,COLUMN(K261)-COLUMN($E$5),4)&gt;0,INDEX('Surface DEET'!$Q$9:$W$38,COLUMN(K261)-COLUMN($E$5),4),$E268),0)</f>
        <v>0</v>
      </c>
      <c r="L268" s="250">
        <f>IF(L$6=$C268,IF(INDEX('Surface DEET'!$Q$9:$W$38,COLUMN(L261)-COLUMN($E$5),4)&gt;0,INDEX('Surface DEET'!$Q$9:$W$38,COLUMN(L261)-COLUMN($E$5),4),$E268),0)</f>
        <v>0</v>
      </c>
      <c r="M268" s="250">
        <f>IF(M$6=$C268,IF(INDEX('Surface DEET'!$Q$9:$W$38,COLUMN(M261)-COLUMN($E$5),4)&gt;0,INDEX('Surface DEET'!$Q$9:$W$38,COLUMN(M261)-COLUMN($E$5),4),$E268),0)</f>
        <v>0</v>
      </c>
      <c r="N268" s="250">
        <f>IF(N$6=$C268,IF(INDEX('Surface DEET'!$Q$9:$W$38,COLUMN(N261)-COLUMN($E$5),4)&gt;0,INDEX('Surface DEET'!$Q$9:$W$38,COLUMN(N261)-COLUMN($E$5),4),$E268),0)</f>
        <v>0</v>
      </c>
      <c r="O268" s="250">
        <f>IF(O$6=$C268,IF(INDEX('Surface DEET'!$Q$9:$W$38,COLUMN(O261)-COLUMN($E$5),4)&gt;0,INDEX('Surface DEET'!$Q$9:$W$38,COLUMN(O261)-COLUMN($E$5),4),$E268),0)</f>
        <v>0</v>
      </c>
      <c r="P268" s="250">
        <f>IF(P$6=$C268,IF(INDEX('Surface DEET'!$Q$9:$W$38,COLUMN(P261)-COLUMN($E$5),4)&gt;0,INDEX('Surface DEET'!$Q$9:$W$38,COLUMN(P261)-COLUMN($E$5),4),$E268),0)</f>
        <v>0</v>
      </c>
      <c r="Q268" s="250">
        <f>IF(Q$6=$C268,IF(INDEX('Surface DEET'!$Q$9:$W$38,COLUMN(Q261)-COLUMN($E$5),4)&gt;0,INDEX('Surface DEET'!$Q$9:$W$38,COLUMN(Q261)-COLUMN($E$5),4),$E268),0)</f>
        <v>0</v>
      </c>
      <c r="R268" s="250">
        <f>IF(R$6=$C268,IF(INDEX('Surface DEET'!$Q$9:$W$38,COLUMN(R261)-COLUMN($E$5),4)&gt;0,INDEX('Surface DEET'!$Q$9:$W$38,COLUMN(R261)-COLUMN($E$5),4),$E268),0)</f>
        <v>0</v>
      </c>
      <c r="S268" s="250">
        <f>IF(S$6=$C268,IF(INDEX('Surface DEET'!$Q$9:$W$38,COLUMN(S261)-COLUMN($E$5),4)&gt;0,INDEX('Surface DEET'!$Q$9:$W$38,COLUMN(S261)-COLUMN($E$5),4),$E268),0)</f>
        <v>0</v>
      </c>
      <c r="T268" s="250">
        <f>IF(T$6=$C268,IF(INDEX('Surface DEET'!$Q$9:$W$38,COLUMN(T261)-COLUMN($E$5),4)&gt;0,INDEX('Surface DEET'!$Q$9:$W$38,COLUMN(T261)-COLUMN($E$5),4),$E268),0)</f>
        <v>0</v>
      </c>
      <c r="U268" s="250">
        <f>IF(U$6=$C268,IF(INDEX('Surface DEET'!$Q$9:$W$38,COLUMN(U261)-COLUMN($E$5),4)&gt;0,INDEX('Surface DEET'!$Q$9:$W$38,COLUMN(U261)-COLUMN($E$5),4),$E268),0)</f>
        <v>0</v>
      </c>
      <c r="V268" s="250">
        <f>IF(V$6=$C268,IF(INDEX('Surface DEET'!$Q$9:$W$38,COLUMN(V261)-COLUMN($E$5),4)&gt;0,INDEX('Surface DEET'!$Q$9:$W$38,COLUMN(V261)-COLUMN($E$5),4),$E268),0)</f>
        <v>0</v>
      </c>
      <c r="W268" s="250">
        <f>IF(W$6=$C268,IF(INDEX('Surface DEET'!$Q$9:$W$38,COLUMN(W261)-COLUMN($E$5),4)&gt;0,INDEX('Surface DEET'!$Q$9:$W$38,COLUMN(W261)-COLUMN($E$5),4),$E268),0)</f>
        <v>0</v>
      </c>
      <c r="X268" s="250">
        <f>IF(X$6=$C268,IF(INDEX('Surface DEET'!$Q$9:$W$38,COLUMN(X261)-COLUMN($E$5),4)&gt;0,INDEX('Surface DEET'!$Q$9:$W$38,COLUMN(X261)-COLUMN($E$5),4),$E268),0)</f>
        <v>0</v>
      </c>
      <c r="Y268" s="250">
        <f>IF(Y$6=$C268,IF(INDEX('Surface DEET'!$Q$9:$W$38,COLUMN(Y261)-COLUMN($E$5),4)&gt;0,INDEX('Surface DEET'!$Q$9:$W$38,COLUMN(Y261)-COLUMN($E$5),4),$E268),0)</f>
        <v>0</v>
      </c>
      <c r="Z268" s="250">
        <f>IF(Z$6=$C268,IF(INDEX('Surface DEET'!$Q$9:$W$38,COLUMN(Z261)-COLUMN($E$5),4)&gt;0,INDEX('Surface DEET'!$Q$9:$W$38,COLUMN(Z261)-COLUMN($E$5),4),$E268),0)</f>
        <v>0</v>
      </c>
      <c r="AA268" s="250">
        <f>IF(AA$6=$C268,IF(INDEX('Surface DEET'!$Q$9:$W$38,COLUMN(AA261)-COLUMN($E$5),4)&gt;0,INDEX('Surface DEET'!$Q$9:$W$38,COLUMN(AA261)-COLUMN($E$5),4),$E268),0)</f>
        <v>0</v>
      </c>
      <c r="AB268" s="250">
        <f>IF(AB$6=$C268,IF(INDEX('Surface DEET'!$Q$9:$W$38,COLUMN(AB261)-COLUMN($E$5),4)&gt;0,INDEX('Surface DEET'!$Q$9:$W$38,COLUMN(AB261)-COLUMN($E$5),4),$E268),0)</f>
        <v>0</v>
      </c>
      <c r="AC268" s="250">
        <f>IF(AC$6=$C268,IF(INDEX('Surface DEET'!$Q$9:$W$38,COLUMN(AC261)-COLUMN($E$5),4)&gt;0,INDEX('Surface DEET'!$Q$9:$W$38,COLUMN(AC261)-COLUMN($E$5),4),$E268),0)</f>
        <v>0</v>
      </c>
      <c r="AD268" s="250">
        <f>IF(AD$6=$C268,IF(INDEX('Surface DEET'!$Q$9:$W$38,COLUMN(AD261)-COLUMN($E$5),4)&gt;0,INDEX('Surface DEET'!$Q$9:$W$38,COLUMN(AD261)-COLUMN($E$5),4),$E268),0)</f>
        <v>0</v>
      </c>
      <c r="AE268" s="250">
        <f>IF(AE$6=$C268,IF(INDEX('Surface DEET'!$Q$9:$W$38,COLUMN(AE261)-COLUMN($E$5),4)&gt;0,INDEX('Surface DEET'!$Q$9:$W$38,COLUMN(AE261)-COLUMN($E$5),4),$E268),0)</f>
        <v>0</v>
      </c>
      <c r="AF268" s="250">
        <f>IF(AF$6=$C268,IF(INDEX('Surface DEET'!$Q$9:$W$38,COLUMN(AF261)-COLUMN($E$5),4)&gt;0,INDEX('Surface DEET'!$Q$9:$W$38,COLUMN(AF261)-COLUMN($E$5),4),$E268),0)</f>
        <v>0</v>
      </c>
      <c r="AG268" s="250">
        <f>IF(AG$6=$C268,IF(INDEX('Surface DEET'!$Q$9:$W$38,COLUMN(AG261)-COLUMN($E$5),4)&gt;0,INDEX('Surface DEET'!$Q$9:$W$38,COLUMN(AG261)-COLUMN($E$5),4),$E268),0)</f>
        <v>0</v>
      </c>
      <c r="AH268" s="250">
        <f>IF(AH$6=$C268,IF(INDEX('Surface DEET'!$Q$9:$W$38,COLUMN(AH261)-COLUMN($E$5),4)&gt;0,INDEX('Surface DEET'!$Q$9:$W$38,COLUMN(AH261)-COLUMN($E$5),4),$E268),0)</f>
        <v>0</v>
      </c>
      <c r="AI268" s="250">
        <f>IF(AI$6=$C268,IF(INDEX('Surface DEET'!$Q$9:$W$38,COLUMN(AI261)-COLUMN($E$5),4)&gt;0,INDEX('Surface DEET'!$Q$9:$W$38,COLUMN(AI261)-COLUMN($E$5),4),$E268),0)</f>
        <v>0</v>
      </c>
    </row>
    <row r="269" spans="2:35">
      <c r="B269" s="250" t="s">
        <v>543</v>
      </c>
      <c r="C269" s="250" t="s">
        <v>654</v>
      </c>
      <c r="D269" s="296" t="s">
        <v>585</v>
      </c>
      <c r="E269" s="250">
        <v>70</v>
      </c>
      <c r="F269" s="250">
        <f>IF(F$6=$C269,IF(INDEX('Surface DEET'!$Q$9:$W$38,COLUMN(F262)-COLUMN($E$5),7)&gt;0,INDEX('Surface DEET'!$Q$9:$W$38,COLUMN(F262)-COLUMN($E$5),7),$E269),0)</f>
        <v>0</v>
      </c>
      <c r="G269" s="250">
        <f>IF(G$6=$C269,IF(INDEX('Surface DEET'!$Q$9:$W$38,COLUMN(G262)-COLUMN($E$5),7)&gt;0,INDEX('Surface DEET'!$Q$9:$W$38,COLUMN(G262)-COLUMN($E$5),7),$E269),0)</f>
        <v>0</v>
      </c>
      <c r="H269" s="250">
        <f>IF(H$6=$C269,IF(INDEX('Surface DEET'!$Q$9:$W$38,COLUMN(H262)-COLUMN($E$5),7)&gt;0,INDEX('Surface DEET'!$Q$9:$W$38,COLUMN(H262)-COLUMN($E$5),7),$E269),0)</f>
        <v>0</v>
      </c>
      <c r="I269" s="250">
        <f>IF(I$6=$C269,IF(INDEX('Surface DEET'!$Q$9:$W$38,COLUMN(I262)-COLUMN($E$5),7)&gt;0,INDEX('Surface DEET'!$Q$9:$W$38,COLUMN(I262)-COLUMN($E$5),7),$E269),0)</f>
        <v>0</v>
      </c>
      <c r="J269" s="250">
        <f>IF(J$6=$C269,IF(INDEX('Surface DEET'!$Q$9:$W$38,COLUMN(J262)-COLUMN($E$5),7)&gt;0,INDEX('Surface DEET'!$Q$9:$W$38,COLUMN(J262)-COLUMN($E$5),7),$E269),0)</f>
        <v>0</v>
      </c>
      <c r="K269" s="250">
        <f>IF(K$6=$C269,IF(INDEX('Surface DEET'!$Q$9:$W$38,COLUMN(K262)-COLUMN($E$5),7)&gt;0,INDEX('Surface DEET'!$Q$9:$W$38,COLUMN(K262)-COLUMN($E$5),7),$E269),0)</f>
        <v>0</v>
      </c>
      <c r="L269" s="250">
        <f>IF(L$6=$C269,IF(INDEX('Surface DEET'!$Q$9:$W$38,COLUMN(L262)-COLUMN($E$5),7)&gt;0,INDEX('Surface DEET'!$Q$9:$W$38,COLUMN(L262)-COLUMN($E$5),7),$E269),0)</f>
        <v>0</v>
      </c>
      <c r="M269" s="250">
        <f>IF(M$6=$C269,IF(INDEX('Surface DEET'!$Q$9:$W$38,COLUMN(M262)-COLUMN($E$5),7)&gt;0,INDEX('Surface DEET'!$Q$9:$W$38,COLUMN(M262)-COLUMN($E$5),7),$E269),0)</f>
        <v>0</v>
      </c>
      <c r="N269" s="250">
        <f>IF(N$6=$C269,IF(INDEX('Surface DEET'!$Q$9:$W$38,COLUMN(N262)-COLUMN($E$5),7)&gt;0,INDEX('Surface DEET'!$Q$9:$W$38,COLUMN(N262)-COLUMN($E$5),7),$E269),0)</f>
        <v>0</v>
      </c>
      <c r="O269" s="250">
        <f>IF(O$6=$C269,IF(INDEX('Surface DEET'!$Q$9:$W$38,COLUMN(O262)-COLUMN($E$5),7)&gt;0,INDEX('Surface DEET'!$Q$9:$W$38,COLUMN(O262)-COLUMN($E$5),7),$E269),0)</f>
        <v>0</v>
      </c>
      <c r="P269" s="250">
        <f>IF(P$6=$C269,IF(INDEX('Surface DEET'!$Q$9:$W$38,COLUMN(P262)-COLUMN($E$5),7)&gt;0,INDEX('Surface DEET'!$Q$9:$W$38,COLUMN(P262)-COLUMN($E$5),7),$E269),0)</f>
        <v>0</v>
      </c>
      <c r="Q269" s="250">
        <f>IF(Q$6=$C269,IF(INDEX('Surface DEET'!$Q$9:$W$38,COLUMN(Q262)-COLUMN($E$5),7)&gt;0,INDEX('Surface DEET'!$Q$9:$W$38,COLUMN(Q262)-COLUMN($E$5),7),$E269),0)</f>
        <v>0</v>
      </c>
      <c r="R269" s="250">
        <f>IF(R$6=$C269,IF(INDEX('Surface DEET'!$Q$9:$W$38,COLUMN(R262)-COLUMN($E$5),7)&gt;0,INDEX('Surface DEET'!$Q$9:$W$38,COLUMN(R262)-COLUMN($E$5),7),$E269),0)</f>
        <v>0</v>
      </c>
      <c r="S269" s="250">
        <f>IF(S$6=$C269,IF(INDEX('Surface DEET'!$Q$9:$W$38,COLUMN(S262)-COLUMN($E$5),7)&gt;0,INDEX('Surface DEET'!$Q$9:$W$38,COLUMN(S262)-COLUMN($E$5),7),$E269),0)</f>
        <v>0</v>
      </c>
      <c r="T269" s="250">
        <f>IF(T$6=$C269,IF(INDEX('Surface DEET'!$Q$9:$W$38,COLUMN(T262)-COLUMN($E$5),7)&gt;0,INDEX('Surface DEET'!$Q$9:$W$38,COLUMN(T262)-COLUMN($E$5),7),$E269),0)</f>
        <v>0</v>
      </c>
      <c r="U269" s="250">
        <f>IF(U$6=$C269,IF(INDEX('Surface DEET'!$Q$9:$W$38,COLUMN(U262)-COLUMN($E$5),7)&gt;0,INDEX('Surface DEET'!$Q$9:$W$38,COLUMN(U262)-COLUMN($E$5),7),$E269),0)</f>
        <v>0</v>
      </c>
      <c r="V269" s="250">
        <f>IF(V$6=$C269,IF(INDEX('Surface DEET'!$Q$9:$W$38,COLUMN(V262)-COLUMN($E$5),7)&gt;0,INDEX('Surface DEET'!$Q$9:$W$38,COLUMN(V262)-COLUMN($E$5),7),$E269),0)</f>
        <v>0</v>
      </c>
      <c r="W269" s="250">
        <f>IF(W$6=$C269,IF(INDEX('Surface DEET'!$Q$9:$W$38,COLUMN(W262)-COLUMN($E$5),7)&gt;0,INDEX('Surface DEET'!$Q$9:$W$38,COLUMN(W262)-COLUMN($E$5),7),$E269),0)</f>
        <v>0</v>
      </c>
      <c r="X269" s="250">
        <f>IF(X$6=$C269,IF(INDEX('Surface DEET'!$Q$9:$W$38,COLUMN(X262)-COLUMN($E$5),7)&gt;0,INDEX('Surface DEET'!$Q$9:$W$38,COLUMN(X262)-COLUMN($E$5),7),$E269),0)</f>
        <v>0</v>
      </c>
      <c r="Y269" s="250">
        <f>IF(Y$6=$C269,IF(INDEX('Surface DEET'!$Q$9:$W$38,COLUMN(Y262)-COLUMN($E$5),7)&gt;0,INDEX('Surface DEET'!$Q$9:$W$38,COLUMN(Y262)-COLUMN($E$5),7),$E269),0)</f>
        <v>0</v>
      </c>
      <c r="Z269" s="250">
        <f>IF(Z$6=$C269,IF(INDEX('Surface DEET'!$Q$9:$W$38,COLUMN(Z262)-COLUMN($E$5),7)&gt;0,INDEX('Surface DEET'!$Q$9:$W$38,COLUMN(Z262)-COLUMN($E$5),7),$E269),0)</f>
        <v>0</v>
      </c>
      <c r="AA269" s="250">
        <f>IF(AA$6=$C269,IF(INDEX('Surface DEET'!$Q$9:$W$38,COLUMN(AA262)-COLUMN($E$5),7)&gt;0,INDEX('Surface DEET'!$Q$9:$W$38,COLUMN(AA262)-COLUMN($E$5),7),$E269),0)</f>
        <v>0</v>
      </c>
      <c r="AB269" s="250">
        <f>IF(AB$6=$C269,IF(INDEX('Surface DEET'!$Q$9:$W$38,COLUMN(AB262)-COLUMN($E$5),7)&gt;0,INDEX('Surface DEET'!$Q$9:$W$38,COLUMN(AB262)-COLUMN($E$5),7),$E269),0)</f>
        <v>0</v>
      </c>
      <c r="AC269" s="250">
        <f>IF(AC$6=$C269,IF(INDEX('Surface DEET'!$Q$9:$W$38,COLUMN(AC262)-COLUMN($E$5),7)&gt;0,INDEX('Surface DEET'!$Q$9:$W$38,COLUMN(AC262)-COLUMN($E$5),7),$E269),0)</f>
        <v>0</v>
      </c>
      <c r="AD269" s="250">
        <f>IF(AD$6=$C269,IF(INDEX('Surface DEET'!$Q$9:$W$38,COLUMN(AD262)-COLUMN($E$5),7)&gt;0,INDEX('Surface DEET'!$Q$9:$W$38,COLUMN(AD262)-COLUMN($E$5),7),$E269),0)</f>
        <v>0</v>
      </c>
      <c r="AE269" s="250">
        <f>IF(AE$6=$C269,IF(INDEX('Surface DEET'!$Q$9:$W$38,COLUMN(AE262)-COLUMN($E$5),7)&gt;0,INDEX('Surface DEET'!$Q$9:$W$38,COLUMN(AE262)-COLUMN($E$5),7),$E269),0)</f>
        <v>0</v>
      </c>
      <c r="AF269" s="250">
        <f>IF(AF$6=$C269,IF(INDEX('Surface DEET'!$Q$9:$W$38,COLUMN(AF262)-COLUMN($E$5),7)&gt;0,INDEX('Surface DEET'!$Q$9:$W$38,COLUMN(AF262)-COLUMN($E$5),7),$E269),0)</f>
        <v>0</v>
      </c>
      <c r="AG269" s="250">
        <f>IF(AG$6=$C269,IF(INDEX('Surface DEET'!$Q$9:$W$38,COLUMN(AG262)-COLUMN($E$5),7)&gt;0,INDEX('Surface DEET'!$Q$9:$W$38,COLUMN(AG262)-COLUMN($E$5),7),$E269),0)</f>
        <v>0</v>
      </c>
      <c r="AH269" s="250">
        <f>IF(AH$6=$C269,IF(INDEX('Surface DEET'!$Q$9:$W$38,COLUMN(AH262)-COLUMN($E$5),7)&gt;0,INDEX('Surface DEET'!$Q$9:$W$38,COLUMN(AH262)-COLUMN($E$5),7),$E269),0)</f>
        <v>0</v>
      </c>
      <c r="AI269" s="250">
        <f>IF(AI$6=$C269,IF(INDEX('Surface DEET'!$Q$9:$W$38,COLUMN(AI262)-COLUMN($E$5),7)&gt;0,INDEX('Surface DEET'!$Q$9:$W$38,COLUMN(AI262)-COLUMN($E$5),7),$E269),0)</f>
        <v>0</v>
      </c>
    </row>
    <row r="270" spans="2:35">
      <c r="B270" s="250" t="s">
        <v>533</v>
      </c>
      <c r="C270" s="250" t="s">
        <v>654</v>
      </c>
      <c r="D270" s="250" t="s">
        <v>533</v>
      </c>
      <c r="F270" s="250">
        <f>$E$264*(F267/$E$267)*($E$266*(F268/$E$268)*(F269/$E$269)+(1-$E$266))+0.28*$E$263*(F267-$E$267)/$E$267</f>
        <v>-15.96</v>
      </c>
      <c r="G270" s="250">
        <f t="shared" ref="G270:AI270" si="32">$E$264*(G267/$E$267)*($E$266*(G268/$E$268)*(G269/$E$269)+(1-$E$266))+0.28*$E$263*(G267-$E$267)/$E$267</f>
        <v>-15.96</v>
      </c>
      <c r="H270" s="250">
        <f t="shared" si="32"/>
        <v>-15.96</v>
      </c>
      <c r="I270" s="250">
        <f t="shared" si="32"/>
        <v>-15.96</v>
      </c>
      <c r="J270" s="250">
        <f t="shared" si="32"/>
        <v>-15.96</v>
      </c>
      <c r="K270" s="250">
        <f t="shared" si="32"/>
        <v>-15.96</v>
      </c>
      <c r="L270" s="250">
        <f t="shared" si="32"/>
        <v>-15.96</v>
      </c>
      <c r="M270" s="250">
        <f t="shared" si="32"/>
        <v>-15.96</v>
      </c>
      <c r="N270" s="250">
        <f t="shared" si="32"/>
        <v>-15.96</v>
      </c>
      <c r="O270" s="250">
        <f t="shared" si="32"/>
        <v>-15.96</v>
      </c>
      <c r="P270" s="250">
        <f t="shared" si="32"/>
        <v>-15.96</v>
      </c>
      <c r="Q270" s="250">
        <f t="shared" si="32"/>
        <v>-15.96</v>
      </c>
      <c r="R270" s="250">
        <f t="shared" si="32"/>
        <v>-15.96</v>
      </c>
      <c r="S270" s="250">
        <f t="shared" si="32"/>
        <v>-15.96</v>
      </c>
      <c r="T270" s="250">
        <f t="shared" si="32"/>
        <v>-15.96</v>
      </c>
      <c r="U270" s="250">
        <f t="shared" si="32"/>
        <v>-15.96</v>
      </c>
      <c r="V270" s="250">
        <f t="shared" si="32"/>
        <v>-15.96</v>
      </c>
      <c r="W270" s="250">
        <f t="shared" si="32"/>
        <v>-15.96</v>
      </c>
      <c r="X270" s="250">
        <f t="shared" si="32"/>
        <v>-15.96</v>
      </c>
      <c r="Y270" s="250">
        <f t="shared" si="32"/>
        <v>-15.96</v>
      </c>
      <c r="Z270" s="250">
        <f t="shared" si="32"/>
        <v>-15.96</v>
      </c>
      <c r="AA270" s="250">
        <f t="shared" si="32"/>
        <v>-15.96</v>
      </c>
      <c r="AB270" s="250">
        <f t="shared" si="32"/>
        <v>-15.96</v>
      </c>
      <c r="AC270" s="250">
        <f t="shared" si="32"/>
        <v>-15.96</v>
      </c>
      <c r="AD270" s="250">
        <f t="shared" si="32"/>
        <v>-15.96</v>
      </c>
      <c r="AE270" s="250">
        <f t="shared" si="32"/>
        <v>-15.96</v>
      </c>
      <c r="AF270" s="250">
        <f t="shared" si="32"/>
        <v>-15.96</v>
      </c>
      <c r="AG270" s="250">
        <f t="shared" si="32"/>
        <v>-15.96</v>
      </c>
      <c r="AH270" s="250">
        <f t="shared" si="32"/>
        <v>-15.96</v>
      </c>
      <c r="AI270" s="250">
        <f t="shared" si="32"/>
        <v>-15.96</v>
      </c>
    </row>
    <row r="271" spans="2:35">
      <c r="B271" s="88" t="s">
        <v>294</v>
      </c>
      <c r="C271" s="250" t="s">
        <v>656</v>
      </c>
      <c r="D271" s="88" t="s">
        <v>294</v>
      </c>
      <c r="E271" s="250">
        <f t="array" ref="E271">INDEX(CABS_CVC!$C$3:$O$894,MATCH(1, (CABS_CVC!$A$3:$A$894=Calculs_CABS!C271)*(CABS_CVC!$B$3:$B$894=Calculs_CABS!$D$2),0),MATCH(Calculs_CABS!$D$1,Liste_CABS!$B$3:$B$15,0))</f>
        <v>57</v>
      </c>
    </row>
    <row r="272" spans="2:35">
      <c r="B272" s="250" t="s">
        <v>534</v>
      </c>
      <c r="C272" s="250" t="s">
        <v>656</v>
      </c>
      <c r="D272" s="250" t="s">
        <v>534</v>
      </c>
      <c r="E272" s="250">
        <v>5</v>
      </c>
    </row>
    <row r="273" spans="2:35">
      <c r="B273" s="250" t="s">
        <v>535</v>
      </c>
      <c r="C273" s="250" t="s">
        <v>656</v>
      </c>
      <c r="D273" s="250" t="s">
        <v>535</v>
      </c>
      <c r="E273" s="250">
        <f>E271+E272</f>
        <v>62</v>
      </c>
    </row>
    <row r="274" spans="2:35">
      <c r="B274" s="250" t="s">
        <v>536</v>
      </c>
      <c r="C274" s="250" t="s">
        <v>656</v>
      </c>
      <c r="D274" s="250" t="s">
        <v>536</v>
      </c>
      <c r="E274" s="250">
        <v>0.95</v>
      </c>
    </row>
    <row r="275" spans="2:35">
      <c r="B275" s="250" t="s">
        <v>537</v>
      </c>
      <c r="C275" s="250" t="s">
        <v>656</v>
      </c>
      <c r="D275" s="296" t="s">
        <v>583</v>
      </c>
      <c r="E275" s="250">
        <v>3120</v>
      </c>
      <c r="F275" s="250">
        <f>IF(F$6=$C275,IF(INDEX('Surface DEET'!$Q$9:$W$38,COLUMN(F268)-COLUMN($E$5),1)&gt;0,INDEX('Surface DEET'!$Q$9:$W$38,COLUMN(F268)-COLUMN($E$5),1),$E275),0)</f>
        <v>0</v>
      </c>
      <c r="G275" s="250">
        <f>IF(G$6=$C275,IF(INDEX('Surface DEET'!$Q$9:$W$38,COLUMN(G268)-COLUMN($E$5),1)&gt;0,INDEX('Surface DEET'!$Q$9:$W$38,COLUMN(G268)-COLUMN($E$5),1),$E275),0)</f>
        <v>0</v>
      </c>
      <c r="H275" s="250">
        <f>IF(H$6=$C275,IF(INDEX('Surface DEET'!$Q$9:$W$38,COLUMN(H268)-COLUMN($E$5),1)&gt;0,INDEX('Surface DEET'!$Q$9:$W$38,COLUMN(H268)-COLUMN($E$5),1),$E275),0)</f>
        <v>0</v>
      </c>
      <c r="I275" s="250">
        <f>IF(I$6=$C275,IF(INDEX('Surface DEET'!$Q$9:$W$38,COLUMN(I268)-COLUMN($E$5),1)&gt;0,INDEX('Surface DEET'!$Q$9:$W$38,COLUMN(I268)-COLUMN($E$5),1),$E275),0)</f>
        <v>0</v>
      </c>
      <c r="J275" s="250">
        <f>IF(J$6=$C275,IF(INDEX('Surface DEET'!$Q$9:$W$38,COLUMN(J268)-COLUMN($E$5),1)&gt;0,INDEX('Surface DEET'!$Q$9:$W$38,COLUMN(J268)-COLUMN($E$5),1),$E275),0)</f>
        <v>0</v>
      </c>
      <c r="K275" s="250">
        <f>IF(K$6=$C275,IF(INDEX('Surface DEET'!$Q$9:$W$38,COLUMN(K268)-COLUMN($E$5),1)&gt;0,INDEX('Surface DEET'!$Q$9:$W$38,COLUMN(K268)-COLUMN($E$5),1),$E275),0)</f>
        <v>0</v>
      </c>
      <c r="L275" s="250">
        <f>IF(L$6=$C275,IF(INDEX('Surface DEET'!$Q$9:$W$38,COLUMN(L268)-COLUMN($E$5),1)&gt;0,INDEX('Surface DEET'!$Q$9:$W$38,COLUMN(L268)-COLUMN($E$5),1),$E275),0)</f>
        <v>0</v>
      </c>
      <c r="M275" s="250">
        <f>IF(M$6=$C275,IF(INDEX('Surface DEET'!$Q$9:$W$38,COLUMN(M268)-COLUMN($E$5),1)&gt;0,INDEX('Surface DEET'!$Q$9:$W$38,COLUMN(M268)-COLUMN($E$5),1),$E275),0)</f>
        <v>0</v>
      </c>
      <c r="N275" s="250">
        <f>IF(N$6=$C275,IF(INDEX('Surface DEET'!$Q$9:$W$38,COLUMN(N268)-COLUMN($E$5),1)&gt;0,INDEX('Surface DEET'!$Q$9:$W$38,COLUMN(N268)-COLUMN($E$5),1),$E275),0)</f>
        <v>0</v>
      </c>
      <c r="O275" s="250">
        <f>IF(O$6=$C275,IF(INDEX('Surface DEET'!$Q$9:$W$38,COLUMN(O268)-COLUMN($E$5),1)&gt;0,INDEX('Surface DEET'!$Q$9:$W$38,COLUMN(O268)-COLUMN($E$5),1),$E275),0)</f>
        <v>0</v>
      </c>
      <c r="P275" s="250">
        <f>IF(P$6=$C275,IF(INDEX('Surface DEET'!$Q$9:$W$38,COLUMN(P268)-COLUMN($E$5),1)&gt;0,INDEX('Surface DEET'!$Q$9:$W$38,COLUMN(P268)-COLUMN($E$5),1),$E275),0)</f>
        <v>0</v>
      </c>
      <c r="Q275" s="250">
        <f>IF(Q$6=$C275,IF(INDEX('Surface DEET'!$Q$9:$W$38,COLUMN(Q268)-COLUMN($E$5),1)&gt;0,INDEX('Surface DEET'!$Q$9:$W$38,COLUMN(Q268)-COLUMN($E$5),1),$E275),0)</f>
        <v>0</v>
      </c>
      <c r="R275" s="250">
        <f>IF(R$6=$C275,IF(INDEX('Surface DEET'!$Q$9:$W$38,COLUMN(R268)-COLUMN($E$5),1)&gt;0,INDEX('Surface DEET'!$Q$9:$W$38,COLUMN(R268)-COLUMN($E$5),1),$E275),0)</f>
        <v>0</v>
      </c>
      <c r="S275" s="250">
        <f>IF(S$6=$C275,IF(INDEX('Surface DEET'!$Q$9:$W$38,COLUMN(S268)-COLUMN($E$5),1)&gt;0,INDEX('Surface DEET'!$Q$9:$W$38,COLUMN(S268)-COLUMN($E$5),1),$E275),0)</f>
        <v>0</v>
      </c>
      <c r="T275" s="250">
        <f>IF(T$6=$C275,IF(INDEX('Surface DEET'!$Q$9:$W$38,COLUMN(T268)-COLUMN($E$5),1)&gt;0,INDEX('Surface DEET'!$Q$9:$W$38,COLUMN(T268)-COLUMN($E$5),1),$E275),0)</f>
        <v>0</v>
      </c>
      <c r="U275" s="250">
        <f>IF(U$6=$C275,IF(INDEX('Surface DEET'!$Q$9:$W$38,COLUMN(U268)-COLUMN($E$5),1)&gt;0,INDEX('Surface DEET'!$Q$9:$W$38,COLUMN(U268)-COLUMN($E$5),1),$E275),0)</f>
        <v>0</v>
      </c>
      <c r="V275" s="250">
        <f>IF(V$6=$C275,IF(INDEX('Surface DEET'!$Q$9:$W$38,COLUMN(V268)-COLUMN($E$5),1)&gt;0,INDEX('Surface DEET'!$Q$9:$W$38,COLUMN(V268)-COLUMN($E$5),1),$E275),0)</f>
        <v>0</v>
      </c>
      <c r="W275" s="250">
        <f>IF(W$6=$C275,IF(INDEX('Surface DEET'!$Q$9:$W$38,COLUMN(W268)-COLUMN($E$5),1)&gt;0,INDEX('Surface DEET'!$Q$9:$W$38,COLUMN(W268)-COLUMN($E$5),1),$E275),0)</f>
        <v>0</v>
      </c>
      <c r="X275" s="250">
        <f>IF(X$6=$C275,IF(INDEX('Surface DEET'!$Q$9:$W$38,COLUMN(X268)-COLUMN($E$5),1)&gt;0,INDEX('Surface DEET'!$Q$9:$W$38,COLUMN(X268)-COLUMN($E$5),1),$E275),0)</f>
        <v>0</v>
      </c>
      <c r="Y275" s="250">
        <f>IF(Y$6=$C275,IF(INDEX('Surface DEET'!$Q$9:$W$38,COLUMN(Y268)-COLUMN($E$5),1)&gt;0,INDEX('Surface DEET'!$Q$9:$W$38,COLUMN(Y268)-COLUMN($E$5),1),$E275),0)</f>
        <v>0</v>
      </c>
      <c r="Z275" s="250">
        <f>IF(Z$6=$C275,IF(INDEX('Surface DEET'!$Q$9:$W$38,COLUMN(Z268)-COLUMN($E$5),1)&gt;0,INDEX('Surface DEET'!$Q$9:$W$38,COLUMN(Z268)-COLUMN($E$5),1),$E275),0)</f>
        <v>0</v>
      </c>
      <c r="AA275" s="250">
        <f>IF(AA$6=$C275,IF(INDEX('Surface DEET'!$Q$9:$W$38,COLUMN(AA268)-COLUMN($E$5),1)&gt;0,INDEX('Surface DEET'!$Q$9:$W$38,COLUMN(AA268)-COLUMN($E$5),1),$E275),0)</f>
        <v>0</v>
      </c>
      <c r="AB275" s="250">
        <f>IF(AB$6=$C275,IF(INDEX('Surface DEET'!$Q$9:$W$38,COLUMN(AB268)-COLUMN($E$5),1)&gt;0,INDEX('Surface DEET'!$Q$9:$W$38,COLUMN(AB268)-COLUMN($E$5),1),$E275),0)</f>
        <v>0</v>
      </c>
      <c r="AC275" s="250">
        <f>IF(AC$6=$C275,IF(INDEX('Surface DEET'!$Q$9:$W$38,COLUMN(AC268)-COLUMN($E$5),1)&gt;0,INDEX('Surface DEET'!$Q$9:$W$38,COLUMN(AC268)-COLUMN($E$5),1),$E275),0)</f>
        <v>0</v>
      </c>
      <c r="AD275" s="250">
        <f>IF(AD$6=$C275,IF(INDEX('Surface DEET'!$Q$9:$W$38,COLUMN(AD268)-COLUMN($E$5),1)&gt;0,INDEX('Surface DEET'!$Q$9:$W$38,COLUMN(AD268)-COLUMN($E$5),1),$E275),0)</f>
        <v>0</v>
      </c>
      <c r="AE275" s="250">
        <f>IF(AE$6=$C275,IF(INDEX('Surface DEET'!$Q$9:$W$38,COLUMN(AE268)-COLUMN($E$5),1)&gt;0,INDEX('Surface DEET'!$Q$9:$W$38,COLUMN(AE268)-COLUMN($E$5),1),$E275),0)</f>
        <v>0</v>
      </c>
      <c r="AF275" s="250">
        <f>IF(AF$6=$C275,IF(INDEX('Surface DEET'!$Q$9:$W$38,COLUMN(AF268)-COLUMN($E$5),1)&gt;0,INDEX('Surface DEET'!$Q$9:$W$38,COLUMN(AF268)-COLUMN($E$5),1),$E275),0)</f>
        <v>0</v>
      </c>
      <c r="AG275" s="250">
        <f>IF(AG$6=$C275,IF(INDEX('Surface DEET'!$Q$9:$W$38,COLUMN(AG268)-COLUMN($E$5),1)&gt;0,INDEX('Surface DEET'!$Q$9:$W$38,COLUMN(AG268)-COLUMN($E$5),1),$E275),0)</f>
        <v>0</v>
      </c>
      <c r="AH275" s="250">
        <f>IF(AH$6=$C275,IF(INDEX('Surface DEET'!$Q$9:$W$38,COLUMN(AH268)-COLUMN($E$5),1)&gt;0,INDEX('Surface DEET'!$Q$9:$W$38,COLUMN(AH268)-COLUMN($E$5),1),$E275),0)</f>
        <v>0</v>
      </c>
      <c r="AI275" s="250">
        <f>IF(AI$6=$C275,IF(INDEX('Surface DEET'!$Q$9:$W$38,COLUMN(AI268)-COLUMN($E$5),1)&gt;0,INDEX('Surface DEET'!$Q$9:$W$38,COLUMN(AI268)-COLUMN($E$5),1),$E275),0)</f>
        <v>0</v>
      </c>
    </row>
    <row r="276" spans="2:35">
      <c r="B276" s="250" t="s">
        <v>540</v>
      </c>
      <c r="C276" s="250" t="s">
        <v>656</v>
      </c>
      <c r="D276" s="296" t="s">
        <v>657</v>
      </c>
      <c r="E276" s="250">
        <v>5</v>
      </c>
      <c r="F276" s="250">
        <f>IF(F$6=$C276,IF(INDEX('Surface DEET'!$Q$9:$W$38,COLUMN(F269)-COLUMN($E$5),4)&gt;0,INDEX('Surface DEET'!$Q$9:$W$38,COLUMN(F269)-COLUMN($E$5),4),$E276),0)</f>
        <v>0</v>
      </c>
      <c r="G276" s="250">
        <f>IF(G$6=$C276,IF(INDEX('Surface DEET'!$Q$9:$W$38,COLUMN(G269)-COLUMN($E$5),4)&gt;0,INDEX('Surface DEET'!$Q$9:$W$38,COLUMN(G269)-COLUMN($E$5),4),$E276),0)</f>
        <v>0</v>
      </c>
      <c r="H276" s="250">
        <f>IF(H$6=$C276,IF(INDEX('Surface DEET'!$Q$9:$W$38,COLUMN(H269)-COLUMN($E$5),4)&gt;0,INDEX('Surface DEET'!$Q$9:$W$38,COLUMN(H269)-COLUMN($E$5),4),$E276),0)</f>
        <v>0</v>
      </c>
      <c r="I276" s="250">
        <f>IF(I$6=$C276,IF(INDEX('Surface DEET'!$Q$9:$W$38,COLUMN(I269)-COLUMN($E$5),4)&gt;0,INDEX('Surface DEET'!$Q$9:$W$38,COLUMN(I269)-COLUMN($E$5),4),$E276),0)</f>
        <v>0</v>
      </c>
      <c r="J276" s="250">
        <f>IF(J$6=$C276,IF(INDEX('Surface DEET'!$Q$9:$W$38,COLUMN(J269)-COLUMN($E$5),4)&gt;0,INDEX('Surface DEET'!$Q$9:$W$38,COLUMN(J269)-COLUMN($E$5),4),$E276),0)</f>
        <v>0</v>
      </c>
      <c r="K276" s="250">
        <f>IF(K$6=$C276,IF(INDEX('Surface DEET'!$Q$9:$W$38,COLUMN(K269)-COLUMN($E$5),4)&gt;0,INDEX('Surface DEET'!$Q$9:$W$38,COLUMN(K269)-COLUMN($E$5),4),$E276),0)</f>
        <v>0</v>
      </c>
      <c r="L276" s="250">
        <f>IF(L$6=$C276,IF(INDEX('Surface DEET'!$Q$9:$W$38,COLUMN(L269)-COLUMN($E$5),4)&gt;0,INDEX('Surface DEET'!$Q$9:$W$38,COLUMN(L269)-COLUMN($E$5),4),$E276),0)</f>
        <v>0</v>
      </c>
      <c r="M276" s="250">
        <f>IF(M$6=$C276,IF(INDEX('Surface DEET'!$Q$9:$W$38,COLUMN(M269)-COLUMN($E$5),4)&gt;0,INDEX('Surface DEET'!$Q$9:$W$38,COLUMN(M269)-COLUMN($E$5),4),$E276),0)</f>
        <v>0</v>
      </c>
      <c r="N276" s="250">
        <f>IF(N$6=$C276,IF(INDEX('Surface DEET'!$Q$9:$W$38,COLUMN(N269)-COLUMN($E$5),4)&gt;0,INDEX('Surface DEET'!$Q$9:$W$38,COLUMN(N269)-COLUMN($E$5),4),$E276),0)</f>
        <v>0</v>
      </c>
      <c r="O276" s="250">
        <f>IF(O$6=$C276,IF(INDEX('Surface DEET'!$Q$9:$W$38,COLUMN(O269)-COLUMN($E$5),4)&gt;0,INDEX('Surface DEET'!$Q$9:$W$38,COLUMN(O269)-COLUMN($E$5),4),$E276),0)</f>
        <v>0</v>
      </c>
      <c r="P276" s="250">
        <f>IF(P$6=$C276,IF(INDEX('Surface DEET'!$Q$9:$W$38,COLUMN(P269)-COLUMN($E$5),4)&gt;0,INDEX('Surface DEET'!$Q$9:$W$38,COLUMN(P269)-COLUMN($E$5),4),$E276),0)</f>
        <v>0</v>
      </c>
      <c r="Q276" s="250">
        <f>IF(Q$6=$C276,IF(INDEX('Surface DEET'!$Q$9:$W$38,COLUMN(Q269)-COLUMN($E$5),4)&gt;0,INDEX('Surface DEET'!$Q$9:$W$38,COLUMN(Q269)-COLUMN($E$5),4),$E276),0)</f>
        <v>0</v>
      </c>
      <c r="R276" s="250">
        <f>IF(R$6=$C276,IF(INDEX('Surface DEET'!$Q$9:$W$38,COLUMN(R269)-COLUMN($E$5),4)&gt;0,INDEX('Surface DEET'!$Q$9:$W$38,COLUMN(R269)-COLUMN($E$5),4),$E276),0)</f>
        <v>0</v>
      </c>
      <c r="S276" s="250">
        <f>IF(S$6=$C276,IF(INDEX('Surface DEET'!$Q$9:$W$38,COLUMN(S269)-COLUMN($E$5),4)&gt;0,INDEX('Surface DEET'!$Q$9:$W$38,COLUMN(S269)-COLUMN($E$5),4),$E276),0)</f>
        <v>0</v>
      </c>
      <c r="T276" s="250">
        <f>IF(T$6=$C276,IF(INDEX('Surface DEET'!$Q$9:$W$38,COLUMN(T269)-COLUMN($E$5),4)&gt;0,INDEX('Surface DEET'!$Q$9:$W$38,COLUMN(T269)-COLUMN($E$5),4),$E276),0)</f>
        <v>0</v>
      </c>
      <c r="U276" s="250">
        <f>IF(U$6=$C276,IF(INDEX('Surface DEET'!$Q$9:$W$38,COLUMN(U269)-COLUMN($E$5),4)&gt;0,INDEX('Surface DEET'!$Q$9:$W$38,COLUMN(U269)-COLUMN($E$5),4),$E276),0)</f>
        <v>0</v>
      </c>
      <c r="V276" s="250">
        <f>IF(V$6=$C276,IF(INDEX('Surface DEET'!$Q$9:$W$38,COLUMN(V269)-COLUMN($E$5),4)&gt;0,INDEX('Surface DEET'!$Q$9:$W$38,COLUMN(V269)-COLUMN($E$5),4),$E276),0)</f>
        <v>0</v>
      </c>
      <c r="W276" s="250">
        <f>IF(W$6=$C276,IF(INDEX('Surface DEET'!$Q$9:$W$38,COLUMN(W269)-COLUMN($E$5),4)&gt;0,INDEX('Surface DEET'!$Q$9:$W$38,COLUMN(W269)-COLUMN($E$5),4),$E276),0)</f>
        <v>0</v>
      </c>
      <c r="X276" s="250">
        <f>IF(X$6=$C276,IF(INDEX('Surface DEET'!$Q$9:$W$38,COLUMN(X269)-COLUMN($E$5),4)&gt;0,INDEX('Surface DEET'!$Q$9:$W$38,COLUMN(X269)-COLUMN($E$5),4),$E276),0)</f>
        <v>0</v>
      </c>
      <c r="Y276" s="250">
        <f>IF(Y$6=$C276,IF(INDEX('Surface DEET'!$Q$9:$W$38,COLUMN(Y269)-COLUMN($E$5),4)&gt;0,INDEX('Surface DEET'!$Q$9:$W$38,COLUMN(Y269)-COLUMN($E$5),4),$E276),0)</f>
        <v>0</v>
      </c>
      <c r="Z276" s="250">
        <f>IF(Z$6=$C276,IF(INDEX('Surface DEET'!$Q$9:$W$38,COLUMN(Z269)-COLUMN($E$5),4)&gt;0,INDEX('Surface DEET'!$Q$9:$W$38,COLUMN(Z269)-COLUMN($E$5),4),$E276),0)</f>
        <v>0</v>
      </c>
      <c r="AA276" s="250">
        <f>IF(AA$6=$C276,IF(INDEX('Surface DEET'!$Q$9:$W$38,COLUMN(AA269)-COLUMN($E$5),4)&gt;0,INDEX('Surface DEET'!$Q$9:$W$38,COLUMN(AA269)-COLUMN($E$5),4),$E276),0)</f>
        <v>0</v>
      </c>
      <c r="AB276" s="250">
        <f>IF(AB$6=$C276,IF(INDEX('Surface DEET'!$Q$9:$W$38,COLUMN(AB269)-COLUMN($E$5),4)&gt;0,INDEX('Surface DEET'!$Q$9:$W$38,COLUMN(AB269)-COLUMN($E$5),4),$E276),0)</f>
        <v>0</v>
      </c>
      <c r="AC276" s="250">
        <f>IF(AC$6=$C276,IF(INDEX('Surface DEET'!$Q$9:$W$38,COLUMN(AC269)-COLUMN($E$5),4)&gt;0,INDEX('Surface DEET'!$Q$9:$W$38,COLUMN(AC269)-COLUMN($E$5),4),$E276),0)</f>
        <v>0</v>
      </c>
      <c r="AD276" s="250">
        <f>IF(AD$6=$C276,IF(INDEX('Surface DEET'!$Q$9:$W$38,COLUMN(AD269)-COLUMN($E$5),4)&gt;0,INDEX('Surface DEET'!$Q$9:$W$38,COLUMN(AD269)-COLUMN($E$5),4),$E276),0)</f>
        <v>0</v>
      </c>
      <c r="AE276" s="250">
        <f>IF(AE$6=$C276,IF(INDEX('Surface DEET'!$Q$9:$W$38,COLUMN(AE269)-COLUMN($E$5),4)&gt;0,INDEX('Surface DEET'!$Q$9:$W$38,COLUMN(AE269)-COLUMN($E$5),4),$E276),0)</f>
        <v>0</v>
      </c>
      <c r="AF276" s="250">
        <f>IF(AF$6=$C276,IF(INDEX('Surface DEET'!$Q$9:$W$38,COLUMN(AF269)-COLUMN($E$5),4)&gt;0,INDEX('Surface DEET'!$Q$9:$W$38,COLUMN(AF269)-COLUMN($E$5),4),$E276),0)</f>
        <v>0</v>
      </c>
      <c r="AG276" s="250">
        <f>IF(AG$6=$C276,IF(INDEX('Surface DEET'!$Q$9:$W$38,COLUMN(AG269)-COLUMN($E$5),4)&gt;0,INDEX('Surface DEET'!$Q$9:$W$38,COLUMN(AG269)-COLUMN($E$5),4),$E276),0)</f>
        <v>0</v>
      </c>
      <c r="AH276" s="250">
        <f>IF(AH$6=$C276,IF(INDEX('Surface DEET'!$Q$9:$W$38,COLUMN(AH269)-COLUMN($E$5),4)&gt;0,INDEX('Surface DEET'!$Q$9:$W$38,COLUMN(AH269)-COLUMN($E$5),4),$E276),0)</f>
        <v>0</v>
      </c>
      <c r="AI276" s="250">
        <f>IF(AI$6=$C276,IF(INDEX('Surface DEET'!$Q$9:$W$38,COLUMN(AI269)-COLUMN($E$5),4)&gt;0,INDEX('Surface DEET'!$Q$9:$W$38,COLUMN(AI269)-COLUMN($E$5),4),$E276),0)</f>
        <v>0</v>
      </c>
    </row>
    <row r="277" spans="2:35">
      <c r="B277" s="250" t="s">
        <v>543</v>
      </c>
      <c r="C277" s="250" t="s">
        <v>656</v>
      </c>
      <c r="D277" s="296" t="s">
        <v>585</v>
      </c>
      <c r="E277" s="250">
        <v>70</v>
      </c>
      <c r="F277" s="250">
        <f>IF(F$6=$C277,IF(INDEX('Surface DEET'!$Q$9:$W$38,COLUMN(F270)-COLUMN($E$5),7)&gt;0,INDEX('Surface DEET'!$Q$9:$W$38,COLUMN(F270)-COLUMN($E$5),7),$E277),0)</f>
        <v>0</v>
      </c>
      <c r="G277" s="250">
        <f>IF(G$6=$C277,IF(INDEX('Surface DEET'!$Q$9:$W$38,COLUMN(G270)-COLUMN($E$5),7)&gt;0,INDEX('Surface DEET'!$Q$9:$W$38,COLUMN(G270)-COLUMN($E$5),7),$E277),0)</f>
        <v>0</v>
      </c>
      <c r="H277" s="250">
        <f>IF(H$6=$C277,IF(INDEX('Surface DEET'!$Q$9:$W$38,COLUMN(H270)-COLUMN($E$5),7)&gt;0,INDEX('Surface DEET'!$Q$9:$W$38,COLUMN(H270)-COLUMN($E$5),7),$E277),0)</f>
        <v>0</v>
      </c>
      <c r="I277" s="250">
        <f>IF(I$6=$C277,IF(INDEX('Surface DEET'!$Q$9:$W$38,COLUMN(I270)-COLUMN($E$5),7)&gt;0,INDEX('Surface DEET'!$Q$9:$W$38,COLUMN(I270)-COLUMN($E$5),7),$E277),0)</f>
        <v>0</v>
      </c>
      <c r="J277" s="250">
        <f>IF(J$6=$C277,IF(INDEX('Surface DEET'!$Q$9:$W$38,COLUMN(J270)-COLUMN($E$5),7)&gt;0,INDEX('Surface DEET'!$Q$9:$W$38,COLUMN(J270)-COLUMN($E$5),7),$E277),0)</f>
        <v>0</v>
      </c>
      <c r="K277" s="250">
        <f>IF(K$6=$C277,IF(INDEX('Surface DEET'!$Q$9:$W$38,COLUMN(K270)-COLUMN($E$5),7)&gt;0,INDEX('Surface DEET'!$Q$9:$W$38,COLUMN(K270)-COLUMN($E$5),7),$E277),0)</f>
        <v>0</v>
      </c>
      <c r="L277" s="250">
        <f>IF(L$6=$C277,IF(INDEX('Surface DEET'!$Q$9:$W$38,COLUMN(L270)-COLUMN($E$5),7)&gt;0,INDEX('Surface DEET'!$Q$9:$W$38,COLUMN(L270)-COLUMN($E$5),7),$E277),0)</f>
        <v>0</v>
      </c>
      <c r="M277" s="250">
        <f>IF(M$6=$C277,IF(INDEX('Surface DEET'!$Q$9:$W$38,COLUMN(M270)-COLUMN($E$5),7)&gt;0,INDEX('Surface DEET'!$Q$9:$W$38,COLUMN(M270)-COLUMN($E$5),7),$E277),0)</f>
        <v>0</v>
      </c>
      <c r="N277" s="250">
        <f>IF(N$6=$C277,IF(INDEX('Surface DEET'!$Q$9:$W$38,COLUMN(N270)-COLUMN($E$5),7)&gt;0,INDEX('Surface DEET'!$Q$9:$W$38,COLUMN(N270)-COLUMN($E$5),7),$E277),0)</f>
        <v>0</v>
      </c>
      <c r="O277" s="250">
        <f>IF(O$6=$C277,IF(INDEX('Surface DEET'!$Q$9:$W$38,COLUMN(O270)-COLUMN($E$5),7)&gt;0,INDEX('Surface DEET'!$Q$9:$W$38,COLUMN(O270)-COLUMN($E$5),7),$E277),0)</f>
        <v>0</v>
      </c>
      <c r="P277" s="250">
        <f>IF(P$6=$C277,IF(INDEX('Surface DEET'!$Q$9:$W$38,COLUMN(P270)-COLUMN($E$5),7)&gt;0,INDEX('Surface DEET'!$Q$9:$W$38,COLUMN(P270)-COLUMN($E$5),7),$E277),0)</f>
        <v>0</v>
      </c>
      <c r="Q277" s="250">
        <f>IF(Q$6=$C277,IF(INDEX('Surface DEET'!$Q$9:$W$38,COLUMN(Q270)-COLUMN($E$5),7)&gt;0,INDEX('Surface DEET'!$Q$9:$W$38,COLUMN(Q270)-COLUMN($E$5),7),$E277),0)</f>
        <v>0</v>
      </c>
      <c r="R277" s="250">
        <f>IF(R$6=$C277,IF(INDEX('Surface DEET'!$Q$9:$W$38,COLUMN(R270)-COLUMN($E$5),7)&gt;0,INDEX('Surface DEET'!$Q$9:$W$38,COLUMN(R270)-COLUMN($E$5),7),$E277),0)</f>
        <v>0</v>
      </c>
      <c r="S277" s="250">
        <f>IF(S$6=$C277,IF(INDEX('Surface DEET'!$Q$9:$W$38,COLUMN(S270)-COLUMN($E$5),7)&gt;0,INDEX('Surface DEET'!$Q$9:$W$38,COLUMN(S270)-COLUMN($E$5),7),$E277),0)</f>
        <v>0</v>
      </c>
      <c r="T277" s="250">
        <f>IF(T$6=$C277,IF(INDEX('Surface DEET'!$Q$9:$W$38,COLUMN(T270)-COLUMN($E$5),7)&gt;0,INDEX('Surface DEET'!$Q$9:$W$38,COLUMN(T270)-COLUMN($E$5),7),$E277),0)</f>
        <v>0</v>
      </c>
      <c r="U277" s="250">
        <f>IF(U$6=$C277,IF(INDEX('Surface DEET'!$Q$9:$W$38,COLUMN(U270)-COLUMN($E$5),7)&gt;0,INDEX('Surface DEET'!$Q$9:$W$38,COLUMN(U270)-COLUMN($E$5),7),$E277),0)</f>
        <v>0</v>
      </c>
      <c r="V277" s="250">
        <f>IF(V$6=$C277,IF(INDEX('Surface DEET'!$Q$9:$W$38,COLUMN(V270)-COLUMN($E$5),7)&gt;0,INDEX('Surface DEET'!$Q$9:$W$38,COLUMN(V270)-COLUMN($E$5),7),$E277),0)</f>
        <v>0</v>
      </c>
      <c r="W277" s="250">
        <f>IF(W$6=$C277,IF(INDEX('Surface DEET'!$Q$9:$W$38,COLUMN(W270)-COLUMN($E$5),7)&gt;0,INDEX('Surface DEET'!$Q$9:$W$38,COLUMN(W270)-COLUMN($E$5),7),$E277),0)</f>
        <v>0</v>
      </c>
      <c r="X277" s="250">
        <f>IF(X$6=$C277,IF(INDEX('Surface DEET'!$Q$9:$W$38,COLUMN(X270)-COLUMN($E$5),7)&gt;0,INDEX('Surface DEET'!$Q$9:$W$38,COLUMN(X270)-COLUMN($E$5),7),$E277),0)</f>
        <v>0</v>
      </c>
      <c r="Y277" s="250">
        <f>IF(Y$6=$C277,IF(INDEX('Surface DEET'!$Q$9:$W$38,COLUMN(Y270)-COLUMN($E$5),7)&gt;0,INDEX('Surface DEET'!$Q$9:$W$38,COLUMN(Y270)-COLUMN($E$5),7),$E277),0)</f>
        <v>0</v>
      </c>
      <c r="Z277" s="250">
        <f>IF(Z$6=$C277,IF(INDEX('Surface DEET'!$Q$9:$W$38,COLUMN(Z270)-COLUMN($E$5),7)&gt;0,INDEX('Surface DEET'!$Q$9:$W$38,COLUMN(Z270)-COLUMN($E$5),7),$E277),0)</f>
        <v>0</v>
      </c>
      <c r="AA277" s="250">
        <f>IF(AA$6=$C277,IF(INDEX('Surface DEET'!$Q$9:$W$38,COLUMN(AA270)-COLUMN($E$5),7)&gt;0,INDEX('Surface DEET'!$Q$9:$W$38,COLUMN(AA270)-COLUMN($E$5),7),$E277),0)</f>
        <v>0</v>
      </c>
      <c r="AB277" s="250">
        <f>IF(AB$6=$C277,IF(INDEX('Surface DEET'!$Q$9:$W$38,COLUMN(AB270)-COLUMN($E$5),7)&gt;0,INDEX('Surface DEET'!$Q$9:$W$38,COLUMN(AB270)-COLUMN($E$5),7),$E277),0)</f>
        <v>0</v>
      </c>
      <c r="AC277" s="250">
        <f>IF(AC$6=$C277,IF(INDEX('Surface DEET'!$Q$9:$W$38,COLUMN(AC270)-COLUMN($E$5),7)&gt;0,INDEX('Surface DEET'!$Q$9:$W$38,COLUMN(AC270)-COLUMN($E$5),7),$E277),0)</f>
        <v>0</v>
      </c>
      <c r="AD277" s="250">
        <f>IF(AD$6=$C277,IF(INDEX('Surface DEET'!$Q$9:$W$38,COLUMN(AD270)-COLUMN($E$5),7)&gt;0,INDEX('Surface DEET'!$Q$9:$W$38,COLUMN(AD270)-COLUMN($E$5),7),$E277),0)</f>
        <v>0</v>
      </c>
      <c r="AE277" s="250">
        <f>IF(AE$6=$C277,IF(INDEX('Surface DEET'!$Q$9:$W$38,COLUMN(AE270)-COLUMN($E$5),7)&gt;0,INDEX('Surface DEET'!$Q$9:$W$38,COLUMN(AE270)-COLUMN($E$5),7),$E277),0)</f>
        <v>0</v>
      </c>
      <c r="AF277" s="250">
        <f>IF(AF$6=$C277,IF(INDEX('Surface DEET'!$Q$9:$W$38,COLUMN(AF270)-COLUMN($E$5),7)&gt;0,INDEX('Surface DEET'!$Q$9:$W$38,COLUMN(AF270)-COLUMN($E$5),7),$E277),0)</f>
        <v>0</v>
      </c>
      <c r="AG277" s="250">
        <f>IF(AG$6=$C277,IF(INDEX('Surface DEET'!$Q$9:$W$38,COLUMN(AG270)-COLUMN($E$5),7)&gt;0,INDEX('Surface DEET'!$Q$9:$W$38,COLUMN(AG270)-COLUMN($E$5),7),$E277),0)</f>
        <v>0</v>
      </c>
      <c r="AH277" s="250">
        <f>IF(AH$6=$C277,IF(INDEX('Surface DEET'!$Q$9:$W$38,COLUMN(AH270)-COLUMN($E$5),7)&gt;0,INDEX('Surface DEET'!$Q$9:$W$38,COLUMN(AH270)-COLUMN($E$5),7),$E277),0)</f>
        <v>0</v>
      </c>
      <c r="AI277" s="250">
        <f>IF(AI$6=$C277,IF(INDEX('Surface DEET'!$Q$9:$W$38,COLUMN(AI270)-COLUMN($E$5),7)&gt;0,INDEX('Surface DEET'!$Q$9:$W$38,COLUMN(AI270)-COLUMN($E$5),7),$E277),0)</f>
        <v>0</v>
      </c>
    </row>
    <row r="278" spans="2:35">
      <c r="B278" s="250" t="s">
        <v>533</v>
      </c>
      <c r="C278" s="250" t="s">
        <v>656</v>
      </c>
      <c r="D278" s="250" t="s">
        <v>533</v>
      </c>
      <c r="F278" s="250">
        <f>$E$272*(F275/$E$275)*($E$274*(F276/$E$276)*(F277/$E$277)+(1-$E$274))+0.28*$E$271*(F275-$E$275)/$E$275</f>
        <v>-15.96</v>
      </c>
      <c r="G278" s="250">
        <f t="shared" ref="G278:AI278" si="33">$E$272*(G275/$E$275)*($E$274*(G276/$E$276)*(G277/$E$277)+(1-$E$274))+0.28*$E$271*(G275-$E$275)/$E$275</f>
        <v>-15.96</v>
      </c>
      <c r="H278" s="250">
        <f t="shared" si="33"/>
        <v>-15.96</v>
      </c>
      <c r="I278" s="250">
        <f t="shared" si="33"/>
        <v>-15.96</v>
      </c>
      <c r="J278" s="250">
        <f t="shared" si="33"/>
        <v>-15.96</v>
      </c>
      <c r="K278" s="250">
        <f t="shared" si="33"/>
        <v>-15.96</v>
      </c>
      <c r="L278" s="250">
        <f t="shared" si="33"/>
        <v>-15.96</v>
      </c>
      <c r="M278" s="250">
        <f t="shared" si="33"/>
        <v>-15.96</v>
      </c>
      <c r="N278" s="250">
        <f t="shared" si="33"/>
        <v>-15.96</v>
      </c>
      <c r="O278" s="250">
        <f t="shared" si="33"/>
        <v>-15.96</v>
      </c>
      <c r="P278" s="250">
        <f t="shared" si="33"/>
        <v>-15.96</v>
      </c>
      <c r="Q278" s="250">
        <f t="shared" si="33"/>
        <v>-15.96</v>
      </c>
      <c r="R278" s="250">
        <f t="shared" si="33"/>
        <v>-15.96</v>
      </c>
      <c r="S278" s="250">
        <f t="shared" si="33"/>
        <v>-15.96</v>
      </c>
      <c r="T278" s="250">
        <f t="shared" si="33"/>
        <v>-15.96</v>
      </c>
      <c r="U278" s="250">
        <f t="shared" si="33"/>
        <v>-15.96</v>
      </c>
      <c r="V278" s="250">
        <f t="shared" si="33"/>
        <v>-15.96</v>
      </c>
      <c r="W278" s="250">
        <f t="shared" si="33"/>
        <v>-15.96</v>
      </c>
      <c r="X278" s="250">
        <f t="shared" si="33"/>
        <v>-15.96</v>
      </c>
      <c r="Y278" s="250">
        <f t="shared" si="33"/>
        <v>-15.96</v>
      </c>
      <c r="Z278" s="250">
        <f t="shared" si="33"/>
        <v>-15.96</v>
      </c>
      <c r="AA278" s="250">
        <f t="shared" si="33"/>
        <v>-15.96</v>
      </c>
      <c r="AB278" s="250">
        <f t="shared" si="33"/>
        <v>-15.96</v>
      </c>
      <c r="AC278" s="250">
        <f t="shared" si="33"/>
        <v>-15.96</v>
      </c>
      <c r="AD278" s="250">
        <f t="shared" si="33"/>
        <v>-15.96</v>
      </c>
      <c r="AE278" s="250">
        <f t="shared" si="33"/>
        <v>-15.96</v>
      </c>
      <c r="AF278" s="250">
        <f t="shared" si="33"/>
        <v>-15.96</v>
      </c>
      <c r="AG278" s="250">
        <f t="shared" si="33"/>
        <v>-15.96</v>
      </c>
      <c r="AH278" s="250">
        <f t="shared" si="33"/>
        <v>-15.96</v>
      </c>
      <c r="AI278" s="250">
        <f t="shared" si="33"/>
        <v>-15.96</v>
      </c>
    </row>
    <row r="279" spans="2:35">
      <c r="B279" s="88" t="s">
        <v>294</v>
      </c>
      <c r="C279" s="250" t="s">
        <v>658</v>
      </c>
      <c r="D279" s="88" t="s">
        <v>294</v>
      </c>
      <c r="E279" s="250">
        <f t="array" ref="E279">INDEX(CABS_CVC!$C$3:$O$894,MATCH(1, (CABS_CVC!$A$3:$A$894=Calculs_CABS!C279)*(CABS_CVC!$B$3:$B$894=Calculs_CABS!$D$2),0),MATCH(Calculs_CABS!$D$1,Liste_CABS!$B$3:$B$15,0))</f>
        <v>69</v>
      </c>
    </row>
    <row r="280" spans="2:35">
      <c r="B280" s="250" t="s">
        <v>534</v>
      </c>
      <c r="C280" s="250" t="s">
        <v>658</v>
      </c>
      <c r="D280" s="250" t="s">
        <v>534</v>
      </c>
      <c r="E280" s="250">
        <v>15</v>
      </c>
    </row>
    <row r="281" spans="2:35">
      <c r="B281" s="250" t="s">
        <v>535</v>
      </c>
      <c r="C281" s="250" t="s">
        <v>658</v>
      </c>
      <c r="D281" s="250" t="s">
        <v>535</v>
      </c>
      <c r="E281" s="250">
        <f>E279+E280</f>
        <v>84</v>
      </c>
    </row>
    <row r="282" spans="2:35">
      <c r="B282" s="250" t="s">
        <v>536</v>
      </c>
      <c r="C282" s="250" t="s">
        <v>658</v>
      </c>
      <c r="D282" s="250" t="s">
        <v>536</v>
      </c>
      <c r="E282" s="250">
        <v>0</v>
      </c>
    </row>
    <row r="283" spans="2:35">
      <c r="B283" s="250" t="s">
        <v>537</v>
      </c>
      <c r="C283" s="250" t="s">
        <v>658</v>
      </c>
      <c r="D283" s="250" t="s">
        <v>659</v>
      </c>
      <c r="E283" s="250">
        <v>1900</v>
      </c>
      <c r="F283" s="250">
        <f>IF(F$6=$C283,IF(INDEX('Surface DEET'!$Q$9:$W$38,COLUMN(F276)-COLUMN($E$5),1)&gt;0,INDEX('Surface DEET'!$Q$9:$W$38,COLUMN(F276)-COLUMN($E$5),1),0),0)</f>
        <v>0</v>
      </c>
      <c r="G283" s="250">
        <f>IF(G$6=$C283,IF(INDEX('Surface DEET'!$Q$9:$W$38,COLUMN(G276)-COLUMN($E$5),1)&gt;0,INDEX('Surface DEET'!$Q$9:$W$38,COLUMN(G276)-COLUMN($E$5),1),0),0)</f>
        <v>0</v>
      </c>
      <c r="H283" s="250">
        <f>IF(H$6=$C283,IF(INDEX('Surface DEET'!$Q$9:$W$38,COLUMN(H276)-COLUMN($E$5),1)&gt;0,INDEX('Surface DEET'!$Q$9:$W$38,COLUMN(H276)-COLUMN($E$5),1),0),0)</f>
        <v>0</v>
      </c>
      <c r="I283" s="250">
        <f>IF(I$6=$C283,IF(INDEX('Surface DEET'!$Q$9:$W$38,COLUMN(I276)-COLUMN($E$5),1)&gt;0,INDEX('Surface DEET'!$Q$9:$W$38,COLUMN(I276)-COLUMN($E$5),1),0),0)</f>
        <v>0</v>
      </c>
      <c r="J283" s="250">
        <f>IF(J$6=$C283,IF(INDEX('Surface DEET'!$Q$9:$W$38,COLUMN(J276)-COLUMN($E$5),1)&gt;0,INDEX('Surface DEET'!$Q$9:$W$38,COLUMN(J276)-COLUMN($E$5),1),0),0)</f>
        <v>0</v>
      </c>
      <c r="K283" s="250">
        <f>IF(K$6=$C283,IF(INDEX('Surface DEET'!$Q$9:$W$38,COLUMN(K276)-COLUMN($E$5),1)&gt;0,INDEX('Surface DEET'!$Q$9:$W$38,COLUMN(K276)-COLUMN($E$5),1),0),0)</f>
        <v>0</v>
      </c>
      <c r="L283" s="250">
        <f>IF(L$6=$C283,IF(INDEX('Surface DEET'!$Q$9:$W$38,COLUMN(L276)-COLUMN($E$5),1)&gt;0,INDEX('Surface DEET'!$Q$9:$W$38,COLUMN(L276)-COLUMN($E$5),1),0),0)</f>
        <v>0</v>
      </c>
      <c r="M283" s="250">
        <f>IF(M$6=$C283,IF(INDEX('Surface DEET'!$Q$9:$W$38,COLUMN(M276)-COLUMN($E$5),1)&gt;0,INDEX('Surface DEET'!$Q$9:$W$38,COLUMN(M276)-COLUMN($E$5),1),0),0)</f>
        <v>0</v>
      </c>
      <c r="N283" s="250">
        <f>IF(N$6=$C283,IF(INDEX('Surface DEET'!$Q$9:$W$38,COLUMN(N276)-COLUMN($E$5),1)&gt;0,INDEX('Surface DEET'!$Q$9:$W$38,COLUMN(N276)-COLUMN($E$5),1),0),0)</f>
        <v>0</v>
      </c>
      <c r="O283" s="250">
        <f>IF(O$6=$C283,IF(INDEX('Surface DEET'!$Q$9:$W$38,COLUMN(O276)-COLUMN($E$5),1)&gt;0,INDEX('Surface DEET'!$Q$9:$W$38,COLUMN(O276)-COLUMN($E$5),1),0),0)</f>
        <v>0</v>
      </c>
      <c r="P283" s="250">
        <f>IF(P$6=$C283,IF(INDEX('Surface DEET'!$Q$9:$W$38,COLUMN(P276)-COLUMN($E$5),1)&gt;0,INDEX('Surface DEET'!$Q$9:$W$38,COLUMN(P276)-COLUMN($E$5),1),0),0)</f>
        <v>0</v>
      </c>
      <c r="Q283" s="250">
        <f>IF(Q$6=$C283,IF(INDEX('Surface DEET'!$Q$9:$W$38,COLUMN(Q276)-COLUMN($E$5),1)&gt;0,INDEX('Surface DEET'!$Q$9:$W$38,COLUMN(Q276)-COLUMN($E$5),1),0),0)</f>
        <v>0</v>
      </c>
      <c r="R283" s="250">
        <f>IF(R$6=$C283,IF(INDEX('Surface DEET'!$Q$9:$W$38,COLUMN(R276)-COLUMN($E$5),1)&gt;0,INDEX('Surface DEET'!$Q$9:$W$38,COLUMN(R276)-COLUMN($E$5),1),0),0)</f>
        <v>0</v>
      </c>
      <c r="S283" s="250">
        <f>IF(S$6=$C283,IF(INDEX('Surface DEET'!$Q$9:$W$38,COLUMN(S276)-COLUMN($E$5),1)&gt;0,INDEX('Surface DEET'!$Q$9:$W$38,COLUMN(S276)-COLUMN($E$5),1),0),0)</f>
        <v>0</v>
      </c>
      <c r="T283" s="250">
        <f>IF(T$6=$C283,IF(INDEX('Surface DEET'!$Q$9:$W$38,COLUMN(T276)-COLUMN($E$5),1)&gt;0,INDEX('Surface DEET'!$Q$9:$W$38,COLUMN(T276)-COLUMN($E$5),1),0),0)</f>
        <v>0</v>
      </c>
      <c r="U283" s="250">
        <f>IF(U$6=$C283,IF(INDEX('Surface DEET'!$Q$9:$W$38,COLUMN(U276)-COLUMN($E$5),1)&gt;0,INDEX('Surface DEET'!$Q$9:$W$38,COLUMN(U276)-COLUMN($E$5),1),0),0)</f>
        <v>0</v>
      </c>
      <c r="V283" s="250">
        <f>IF(V$6=$C283,IF(INDEX('Surface DEET'!$Q$9:$W$38,COLUMN(V276)-COLUMN($E$5),1)&gt;0,INDEX('Surface DEET'!$Q$9:$W$38,COLUMN(V276)-COLUMN($E$5),1),0),0)</f>
        <v>0</v>
      </c>
      <c r="W283" s="250">
        <f>IF(W$6=$C283,IF(INDEX('Surface DEET'!$Q$9:$W$38,COLUMN(W276)-COLUMN($E$5),1)&gt;0,INDEX('Surface DEET'!$Q$9:$W$38,COLUMN(W276)-COLUMN($E$5),1),0),0)</f>
        <v>0</v>
      </c>
      <c r="X283" s="250">
        <f>IF(X$6=$C283,IF(INDEX('Surface DEET'!$Q$9:$W$38,COLUMN(X276)-COLUMN($E$5),1)&gt;0,INDEX('Surface DEET'!$Q$9:$W$38,COLUMN(X276)-COLUMN($E$5),1),0),0)</f>
        <v>0</v>
      </c>
      <c r="Y283" s="250">
        <f>IF(Y$6=$C283,IF(INDEX('Surface DEET'!$Q$9:$W$38,COLUMN(Y276)-COLUMN($E$5),1)&gt;0,INDEX('Surface DEET'!$Q$9:$W$38,COLUMN(Y276)-COLUMN($E$5),1),0),0)</f>
        <v>0</v>
      </c>
      <c r="Z283" s="250">
        <f>IF(Z$6=$C283,IF(INDEX('Surface DEET'!$Q$9:$W$38,COLUMN(Z276)-COLUMN($E$5),1)&gt;0,INDEX('Surface DEET'!$Q$9:$W$38,COLUMN(Z276)-COLUMN($E$5),1),0),0)</f>
        <v>0</v>
      </c>
      <c r="AA283" s="250">
        <f>IF(AA$6=$C283,IF(INDEX('Surface DEET'!$Q$9:$W$38,COLUMN(AA276)-COLUMN($E$5),1)&gt;0,INDEX('Surface DEET'!$Q$9:$W$38,COLUMN(AA276)-COLUMN($E$5),1),0),0)</f>
        <v>0</v>
      </c>
      <c r="AB283" s="250">
        <f>IF(AB$6=$C283,IF(INDEX('Surface DEET'!$Q$9:$W$38,COLUMN(AB276)-COLUMN($E$5),1)&gt;0,INDEX('Surface DEET'!$Q$9:$W$38,COLUMN(AB276)-COLUMN($E$5),1),0),0)</f>
        <v>0</v>
      </c>
      <c r="AC283" s="250">
        <f>IF(AC$6=$C283,IF(INDEX('Surface DEET'!$Q$9:$W$38,COLUMN(AC276)-COLUMN($E$5),1)&gt;0,INDEX('Surface DEET'!$Q$9:$W$38,COLUMN(AC276)-COLUMN($E$5),1),0),0)</f>
        <v>0</v>
      </c>
      <c r="AD283" s="250">
        <f>IF(AD$6=$C283,IF(INDEX('Surface DEET'!$Q$9:$W$38,COLUMN(AD276)-COLUMN($E$5),1)&gt;0,INDEX('Surface DEET'!$Q$9:$W$38,COLUMN(AD276)-COLUMN($E$5),1),0),0)</f>
        <v>0</v>
      </c>
      <c r="AE283" s="250">
        <f>IF(AE$6=$C283,IF(INDEX('Surface DEET'!$Q$9:$W$38,COLUMN(AE276)-COLUMN($E$5),1)&gt;0,INDEX('Surface DEET'!$Q$9:$W$38,COLUMN(AE276)-COLUMN($E$5),1),0),0)</f>
        <v>0</v>
      </c>
      <c r="AF283" s="250">
        <f>IF(AF$6=$C283,IF(INDEX('Surface DEET'!$Q$9:$W$38,COLUMN(AF276)-COLUMN($E$5),1)&gt;0,INDEX('Surface DEET'!$Q$9:$W$38,COLUMN(AF276)-COLUMN($E$5),1),0),0)</f>
        <v>0</v>
      </c>
      <c r="AG283" s="250">
        <f>IF(AG$6=$C283,IF(INDEX('Surface DEET'!$Q$9:$W$38,COLUMN(AG276)-COLUMN($E$5),1)&gt;0,INDEX('Surface DEET'!$Q$9:$W$38,COLUMN(AG276)-COLUMN($E$5),1),0),0)</f>
        <v>0</v>
      </c>
      <c r="AH283" s="250">
        <f>IF(AH$6=$C283,IF(INDEX('Surface DEET'!$Q$9:$W$38,COLUMN(AH276)-COLUMN($E$5),1)&gt;0,INDEX('Surface DEET'!$Q$9:$W$38,COLUMN(AH276)-COLUMN($E$5),1),0),0)</f>
        <v>0</v>
      </c>
      <c r="AI283" s="250">
        <f>IF(AI$6=$C283,IF(INDEX('Surface DEET'!$Q$9:$W$38,COLUMN(AI276)-COLUMN($E$5),1)&gt;0,INDEX('Surface DEET'!$Q$9:$W$38,COLUMN(AI276)-COLUMN($E$5),1),0),0)</f>
        <v>0</v>
      </c>
    </row>
    <row r="284" spans="2:35">
      <c r="B284" s="250" t="s">
        <v>540</v>
      </c>
      <c r="C284" s="250" t="s">
        <v>658</v>
      </c>
      <c r="D284" s="250" t="s">
        <v>660</v>
      </c>
      <c r="E284" s="250">
        <v>1900</v>
      </c>
      <c r="F284" s="250">
        <f>IF(F$6=$C284,IF(INDEX('Surface DEET'!$Q$9:$W$38,COLUMN(F277)-COLUMN($E$5),4)&gt;0,INDEX('Surface DEET'!$Q$9:$W$38,COLUMN(F277)-COLUMN($E$5),4),0),0)</f>
        <v>0</v>
      </c>
      <c r="G284" s="250">
        <f>IF(G$6=$C284,IF(INDEX('Surface DEET'!$Q$9:$W$38,COLUMN(G277)-COLUMN($E$5),4)&gt;0,INDEX('Surface DEET'!$Q$9:$W$38,COLUMN(G277)-COLUMN($E$5),4),0),0)</f>
        <v>0</v>
      </c>
      <c r="H284" s="250">
        <f>IF(H$6=$C284,IF(INDEX('Surface DEET'!$Q$9:$W$38,COLUMN(H277)-COLUMN($E$5),4)&gt;0,INDEX('Surface DEET'!$Q$9:$W$38,COLUMN(H277)-COLUMN($E$5),4),0),0)</f>
        <v>0</v>
      </c>
      <c r="I284" s="250">
        <f>IF(I$6=$C284,IF(INDEX('Surface DEET'!$Q$9:$W$38,COLUMN(I277)-COLUMN($E$5),4)&gt;0,INDEX('Surface DEET'!$Q$9:$W$38,COLUMN(I277)-COLUMN($E$5),4),0),0)</f>
        <v>0</v>
      </c>
      <c r="J284" s="250">
        <f>IF(J$6=$C284,IF(INDEX('Surface DEET'!$Q$9:$W$38,COLUMN(J277)-COLUMN($E$5),4)&gt;0,INDEX('Surface DEET'!$Q$9:$W$38,COLUMN(J277)-COLUMN($E$5),4),0),0)</f>
        <v>0</v>
      </c>
      <c r="K284" s="250">
        <f>IF(K$6=$C284,IF(INDEX('Surface DEET'!$Q$9:$W$38,COLUMN(K277)-COLUMN($E$5),4)&gt;0,INDEX('Surface DEET'!$Q$9:$W$38,COLUMN(K277)-COLUMN($E$5),4),0),0)</f>
        <v>0</v>
      </c>
      <c r="L284" s="250">
        <f>IF(L$6=$C284,IF(INDEX('Surface DEET'!$Q$9:$W$38,COLUMN(L277)-COLUMN($E$5),4)&gt;0,INDEX('Surface DEET'!$Q$9:$W$38,COLUMN(L277)-COLUMN($E$5),4),0),0)</f>
        <v>0</v>
      </c>
      <c r="M284" s="250">
        <f>IF(M$6=$C284,IF(INDEX('Surface DEET'!$Q$9:$W$38,COLUMN(M277)-COLUMN($E$5),4)&gt;0,INDEX('Surface DEET'!$Q$9:$W$38,COLUMN(M277)-COLUMN($E$5),4),0),0)</f>
        <v>0</v>
      </c>
      <c r="N284" s="250">
        <f>IF(N$6=$C284,IF(INDEX('Surface DEET'!$Q$9:$W$38,COLUMN(N277)-COLUMN($E$5),4)&gt;0,INDEX('Surface DEET'!$Q$9:$W$38,COLUMN(N277)-COLUMN($E$5),4),0),0)</f>
        <v>0</v>
      </c>
      <c r="O284" s="250">
        <f>IF(O$6=$C284,IF(INDEX('Surface DEET'!$Q$9:$W$38,COLUMN(O277)-COLUMN($E$5),4)&gt;0,INDEX('Surface DEET'!$Q$9:$W$38,COLUMN(O277)-COLUMN($E$5),4),0),0)</f>
        <v>0</v>
      </c>
      <c r="P284" s="250">
        <f>IF(P$6=$C284,IF(INDEX('Surface DEET'!$Q$9:$W$38,COLUMN(P277)-COLUMN($E$5),4)&gt;0,INDEX('Surface DEET'!$Q$9:$W$38,COLUMN(P277)-COLUMN($E$5),4),0),0)</f>
        <v>0</v>
      </c>
      <c r="Q284" s="250">
        <f>IF(Q$6=$C284,IF(INDEX('Surface DEET'!$Q$9:$W$38,COLUMN(Q277)-COLUMN($E$5),4)&gt;0,INDEX('Surface DEET'!$Q$9:$W$38,COLUMN(Q277)-COLUMN($E$5),4),0),0)</f>
        <v>0</v>
      </c>
      <c r="R284" s="250">
        <f>IF(R$6=$C284,IF(INDEX('Surface DEET'!$Q$9:$W$38,COLUMN(R277)-COLUMN($E$5),4)&gt;0,INDEX('Surface DEET'!$Q$9:$W$38,COLUMN(R277)-COLUMN($E$5),4),0),0)</f>
        <v>0</v>
      </c>
      <c r="S284" s="250">
        <f>IF(S$6=$C284,IF(INDEX('Surface DEET'!$Q$9:$W$38,COLUMN(S277)-COLUMN($E$5),4)&gt;0,INDEX('Surface DEET'!$Q$9:$W$38,COLUMN(S277)-COLUMN($E$5),4),0),0)</f>
        <v>0</v>
      </c>
      <c r="T284" s="250">
        <f>IF(T$6=$C284,IF(INDEX('Surface DEET'!$Q$9:$W$38,COLUMN(T277)-COLUMN($E$5),4)&gt;0,INDEX('Surface DEET'!$Q$9:$W$38,COLUMN(T277)-COLUMN($E$5),4),0),0)</f>
        <v>0</v>
      </c>
      <c r="U284" s="250">
        <f>IF(U$6=$C284,IF(INDEX('Surface DEET'!$Q$9:$W$38,COLUMN(U277)-COLUMN($E$5),4)&gt;0,INDEX('Surface DEET'!$Q$9:$W$38,COLUMN(U277)-COLUMN($E$5),4),0),0)</f>
        <v>0</v>
      </c>
      <c r="V284" s="250">
        <f>IF(V$6=$C284,IF(INDEX('Surface DEET'!$Q$9:$W$38,COLUMN(V277)-COLUMN($E$5),4)&gt;0,INDEX('Surface DEET'!$Q$9:$W$38,COLUMN(V277)-COLUMN($E$5),4),0),0)</f>
        <v>0</v>
      </c>
      <c r="W284" s="250">
        <f>IF(W$6=$C284,IF(INDEX('Surface DEET'!$Q$9:$W$38,COLUMN(W277)-COLUMN($E$5),4)&gt;0,INDEX('Surface DEET'!$Q$9:$W$38,COLUMN(W277)-COLUMN($E$5),4),0),0)</f>
        <v>0</v>
      </c>
      <c r="X284" s="250">
        <f>IF(X$6=$C284,IF(INDEX('Surface DEET'!$Q$9:$W$38,COLUMN(X277)-COLUMN($E$5),4)&gt;0,INDEX('Surface DEET'!$Q$9:$W$38,COLUMN(X277)-COLUMN($E$5),4),0),0)</f>
        <v>0</v>
      </c>
      <c r="Y284" s="250">
        <f>IF(Y$6=$C284,IF(INDEX('Surface DEET'!$Q$9:$W$38,COLUMN(Y277)-COLUMN($E$5),4)&gt;0,INDEX('Surface DEET'!$Q$9:$W$38,COLUMN(Y277)-COLUMN($E$5),4),0),0)</f>
        <v>0</v>
      </c>
      <c r="Z284" s="250">
        <f>IF(Z$6=$C284,IF(INDEX('Surface DEET'!$Q$9:$W$38,COLUMN(Z277)-COLUMN($E$5),4)&gt;0,INDEX('Surface DEET'!$Q$9:$W$38,COLUMN(Z277)-COLUMN($E$5),4),0),0)</f>
        <v>0</v>
      </c>
      <c r="AA284" s="250">
        <f>IF(AA$6=$C284,IF(INDEX('Surface DEET'!$Q$9:$W$38,COLUMN(AA277)-COLUMN($E$5),4)&gt;0,INDEX('Surface DEET'!$Q$9:$W$38,COLUMN(AA277)-COLUMN($E$5),4),0),0)</f>
        <v>0</v>
      </c>
      <c r="AB284" s="250">
        <f>IF(AB$6=$C284,IF(INDEX('Surface DEET'!$Q$9:$W$38,COLUMN(AB277)-COLUMN($E$5),4)&gt;0,INDEX('Surface DEET'!$Q$9:$W$38,COLUMN(AB277)-COLUMN($E$5),4),0),0)</f>
        <v>0</v>
      </c>
      <c r="AC284" s="250">
        <f>IF(AC$6=$C284,IF(INDEX('Surface DEET'!$Q$9:$W$38,COLUMN(AC277)-COLUMN($E$5),4)&gt;0,INDEX('Surface DEET'!$Q$9:$W$38,COLUMN(AC277)-COLUMN($E$5),4),0),0)</f>
        <v>0</v>
      </c>
      <c r="AD284" s="250">
        <f>IF(AD$6=$C284,IF(INDEX('Surface DEET'!$Q$9:$W$38,COLUMN(AD277)-COLUMN($E$5),4)&gt;0,INDEX('Surface DEET'!$Q$9:$W$38,COLUMN(AD277)-COLUMN($E$5),4),0),0)</f>
        <v>0</v>
      </c>
      <c r="AE284" s="250">
        <f>IF(AE$6=$C284,IF(INDEX('Surface DEET'!$Q$9:$W$38,COLUMN(AE277)-COLUMN($E$5),4)&gt;0,INDEX('Surface DEET'!$Q$9:$W$38,COLUMN(AE277)-COLUMN($E$5),4),0),0)</f>
        <v>0</v>
      </c>
      <c r="AF284" s="250">
        <f>IF(AF$6=$C284,IF(INDEX('Surface DEET'!$Q$9:$W$38,COLUMN(AF277)-COLUMN($E$5),4)&gt;0,INDEX('Surface DEET'!$Q$9:$W$38,COLUMN(AF277)-COLUMN($E$5),4),0),0)</f>
        <v>0</v>
      </c>
      <c r="AG284" s="250">
        <f>IF(AG$6=$C284,IF(INDEX('Surface DEET'!$Q$9:$W$38,COLUMN(AG277)-COLUMN($E$5),4)&gt;0,INDEX('Surface DEET'!$Q$9:$W$38,COLUMN(AG277)-COLUMN($E$5),4),0),0)</f>
        <v>0</v>
      </c>
      <c r="AH284" s="250">
        <f>IF(AH$6=$C284,IF(INDEX('Surface DEET'!$Q$9:$W$38,COLUMN(AH277)-COLUMN($E$5),4)&gt;0,INDEX('Surface DEET'!$Q$9:$W$38,COLUMN(AH277)-COLUMN($E$5),4),0),0)</f>
        <v>0</v>
      </c>
      <c r="AI284" s="250">
        <f>IF(AI$6=$C284,IF(INDEX('Surface DEET'!$Q$9:$W$38,COLUMN(AI277)-COLUMN($E$5),4)&gt;0,INDEX('Surface DEET'!$Q$9:$W$38,COLUMN(AI277)-COLUMN($E$5),4),0),0)</f>
        <v>0</v>
      </c>
    </row>
    <row r="285" spans="2:35">
      <c r="B285" s="250" t="s">
        <v>543</v>
      </c>
      <c r="C285" s="250" t="s">
        <v>658</v>
      </c>
    </row>
    <row r="286" spans="2:35">
      <c r="B286" s="250" t="s">
        <v>533</v>
      </c>
      <c r="C286" s="250" t="s">
        <v>658</v>
      </c>
      <c r="D286" s="250" t="s">
        <v>533</v>
      </c>
      <c r="F286" s="250">
        <f>$E$280*(1+2*F283/$E$283+F284/$E$284)</f>
        <v>15</v>
      </c>
      <c r="G286" s="250">
        <f t="shared" ref="G286:AI286" si="34">$E$280*(1+2*G283/$E$283+G284/$E$284)</f>
        <v>15</v>
      </c>
      <c r="H286" s="250">
        <f t="shared" si="34"/>
        <v>15</v>
      </c>
      <c r="I286" s="250">
        <f t="shared" si="34"/>
        <v>15</v>
      </c>
      <c r="J286" s="250">
        <f t="shared" si="34"/>
        <v>15</v>
      </c>
      <c r="K286" s="250">
        <f t="shared" si="34"/>
        <v>15</v>
      </c>
      <c r="L286" s="250">
        <f t="shared" si="34"/>
        <v>15</v>
      </c>
      <c r="M286" s="250">
        <f t="shared" si="34"/>
        <v>15</v>
      </c>
      <c r="N286" s="250">
        <f t="shared" si="34"/>
        <v>15</v>
      </c>
      <c r="O286" s="250">
        <f t="shared" si="34"/>
        <v>15</v>
      </c>
      <c r="P286" s="250">
        <f t="shared" si="34"/>
        <v>15</v>
      </c>
      <c r="Q286" s="250">
        <f t="shared" si="34"/>
        <v>15</v>
      </c>
      <c r="R286" s="250">
        <f t="shared" si="34"/>
        <v>15</v>
      </c>
      <c r="S286" s="250">
        <f t="shared" si="34"/>
        <v>15</v>
      </c>
      <c r="T286" s="250">
        <f t="shared" si="34"/>
        <v>15</v>
      </c>
      <c r="U286" s="250">
        <f t="shared" si="34"/>
        <v>15</v>
      </c>
      <c r="V286" s="250">
        <f t="shared" si="34"/>
        <v>15</v>
      </c>
      <c r="W286" s="250">
        <f t="shared" si="34"/>
        <v>15</v>
      </c>
      <c r="X286" s="250">
        <f t="shared" si="34"/>
        <v>15</v>
      </c>
      <c r="Y286" s="250">
        <f t="shared" si="34"/>
        <v>15</v>
      </c>
      <c r="Z286" s="250">
        <f t="shared" si="34"/>
        <v>15</v>
      </c>
      <c r="AA286" s="250">
        <f t="shared" si="34"/>
        <v>15</v>
      </c>
      <c r="AB286" s="250">
        <f t="shared" si="34"/>
        <v>15</v>
      </c>
      <c r="AC286" s="250">
        <f t="shared" si="34"/>
        <v>15</v>
      </c>
      <c r="AD286" s="250">
        <f t="shared" si="34"/>
        <v>15</v>
      </c>
      <c r="AE286" s="250">
        <f t="shared" si="34"/>
        <v>15</v>
      </c>
      <c r="AF286" s="250">
        <f t="shared" si="34"/>
        <v>15</v>
      </c>
      <c r="AG286" s="250">
        <f t="shared" si="34"/>
        <v>15</v>
      </c>
      <c r="AH286" s="250">
        <f t="shared" si="34"/>
        <v>15</v>
      </c>
      <c r="AI286" s="250">
        <f t="shared" si="34"/>
        <v>15</v>
      </c>
    </row>
    <row r="287" spans="2:35">
      <c r="B287" s="88" t="s">
        <v>294</v>
      </c>
      <c r="C287" s="250" t="s">
        <v>661</v>
      </c>
      <c r="D287" s="88" t="s">
        <v>294</v>
      </c>
      <c r="E287" s="250">
        <f t="array" ref="E287">INDEX(CABS_CVC!$C$3:$O$894,MATCH(1, (CABS_CVC!$A$3:$A$894=Calculs_CABS!C287)*(CABS_CVC!$B$3:$B$894=Calculs_CABS!$D$2),0),MATCH(Calculs_CABS!$D$1,Liste_CABS!$B$3:$B$15,0))</f>
        <v>69</v>
      </c>
    </row>
    <row r="288" spans="2:35">
      <c r="B288" s="250" t="s">
        <v>534</v>
      </c>
      <c r="C288" s="250" t="s">
        <v>661</v>
      </c>
      <c r="D288" s="250" t="s">
        <v>534</v>
      </c>
      <c r="E288" s="250">
        <v>20</v>
      </c>
    </row>
    <row r="289" spans="2:35">
      <c r="B289" s="250" t="s">
        <v>535</v>
      </c>
      <c r="C289" s="250" t="s">
        <v>661</v>
      </c>
      <c r="D289" s="250" t="s">
        <v>535</v>
      </c>
      <c r="E289" s="250">
        <f>E287+E288</f>
        <v>89</v>
      </c>
    </row>
    <row r="290" spans="2:35">
      <c r="B290" s="250" t="s">
        <v>536</v>
      </c>
      <c r="C290" s="250" t="s">
        <v>661</v>
      </c>
      <c r="D290" s="250" t="s">
        <v>536</v>
      </c>
      <c r="E290" s="250">
        <v>0</v>
      </c>
    </row>
    <row r="291" spans="2:35">
      <c r="B291" s="250" t="s">
        <v>537</v>
      </c>
      <c r="C291" s="250" t="s">
        <v>661</v>
      </c>
      <c r="D291" s="250" t="s">
        <v>659</v>
      </c>
      <c r="E291" s="250">
        <v>1900</v>
      </c>
      <c r="F291" s="250">
        <f>IF(F$6=$C291,IF(INDEX('Surface DEET'!$Q$9:$W$38,COLUMN(F284)-COLUMN($E$5),1)&gt;0,INDEX('Surface DEET'!$Q$9:$W$38,COLUMN(F284)-COLUMN($E$5),1),0),0)</f>
        <v>0</v>
      </c>
      <c r="G291" s="250">
        <f>IF(G$6=$C291,IF(INDEX('Surface DEET'!$Q$9:$W$38,COLUMN(G284)-COLUMN($E$5),1)&gt;0,INDEX('Surface DEET'!$Q$9:$W$38,COLUMN(G284)-COLUMN($E$5),1),0),0)</f>
        <v>0</v>
      </c>
      <c r="H291" s="250">
        <f>IF(H$6=$C291,IF(INDEX('Surface DEET'!$Q$9:$W$38,COLUMN(H284)-COLUMN($E$5),1)&gt;0,INDEX('Surface DEET'!$Q$9:$W$38,COLUMN(H284)-COLUMN($E$5),1),0),0)</f>
        <v>0</v>
      </c>
      <c r="I291" s="250">
        <f>IF(I$6=$C291,IF(INDEX('Surface DEET'!$Q$9:$W$38,COLUMN(I284)-COLUMN($E$5),1)&gt;0,INDEX('Surface DEET'!$Q$9:$W$38,COLUMN(I284)-COLUMN($E$5),1),0),0)</f>
        <v>0</v>
      </c>
      <c r="J291" s="250">
        <f>IF(J$6=$C291,IF(INDEX('Surface DEET'!$Q$9:$W$38,COLUMN(J284)-COLUMN($E$5),1)&gt;0,INDEX('Surface DEET'!$Q$9:$W$38,COLUMN(J284)-COLUMN($E$5),1),0),0)</f>
        <v>0</v>
      </c>
      <c r="K291" s="250">
        <f>IF(K$6=$C291,IF(INDEX('Surface DEET'!$Q$9:$W$38,COLUMN(K284)-COLUMN($E$5),1)&gt;0,INDEX('Surface DEET'!$Q$9:$W$38,COLUMN(K284)-COLUMN($E$5),1),0),0)</f>
        <v>0</v>
      </c>
      <c r="L291" s="250">
        <f>IF(L$6=$C291,IF(INDEX('Surface DEET'!$Q$9:$W$38,COLUMN(L284)-COLUMN($E$5),1)&gt;0,INDEX('Surface DEET'!$Q$9:$W$38,COLUMN(L284)-COLUMN($E$5),1),0),0)</f>
        <v>0</v>
      </c>
      <c r="M291" s="250">
        <f>IF(M$6=$C291,IF(INDEX('Surface DEET'!$Q$9:$W$38,COLUMN(M284)-COLUMN($E$5),1)&gt;0,INDEX('Surface DEET'!$Q$9:$W$38,COLUMN(M284)-COLUMN($E$5),1),0),0)</f>
        <v>0</v>
      </c>
      <c r="N291" s="250">
        <f>IF(N$6=$C291,IF(INDEX('Surface DEET'!$Q$9:$W$38,COLUMN(N284)-COLUMN($E$5),1)&gt;0,INDEX('Surface DEET'!$Q$9:$W$38,COLUMN(N284)-COLUMN($E$5),1),0),0)</f>
        <v>0</v>
      </c>
      <c r="O291" s="250">
        <f>IF(O$6=$C291,IF(INDEX('Surface DEET'!$Q$9:$W$38,COLUMN(O284)-COLUMN($E$5),1)&gt;0,INDEX('Surface DEET'!$Q$9:$W$38,COLUMN(O284)-COLUMN($E$5),1),0),0)</f>
        <v>0</v>
      </c>
      <c r="P291" s="250">
        <f>IF(P$6=$C291,IF(INDEX('Surface DEET'!$Q$9:$W$38,COLUMN(P284)-COLUMN($E$5),1)&gt;0,INDEX('Surface DEET'!$Q$9:$W$38,COLUMN(P284)-COLUMN($E$5),1),0),0)</f>
        <v>0</v>
      </c>
      <c r="Q291" s="250">
        <f>IF(Q$6=$C291,IF(INDEX('Surface DEET'!$Q$9:$W$38,COLUMN(Q284)-COLUMN($E$5),1)&gt;0,INDEX('Surface DEET'!$Q$9:$W$38,COLUMN(Q284)-COLUMN($E$5),1),0),0)</f>
        <v>0</v>
      </c>
      <c r="R291" s="250">
        <f>IF(R$6=$C291,IF(INDEX('Surface DEET'!$Q$9:$W$38,COLUMN(R284)-COLUMN($E$5),1)&gt;0,INDEX('Surface DEET'!$Q$9:$W$38,COLUMN(R284)-COLUMN($E$5),1),0),0)</f>
        <v>0</v>
      </c>
      <c r="S291" s="250">
        <f>IF(S$6=$C291,IF(INDEX('Surface DEET'!$Q$9:$W$38,COLUMN(S284)-COLUMN($E$5),1)&gt;0,INDEX('Surface DEET'!$Q$9:$W$38,COLUMN(S284)-COLUMN($E$5),1),0),0)</f>
        <v>0</v>
      </c>
      <c r="T291" s="250">
        <f>IF(T$6=$C291,IF(INDEX('Surface DEET'!$Q$9:$W$38,COLUMN(T284)-COLUMN($E$5),1)&gt;0,INDEX('Surface DEET'!$Q$9:$W$38,COLUMN(T284)-COLUMN($E$5),1),0),0)</f>
        <v>0</v>
      </c>
      <c r="U291" s="250">
        <f>IF(U$6=$C291,IF(INDEX('Surface DEET'!$Q$9:$W$38,COLUMN(U284)-COLUMN($E$5),1)&gt;0,INDEX('Surface DEET'!$Q$9:$W$38,COLUMN(U284)-COLUMN($E$5),1),0),0)</f>
        <v>0</v>
      </c>
      <c r="V291" s="250">
        <f>IF(V$6=$C291,IF(INDEX('Surface DEET'!$Q$9:$W$38,COLUMN(V284)-COLUMN($E$5),1)&gt;0,INDEX('Surface DEET'!$Q$9:$W$38,COLUMN(V284)-COLUMN($E$5),1),0),0)</f>
        <v>0</v>
      </c>
      <c r="W291" s="250">
        <f>IF(W$6=$C291,IF(INDEX('Surface DEET'!$Q$9:$W$38,COLUMN(W284)-COLUMN($E$5),1)&gt;0,INDEX('Surface DEET'!$Q$9:$W$38,COLUMN(W284)-COLUMN($E$5),1),0),0)</f>
        <v>0</v>
      </c>
      <c r="X291" s="250">
        <f>IF(X$6=$C291,IF(INDEX('Surface DEET'!$Q$9:$W$38,COLUMN(X284)-COLUMN($E$5),1)&gt;0,INDEX('Surface DEET'!$Q$9:$W$38,COLUMN(X284)-COLUMN($E$5),1),0),0)</f>
        <v>0</v>
      </c>
      <c r="Y291" s="250">
        <f>IF(Y$6=$C291,IF(INDEX('Surface DEET'!$Q$9:$W$38,COLUMN(Y284)-COLUMN($E$5),1)&gt;0,INDEX('Surface DEET'!$Q$9:$W$38,COLUMN(Y284)-COLUMN($E$5),1),0),0)</f>
        <v>0</v>
      </c>
      <c r="Z291" s="250">
        <f>IF(Z$6=$C291,IF(INDEX('Surface DEET'!$Q$9:$W$38,COLUMN(Z284)-COLUMN($E$5),1)&gt;0,INDEX('Surface DEET'!$Q$9:$W$38,COLUMN(Z284)-COLUMN($E$5),1),0),0)</f>
        <v>0</v>
      </c>
      <c r="AA291" s="250">
        <f>IF(AA$6=$C291,IF(INDEX('Surface DEET'!$Q$9:$W$38,COLUMN(AA284)-COLUMN($E$5),1)&gt;0,INDEX('Surface DEET'!$Q$9:$W$38,COLUMN(AA284)-COLUMN($E$5),1),0),0)</f>
        <v>0</v>
      </c>
      <c r="AB291" s="250">
        <f>IF(AB$6=$C291,IF(INDEX('Surface DEET'!$Q$9:$W$38,COLUMN(AB284)-COLUMN($E$5),1)&gt;0,INDEX('Surface DEET'!$Q$9:$W$38,COLUMN(AB284)-COLUMN($E$5),1),0),0)</f>
        <v>0</v>
      </c>
      <c r="AC291" s="250">
        <f>IF(AC$6=$C291,IF(INDEX('Surface DEET'!$Q$9:$W$38,COLUMN(AC284)-COLUMN($E$5),1)&gt;0,INDEX('Surface DEET'!$Q$9:$W$38,COLUMN(AC284)-COLUMN($E$5),1),0),0)</f>
        <v>0</v>
      </c>
      <c r="AD291" s="250">
        <f>IF(AD$6=$C291,IF(INDEX('Surface DEET'!$Q$9:$W$38,COLUMN(AD284)-COLUMN($E$5),1)&gt;0,INDEX('Surface DEET'!$Q$9:$W$38,COLUMN(AD284)-COLUMN($E$5),1),0),0)</f>
        <v>0</v>
      </c>
      <c r="AE291" s="250">
        <f>IF(AE$6=$C291,IF(INDEX('Surface DEET'!$Q$9:$W$38,COLUMN(AE284)-COLUMN($E$5),1)&gt;0,INDEX('Surface DEET'!$Q$9:$W$38,COLUMN(AE284)-COLUMN($E$5),1),0),0)</f>
        <v>0</v>
      </c>
      <c r="AF291" s="250">
        <f>IF(AF$6=$C291,IF(INDEX('Surface DEET'!$Q$9:$W$38,COLUMN(AF284)-COLUMN($E$5),1)&gt;0,INDEX('Surface DEET'!$Q$9:$W$38,COLUMN(AF284)-COLUMN($E$5),1),0),0)</f>
        <v>0</v>
      </c>
      <c r="AG291" s="250">
        <f>IF(AG$6=$C291,IF(INDEX('Surface DEET'!$Q$9:$W$38,COLUMN(AG284)-COLUMN($E$5),1)&gt;0,INDEX('Surface DEET'!$Q$9:$W$38,COLUMN(AG284)-COLUMN($E$5),1),0),0)</f>
        <v>0</v>
      </c>
      <c r="AH291" s="250">
        <f>IF(AH$6=$C291,IF(INDEX('Surface DEET'!$Q$9:$W$38,COLUMN(AH284)-COLUMN($E$5),1)&gt;0,INDEX('Surface DEET'!$Q$9:$W$38,COLUMN(AH284)-COLUMN($E$5),1),0),0)</f>
        <v>0</v>
      </c>
      <c r="AI291" s="250">
        <f>IF(AI$6=$C291,IF(INDEX('Surface DEET'!$Q$9:$W$38,COLUMN(AI284)-COLUMN($E$5),1)&gt;0,INDEX('Surface DEET'!$Q$9:$W$38,COLUMN(AI284)-COLUMN($E$5),1),0),0)</f>
        <v>0</v>
      </c>
    </row>
    <row r="292" spans="2:35">
      <c r="B292" s="250" t="s">
        <v>540</v>
      </c>
      <c r="C292" s="250" t="s">
        <v>661</v>
      </c>
      <c r="D292" s="250" t="s">
        <v>660</v>
      </c>
      <c r="E292" s="250">
        <v>1900</v>
      </c>
      <c r="F292" s="250">
        <f>IF(F$6=$C292,IF(INDEX('Surface DEET'!$Q$9:$W$38,COLUMN(F285)-COLUMN($E$5),4)&gt;0,INDEX('Surface DEET'!$Q$9:$W$38,COLUMN(F285)-COLUMN($E$5),4),0),0)</f>
        <v>0</v>
      </c>
      <c r="G292" s="250">
        <f>IF(G$6=$C292,IF(INDEX('Surface DEET'!$Q$9:$W$38,COLUMN(G285)-COLUMN($E$5),4)&gt;0,INDEX('Surface DEET'!$Q$9:$W$38,COLUMN(G285)-COLUMN($E$5),4),0),0)</f>
        <v>0</v>
      </c>
      <c r="H292" s="250">
        <f>IF(H$6=$C292,IF(INDEX('Surface DEET'!$Q$9:$W$38,COLUMN(H285)-COLUMN($E$5),4)&gt;0,INDEX('Surface DEET'!$Q$9:$W$38,COLUMN(H285)-COLUMN($E$5),4),0),0)</f>
        <v>0</v>
      </c>
      <c r="I292" s="250">
        <f>IF(I$6=$C292,IF(INDEX('Surface DEET'!$Q$9:$W$38,COLUMN(I285)-COLUMN($E$5),4)&gt;0,INDEX('Surface DEET'!$Q$9:$W$38,COLUMN(I285)-COLUMN($E$5),4),0),0)</f>
        <v>0</v>
      </c>
      <c r="J292" s="250">
        <f>IF(J$6=$C292,IF(INDEX('Surface DEET'!$Q$9:$W$38,COLUMN(J285)-COLUMN($E$5),4)&gt;0,INDEX('Surface DEET'!$Q$9:$W$38,COLUMN(J285)-COLUMN($E$5),4),0),0)</f>
        <v>0</v>
      </c>
      <c r="K292" s="250">
        <f>IF(K$6=$C292,IF(INDEX('Surface DEET'!$Q$9:$W$38,COLUMN(K285)-COLUMN($E$5),4)&gt;0,INDEX('Surface DEET'!$Q$9:$W$38,COLUMN(K285)-COLUMN($E$5),4),0),0)</f>
        <v>0</v>
      </c>
      <c r="L292" s="250">
        <f>IF(L$6=$C292,IF(INDEX('Surface DEET'!$Q$9:$W$38,COLUMN(L285)-COLUMN($E$5),4)&gt;0,INDEX('Surface DEET'!$Q$9:$W$38,COLUMN(L285)-COLUMN($E$5),4),0),0)</f>
        <v>0</v>
      </c>
      <c r="M292" s="250">
        <f>IF(M$6=$C292,IF(INDEX('Surface DEET'!$Q$9:$W$38,COLUMN(M285)-COLUMN($E$5),4)&gt;0,INDEX('Surface DEET'!$Q$9:$W$38,COLUMN(M285)-COLUMN($E$5),4),0),0)</f>
        <v>0</v>
      </c>
      <c r="N292" s="250">
        <f>IF(N$6=$C292,IF(INDEX('Surface DEET'!$Q$9:$W$38,COLUMN(N285)-COLUMN($E$5),4)&gt;0,INDEX('Surface DEET'!$Q$9:$W$38,COLUMN(N285)-COLUMN($E$5),4),0),0)</f>
        <v>0</v>
      </c>
      <c r="O292" s="250">
        <f>IF(O$6=$C292,IF(INDEX('Surface DEET'!$Q$9:$W$38,COLUMN(O285)-COLUMN($E$5),4)&gt;0,INDEX('Surface DEET'!$Q$9:$W$38,COLUMN(O285)-COLUMN($E$5),4),0),0)</f>
        <v>0</v>
      </c>
      <c r="P292" s="250">
        <f>IF(P$6=$C292,IF(INDEX('Surface DEET'!$Q$9:$W$38,COLUMN(P285)-COLUMN($E$5),4)&gt;0,INDEX('Surface DEET'!$Q$9:$W$38,COLUMN(P285)-COLUMN($E$5),4),0),0)</f>
        <v>0</v>
      </c>
      <c r="Q292" s="250">
        <f>IF(Q$6=$C292,IF(INDEX('Surface DEET'!$Q$9:$W$38,COLUMN(Q285)-COLUMN($E$5),4)&gt;0,INDEX('Surface DEET'!$Q$9:$W$38,COLUMN(Q285)-COLUMN($E$5),4),0),0)</f>
        <v>0</v>
      </c>
      <c r="R292" s="250">
        <f>IF(R$6=$C292,IF(INDEX('Surface DEET'!$Q$9:$W$38,COLUMN(R285)-COLUMN($E$5),4)&gt;0,INDEX('Surface DEET'!$Q$9:$W$38,COLUMN(R285)-COLUMN($E$5),4),0),0)</f>
        <v>0</v>
      </c>
      <c r="S292" s="250">
        <f>IF(S$6=$C292,IF(INDEX('Surface DEET'!$Q$9:$W$38,COLUMN(S285)-COLUMN($E$5),4)&gt;0,INDEX('Surface DEET'!$Q$9:$W$38,COLUMN(S285)-COLUMN($E$5),4),0),0)</f>
        <v>0</v>
      </c>
      <c r="T292" s="250">
        <f>IF(T$6=$C292,IF(INDEX('Surface DEET'!$Q$9:$W$38,COLUMN(T285)-COLUMN($E$5),4)&gt;0,INDEX('Surface DEET'!$Q$9:$W$38,COLUMN(T285)-COLUMN($E$5),4),0),0)</f>
        <v>0</v>
      </c>
      <c r="U292" s="250">
        <f>IF(U$6=$C292,IF(INDEX('Surface DEET'!$Q$9:$W$38,COLUMN(U285)-COLUMN($E$5),4)&gt;0,INDEX('Surface DEET'!$Q$9:$W$38,COLUMN(U285)-COLUMN($E$5),4),0),0)</f>
        <v>0</v>
      </c>
      <c r="V292" s="250">
        <f>IF(V$6=$C292,IF(INDEX('Surface DEET'!$Q$9:$W$38,COLUMN(V285)-COLUMN($E$5),4)&gt;0,INDEX('Surface DEET'!$Q$9:$W$38,COLUMN(V285)-COLUMN($E$5),4),0),0)</f>
        <v>0</v>
      </c>
      <c r="W292" s="250">
        <f>IF(W$6=$C292,IF(INDEX('Surface DEET'!$Q$9:$W$38,COLUMN(W285)-COLUMN($E$5),4)&gt;0,INDEX('Surface DEET'!$Q$9:$W$38,COLUMN(W285)-COLUMN($E$5),4),0),0)</f>
        <v>0</v>
      </c>
      <c r="X292" s="250">
        <f>IF(X$6=$C292,IF(INDEX('Surface DEET'!$Q$9:$W$38,COLUMN(X285)-COLUMN($E$5),4)&gt;0,INDEX('Surface DEET'!$Q$9:$W$38,COLUMN(X285)-COLUMN($E$5),4),0),0)</f>
        <v>0</v>
      </c>
      <c r="Y292" s="250">
        <f>IF(Y$6=$C292,IF(INDEX('Surface DEET'!$Q$9:$W$38,COLUMN(Y285)-COLUMN($E$5),4)&gt;0,INDEX('Surface DEET'!$Q$9:$W$38,COLUMN(Y285)-COLUMN($E$5),4),0),0)</f>
        <v>0</v>
      </c>
      <c r="Z292" s="250">
        <f>IF(Z$6=$C292,IF(INDEX('Surface DEET'!$Q$9:$W$38,COLUMN(Z285)-COLUMN($E$5),4)&gt;0,INDEX('Surface DEET'!$Q$9:$W$38,COLUMN(Z285)-COLUMN($E$5),4),0),0)</f>
        <v>0</v>
      </c>
      <c r="AA292" s="250">
        <f>IF(AA$6=$C292,IF(INDEX('Surface DEET'!$Q$9:$W$38,COLUMN(AA285)-COLUMN($E$5),4)&gt;0,INDEX('Surface DEET'!$Q$9:$W$38,COLUMN(AA285)-COLUMN($E$5),4),0),0)</f>
        <v>0</v>
      </c>
      <c r="AB292" s="250">
        <f>IF(AB$6=$C292,IF(INDEX('Surface DEET'!$Q$9:$W$38,COLUMN(AB285)-COLUMN($E$5),4)&gt;0,INDEX('Surface DEET'!$Q$9:$W$38,COLUMN(AB285)-COLUMN($E$5),4),0),0)</f>
        <v>0</v>
      </c>
      <c r="AC292" s="250">
        <f>IF(AC$6=$C292,IF(INDEX('Surface DEET'!$Q$9:$W$38,COLUMN(AC285)-COLUMN($E$5),4)&gt;0,INDEX('Surface DEET'!$Q$9:$W$38,COLUMN(AC285)-COLUMN($E$5),4),0),0)</f>
        <v>0</v>
      </c>
      <c r="AD292" s="250">
        <f>IF(AD$6=$C292,IF(INDEX('Surface DEET'!$Q$9:$W$38,COLUMN(AD285)-COLUMN($E$5),4)&gt;0,INDEX('Surface DEET'!$Q$9:$W$38,COLUMN(AD285)-COLUMN($E$5),4),0),0)</f>
        <v>0</v>
      </c>
      <c r="AE292" s="250">
        <f>IF(AE$6=$C292,IF(INDEX('Surface DEET'!$Q$9:$W$38,COLUMN(AE285)-COLUMN($E$5),4)&gt;0,INDEX('Surface DEET'!$Q$9:$W$38,COLUMN(AE285)-COLUMN($E$5),4),0),0)</f>
        <v>0</v>
      </c>
      <c r="AF292" s="250">
        <f>IF(AF$6=$C292,IF(INDEX('Surface DEET'!$Q$9:$W$38,COLUMN(AF285)-COLUMN($E$5),4)&gt;0,INDEX('Surface DEET'!$Q$9:$W$38,COLUMN(AF285)-COLUMN($E$5),4),0),0)</f>
        <v>0</v>
      </c>
      <c r="AG292" s="250">
        <f>IF(AG$6=$C292,IF(INDEX('Surface DEET'!$Q$9:$W$38,COLUMN(AG285)-COLUMN($E$5),4)&gt;0,INDEX('Surface DEET'!$Q$9:$W$38,COLUMN(AG285)-COLUMN($E$5),4),0),0)</f>
        <v>0</v>
      </c>
      <c r="AH292" s="250">
        <f>IF(AH$6=$C292,IF(INDEX('Surface DEET'!$Q$9:$W$38,COLUMN(AH285)-COLUMN($E$5),4)&gt;0,INDEX('Surface DEET'!$Q$9:$W$38,COLUMN(AH285)-COLUMN($E$5),4),0),0)</f>
        <v>0</v>
      </c>
      <c r="AI292" s="250">
        <f>IF(AI$6=$C292,IF(INDEX('Surface DEET'!$Q$9:$W$38,COLUMN(AI285)-COLUMN($E$5),4)&gt;0,INDEX('Surface DEET'!$Q$9:$W$38,COLUMN(AI285)-COLUMN($E$5),4),0),0)</f>
        <v>0</v>
      </c>
    </row>
    <row r="293" spans="2:35">
      <c r="B293" s="250" t="s">
        <v>543</v>
      </c>
      <c r="C293" s="250" t="s">
        <v>661</v>
      </c>
    </row>
    <row r="294" spans="2:35">
      <c r="B294" s="250" t="s">
        <v>533</v>
      </c>
      <c r="C294" s="250" t="s">
        <v>661</v>
      </c>
      <c r="D294" s="250" t="s">
        <v>533</v>
      </c>
      <c r="F294" s="250">
        <f>$E$288*(1+2*F291/$E$291+F292/$E$292)</f>
        <v>20</v>
      </c>
      <c r="G294" s="250">
        <f t="shared" ref="G294:AI294" si="35">$E$288*(1+2*G291/$E$291+G292/$E$292)</f>
        <v>20</v>
      </c>
      <c r="H294" s="250">
        <f t="shared" si="35"/>
        <v>20</v>
      </c>
      <c r="I294" s="250">
        <f t="shared" si="35"/>
        <v>20</v>
      </c>
      <c r="J294" s="250">
        <f t="shared" si="35"/>
        <v>20</v>
      </c>
      <c r="K294" s="250">
        <f t="shared" si="35"/>
        <v>20</v>
      </c>
      <c r="L294" s="250">
        <f t="shared" si="35"/>
        <v>20</v>
      </c>
      <c r="M294" s="250">
        <f t="shared" si="35"/>
        <v>20</v>
      </c>
      <c r="N294" s="250">
        <f t="shared" si="35"/>
        <v>20</v>
      </c>
      <c r="O294" s="250">
        <f t="shared" si="35"/>
        <v>20</v>
      </c>
      <c r="P294" s="250">
        <f t="shared" si="35"/>
        <v>20</v>
      </c>
      <c r="Q294" s="250">
        <f t="shared" si="35"/>
        <v>20</v>
      </c>
      <c r="R294" s="250">
        <f t="shared" si="35"/>
        <v>20</v>
      </c>
      <c r="S294" s="250">
        <f t="shared" si="35"/>
        <v>20</v>
      </c>
      <c r="T294" s="250">
        <f t="shared" si="35"/>
        <v>20</v>
      </c>
      <c r="U294" s="250">
        <f t="shared" si="35"/>
        <v>20</v>
      </c>
      <c r="V294" s="250">
        <f t="shared" si="35"/>
        <v>20</v>
      </c>
      <c r="W294" s="250">
        <f t="shared" si="35"/>
        <v>20</v>
      </c>
      <c r="X294" s="250">
        <f t="shared" si="35"/>
        <v>20</v>
      </c>
      <c r="Y294" s="250">
        <f t="shared" si="35"/>
        <v>20</v>
      </c>
      <c r="Z294" s="250">
        <f t="shared" si="35"/>
        <v>20</v>
      </c>
      <c r="AA294" s="250">
        <f t="shared" si="35"/>
        <v>20</v>
      </c>
      <c r="AB294" s="250">
        <f t="shared" si="35"/>
        <v>20</v>
      </c>
      <c r="AC294" s="250">
        <f t="shared" si="35"/>
        <v>20</v>
      </c>
      <c r="AD294" s="250">
        <f t="shared" si="35"/>
        <v>20</v>
      </c>
      <c r="AE294" s="250">
        <f t="shared" si="35"/>
        <v>20</v>
      </c>
      <c r="AF294" s="250">
        <f t="shared" si="35"/>
        <v>20</v>
      </c>
      <c r="AG294" s="250">
        <f t="shared" si="35"/>
        <v>20</v>
      </c>
      <c r="AH294" s="250">
        <f t="shared" si="35"/>
        <v>20</v>
      </c>
      <c r="AI294" s="250">
        <f t="shared" si="35"/>
        <v>20</v>
      </c>
    </row>
    <row r="295" spans="2:35">
      <c r="B295" s="88" t="s">
        <v>294</v>
      </c>
      <c r="C295" s="250" t="s">
        <v>662</v>
      </c>
      <c r="D295" s="88" t="s">
        <v>294</v>
      </c>
      <c r="E295" s="250">
        <f t="array" ref="E295">INDEX(CABS_CVC!$C$3:$O$894,MATCH(1, (CABS_CVC!$A$3:$A$894=Calculs_CABS!C295)*(CABS_CVC!$B$3:$B$894=Calculs_CABS!$D$2),0),MATCH(Calculs_CABS!$D$1,Liste_CABS!$B$3:$B$15,0))</f>
        <v>69</v>
      </c>
    </row>
    <row r="296" spans="2:35">
      <c r="B296" s="250" t="s">
        <v>534</v>
      </c>
      <c r="C296" s="250" t="s">
        <v>662</v>
      </c>
      <c r="D296" s="250" t="s">
        <v>534</v>
      </c>
      <c r="E296" s="250">
        <v>15</v>
      </c>
    </row>
    <row r="297" spans="2:35">
      <c r="B297" s="250" t="s">
        <v>535</v>
      </c>
      <c r="C297" s="250" t="s">
        <v>662</v>
      </c>
      <c r="D297" s="250" t="s">
        <v>535</v>
      </c>
      <c r="E297" s="250">
        <f>E295+E296</f>
        <v>84</v>
      </c>
    </row>
    <row r="298" spans="2:35">
      <c r="B298" s="250" t="s">
        <v>536</v>
      </c>
      <c r="C298" s="250" t="s">
        <v>662</v>
      </c>
      <c r="D298" s="250" t="s">
        <v>536</v>
      </c>
      <c r="E298" s="250">
        <v>0</v>
      </c>
    </row>
    <row r="299" spans="2:35">
      <c r="B299" s="250" t="s">
        <v>537</v>
      </c>
      <c r="C299" s="250" t="s">
        <v>662</v>
      </c>
      <c r="D299" s="250" t="s">
        <v>659</v>
      </c>
      <c r="E299" s="250">
        <v>1900</v>
      </c>
      <c r="F299" s="250">
        <f>IF(F$6=$C299,IF(INDEX('Surface DEET'!$Q$9:$W$38,COLUMN(F292)-COLUMN($E$5),1)&gt;0,INDEX('Surface DEET'!$Q$9:$W$38,COLUMN(F292)-COLUMN($E$5),1),0),0)</f>
        <v>0</v>
      </c>
      <c r="G299" s="250">
        <f>IF(G$6=$C299,IF(INDEX('Surface DEET'!$Q$9:$W$38,COLUMN(G292)-COLUMN($E$5),1)&gt;0,INDEX('Surface DEET'!$Q$9:$W$38,COLUMN(G292)-COLUMN($E$5),1),0),0)</f>
        <v>0</v>
      </c>
      <c r="H299" s="250">
        <f>IF(H$6=$C299,IF(INDEX('Surface DEET'!$Q$9:$W$38,COLUMN(H292)-COLUMN($E$5),1)&gt;0,INDEX('Surface DEET'!$Q$9:$W$38,COLUMN(H292)-COLUMN($E$5),1),0),0)</f>
        <v>0</v>
      </c>
      <c r="I299" s="250">
        <f>IF(I$6=$C299,IF(INDEX('Surface DEET'!$Q$9:$W$38,COLUMN(I292)-COLUMN($E$5),1)&gt;0,INDEX('Surface DEET'!$Q$9:$W$38,COLUMN(I292)-COLUMN($E$5),1),0),0)</f>
        <v>0</v>
      </c>
      <c r="J299" s="250">
        <f>IF(J$6=$C299,IF(INDEX('Surface DEET'!$Q$9:$W$38,COLUMN(J292)-COLUMN($E$5),1)&gt;0,INDEX('Surface DEET'!$Q$9:$W$38,COLUMN(J292)-COLUMN($E$5),1),0),0)</f>
        <v>0</v>
      </c>
      <c r="K299" s="250">
        <f>IF(K$6=$C299,IF(INDEX('Surface DEET'!$Q$9:$W$38,COLUMN(K292)-COLUMN($E$5),1)&gt;0,INDEX('Surface DEET'!$Q$9:$W$38,COLUMN(K292)-COLUMN($E$5),1),0),0)</f>
        <v>0</v>
      </c>
      <c r="L299" s="250">
        <f>IF(L$6=$C299,IF(INDEX('Surface DEET'!$Q$9:$W$38,COLUMN(L292)-COLUMN($E$5),1)&gt;0,INDEX('Surface DEET'!$Q$9:$W$38,COLUMN(L292)-COLUMN($E$5),1),0),0)</f>
        <v>0</v>
      </c>
      <c r="M299" s="250">
        <f>IF(M$6=$C299,IF(INDEX('Surface DEET'!$Q$9:$W$38,COLUMN(M292)-COLUMN($E$5),1)&gt;0,INDEX('Surface DEET'!$Q$9:$W$38,COLUMN(M292)-COLUMN($E$5),1),0),0)</f>
        <v>0</v>
      </c>
      <c r="N299" s="250">
        <f>IF(N$6=$C299,IF(INDEX('Surface DEET'!$Q$9:$W$38,COLUMN(N292)-COLUMN($E$5),1)&gt;0,INDEX('Surface DEET'!$Q$9:$W$38,COLUMN(N292)-COLUMN($E$5),1),0),0)</f>
        <v>0</v>
      </c>
      <c r="O299" s="250">
        <f>IF(O$6=$C299,IF(INDEX('Surface DEET'!$Q$9:$W$38,COLUMN(O292)-COLUMN($E$5),1)&gt;0,INDEX('Surface DEET'!$Q$9:$W$38,COLUMN(O292)-COLUMN($E$5),1),0),0)</f>
        <v>0</v>
      </c>
      <c r="P299" s="250">
        <f>IF(P$6=$C299,IF(INDEX('Surface DEET'!$Q$9:$W$38,COLUMN(P292)-COLUMN($E$5),1)&gt;0,INDEX('Surface DEET'!$Q$9:$W$38,COLUMN(P292)-COLUMN($E$5),1),0),0)</f>
        <v>0</v>
      </c>
      <c r="Q299" s="250">
        <f>IF(Q$6=$C299,IF(INDEX('Surface DEET'!$Q$9:$W$38,COLUMN(Q292)-COLUMN($E$5),1)&gt;0,INDEX('Surface DEET'!$Q$9:$W$38,COLUMN(Q292)-COLUMN($E$5),1),0),0)</f>
        <v>0</v>
      </c>
      <c r="R299" s="250">
        <f>IF(R$6=$C299,IF(INDEX('Surface DEET'!$Q$9:$W$38,COLUMN(R292)-COLUMN($E$5),1)&gt;0,INDEX('Surface DEET'!$Q$9:$W$38,COLUMN(R292)-COLUMN($E$5),1),0),0)</f>
        <v>0</v>
      </c>
      <c r="S299" s="250">
        <f>IF(S$6=$C299,IF(INDEX('Surface DEET'!$Q$9:$W$38,COLUMN(S292)-COLUMN($E$5),1)&gt;0,INDEX('Surface DEET'!$Q$9:$W$38,COLUMN(S292)-COLUMN($E$5),1),0),0)</f>
        <v>0</v>
      </c>
      <c r="T299" s="250">
        <f>IF(T$6=$C299,IF(INDEX('Surface DEET'!$Q$9:$W$38,COLUMN(T292)-COLUMN($E$5),1)&gt;0,INDEX('Surface DEET'!$Q$9:$W$38,COLUMN(T292)-COLUMN($E$5),1),0),0)</f>
        <v>0</v>
      </c>
      <c r="U299" s="250">
        <f>IF(U$6=$C299,IF(INDEX('Surface DEET'!$Q$9:$W$38,COLUMN(U292)-COLUMN($E$5),1)&gt;0,INDEX('Surface DEET'!$Q$9:$W$38,COLUMN(U292)-COLUMN($E$5),1),0),0)</f>
        <v>0</v>
      </c>
      <c r="V299" s="250">
        <f>IF(V$6=$C299,IF(INDEX('Surface DEET'!$Q$9:$W$38,COLUMN(V292)-COLUMN($E$5),1)&gt;0,INDEX('Surface DEET'!$Q$9:$W$38,COLUMN(V292)-COLUMN($E$5),1),0),0)</f>
        <v>0</v>
      </c>
      <c r="W299" s="250">
        <f>IF(W$6=$C299,IF(INDEX('Surface DEET'!$Q$9:$W$38,COLUMN(W292)-COLUMN($E$5),1)&gt;0,INDEX('Surface DEET'!$Q$9:$W$38,COLUMN(W292)-COLUMN($E$5),1),0),0)</f>
        <v>0</v>
      </c>
      <c r="X299" s="250">
        <f>IF(X$6=$C299,IF(INDEX('Surface DEET'!$Q$9:$W$38,COLUMN(X292)-COLUMN($E$5),1)&gt;0,INDEX('Surface DEET'!$Q$9:$W$38,COLUMN(X292)-COLUMN($E$5),1),0),0)</f>
        <v>0</v>
      </c>
      <c r="Y299" s="250">
        <f>IF(Y$6=$C299,IF(INDEX('Surface DEET'!$Q$9:$W$38,COLUMN(Y292)-COLUMN($E$5),1)&gt;0,INDEX('Surface DEET'!$Q$9:$W$38,COLUMN(Y292)-COLUMN($E$5),1),0),0)</f>
        <v>0</v>
      </c>
      <c r="Z299" s="250">
        <f>IF(Z$6=$C299,IF(INDEX('Surface DEET'!$Q$9:$W$38,COLUMN(Z292)-COLUMN($E$5),1)&gt;0,INDEX('Surface DEET'!$Q$9:$W$38,COLUMN(Z292)-COLUMN($E$5),1),0),0)</f>
        <v>0</v>
      </c>
      <c r="AA299" s="250">
        <f>IF(AA$6=$C299,IF(INDEX('Surface DEET'!$Q$9:$W$38,COLUMN(AA292)-COLUMN($E$5),1)&gt;0,INDEX('Surface DEET'!$Q$9:$W$38,COLUMN(AA292)-COLUMN($E$5),1),0),0)</f>
        <v>0</v>
      </c>
      <c r="AB299" s="250">
        <f>IF(AB$6=$C299,IF(INDEX('Surface DEET'!$Q$9:$W$38,COLUMN(AB292)-COLUMN($E$5),1)&gt;0,INDEX('Surface DEET'!$Q$9:$W$38,COLUMN(AB292)-COLUMN($E$5),1),0),0)</f>
        <v>0</v>
      </c>
      <c r="AC299" s="250">
        <f>IF(AC$6=$C299,IF(INDEX('Surface DEET'!$Q$9:$W$38,COLUMN(AC292)-COLUMN($E$5),1)&gt;0,INDEX('Surface DEET'!$Q$9:$W$38,COLUMN(AC292)-COLUMN($E$5),1),0),0)</f>
        <v>0</v>
      </c>
      <c r="AD299" s="250">
        <f>IF(AD$6=$C299,IF(INDEX('Surface DEET'!$Q$9:$W$38,COLUMN(AD292)-COLUMN($E$5),1)&gt;0,INDEX('Surface DEET'!$Q$9:$W$38,COLUMN(AD292)-COLUMN($E$5),1),0),0)</f>
        <v>0</v>
      </c>
      <c r="AE299" s="250">
        <f>IF(AE$6=$C299,IF(INDEX('Surface DEET'!$Q$9:$W$38,COLUMN(AE292)-COLUMN($E$5),1)&gt;0,INDEX('Surface DEET'!$Q$9:$W$38,COLUMN(AE292)-COLUMN($E$5),1),0),0)</f>
        <v>0</v>
      </c>
      <c r="AF299" s="250">
        <f>IF(AF$6=$C299,IF(INDEX('Surface DEET'!$Q$9:$W$38,COLUMN(AF292)-COLUMN($E$5),1)&gt;0,INDEX('Surface DEET'!$Q$9:$W$38,COLUMN(AF292)-COLUMN($E$5),1),0),0)</f>
        <v>0</v>
      </c>
      <c r="AG299" s="250">
        <f>IF(AG$6=$C299,IF(INDEX('Surface DEET'!$Q$9:$W$38,COLUMN(AG292)-COLUMN($E$5),1)&gt;0,INDEX('Surface DEET'!$Q$9:$W$38,COLUMN(AG292)-COLUMN($E$5),1),0),0)</f>
        <v>0</v>
      </c>
      <c r="AH299" s="250">
        <f>IF(AH$6=$C299,IF(INDEX('Surface DEET'!$Q$9:$W$38,COLUMN(AH292)-COLUMN($E$5),1)&gt;0,INDEX('Surface DEET'!$Q$9:$W$38,COLUMN(AH292)-COLUMN($E$5),1),0),0)</f>
        <v>0</v>
      </c>
      <c r="AI299" s="250">
        <f>IF(AI$6=$C299,IF(INDEX('Surface DEET'!$Q$9:$W$38,COLUMN(AI292)-COLUMN($E$5),1)&gt;0,INDEX('Surface DEET'!$Q$9:$W$38,COLUMN(AI292)-COLUMN($E$5),1),0),0)</f>
        <v>0</v>
      </c>
    </row>
    <row r="300" spans="2:35">
      <c r="B300" s="250" t="s">
        <v>540</v>
      </c>
      <c r="C300" s="250" t="s">
        <v>662</v>
      </c>
      <c r="D300" s="250" t="s">
        <v>660</v>
      </c>
      <c r="E300" s="250">
        <v>1900</v>
      </c>
      <c r="F300" s="250">
        <f>IF(F$6=$C300,IF(INDEX('Surface DEET'!$Q$9:$W$38,COLUMN(F293)-COLUMN($E$5),4)&gt;0,INDEX('Surface DEET'!$Q$9:$W$38,COLUMN(F293)-COLUMN($E$5),4),0),0)</f>
        <v>0</v>
      </c>
      <c r="G300" s="250">
        <f>IF(G$6=$C300,IF(INDEX('Surface DEET'!$Q$9:$W$38,COLUMN(G293)-COLUMN($E$5),4)&gt;0,INDEX('Surface DEET'!$Q$9:$W$38,COLUMN(G293)-COLUMN($E$5),4),0),0)</f>
        <v>0</v>
      </c>
      <c r="H300" s="250">
        <f>IF(H$6=$C300,IF(INDEX('Surface DEET'!$Q$9:$W$38,COLUMN(H293)-COLUMN($E$5),4)&gt;0,INDEX('Surface DEET'!$Q$9:$W$38,COLUMN(H293)-COLUMN($E$5),4),0),0)</f>
        <v>0</v>
      </c>
      <c r="I300" s="250">
        <f>IF(I$6=$C300,IF(INDEX('Surface DEET'!$Q$9:$W$38,COLUMN(I293)-COLUMN($E$5),4)&gt;0,INDEX('Surface DEET'!$Q$9:$W$38,COLUMN(I293)-COLUMN($E$5),4),0),0)</f>
        <v>0</v>
      </c>
      <c r="J300" s="250">
        <f>IF(J$6=$C300,IF(INDEX('Surface DEET'!$Q$9:$W$38,COLUMN(J293)-COLUMN($E$5),4)&gt;0,INDEX('Surface DEET'!$Q$9:$W$38,COLUMN(J293)-COLUMN($E$5),4),0),0)</f>
        <v>0</v>
      </c>
      <c r="K300" s="250">
        <f>IF(K$6=$C300,IF(INDEX('Surface DEET'!$Q$9:$W$38,COLUMN(K293)-COLUMN($E$5),4)&gt;0,INDEX('Surface DEET'!$Q$9:$W$38,COLUMN(K293)-COLUMN($E$5),4),0),0)</f>
        <v>0</v>
      </c>
      <c r="L300" s="250">
        <f>IF(L$6=$C300,IF(INDEX('Surface DEET'!$Q$9:$W$38,COLUMN(L293)-COLUMN($E$5),4)&gt;0,INDEX('Surface DEET'!$Q$9:$W$38,COLUMN(L293)-COLUMN($E$5),4),0),0)</f>
        <v>0</v>
      </c>
      <c r="M300" s="250">
        <f>IF(M$6=$C300,IF(INDEX('Surface DEET'!$Q$9:$W$38,COLUMN(M293)-COLUMN($E$5),4)&gt;0,INDEX('Surface DEET'!$Q$9:$W$38,COLUMN(M293)-COLUMN($E$5),4),0),0)</f>
        <v>0</v>
      </c>
      <c r="N300" s="250">
        <f>IF(N$6=$C300,IF(INDEX('Surface DEET'!$Q$9:$W$38,COLUMN(N293)-COLUMN($E$5),4)&gt;0,INDEX('Surface DEET'!$Q$9:$W$38,COLUMN(N293)-COLUMN($E$5),4),0),0)</f>
        <v>0</v>
      </c>
      <c r="O300" s="250">
        <f>IF(O$6=$C300,IF(INDEX('Surface DEET'!$Q$9:$W$38,COLUMN(O293)-COLUMN($E$5),4)&gt;0,INDEX('Surface DEET'!$Q$9:$W$38,COLUMN(O293)-COLUMN($E$5),4),0),0)</f>
        <v>0</v>
      </c>
      <c r="P300" s="250">
        <f>IF(P$6=$C300,IF(INDEX('Surface DEET'!$Q$9:$W$38,COLUMN(P293)-COLUMN($E$5),4)&gt;0,INDEX('Surface DEET'!$Q$9:$W$38,COLUMN(P293)-COLUMN($E$5),4),0),0)</f>
        <v>0</v>
      </c>
      <c r="Q300" s="250">
        <f>IF(Q$6=$C300,IF(INDEX('Surface DEET'!$Q$9:$W$38,COLUMN(Q293)-COLUMN($E$5),4)&gt;0,INDEX('Surface DEET'!$Q$9:$W$38,COLUMN(Q293)-COLUMN($E$5),4),0),0)</f>
        <v>0</v>
      </c>
      <c r="R300" s="250">
        <f>IF(R$6=$C300,IF(INDEX('Surface DEET'!$Q$9:$W$38,COLUMN(R293)-COLUMN($E$5),4)&gt;0,INDEX('Surface DEET'!$Q$9:$W$38,COLUMN(R293)-COLUMN($E$5),4),0),0)</f>
        <v>0</v>
      </c>
      <c r="S300" s="250">
        <f>IF(S$6=$C300,IF(INDEX('Surface DEET'!$Q$9:$W$38,COLUMN(S293)-COLUMN($E$5),4)&gt;0,INDEX('Surface DEET'!$Q$9:$W$38,COLUMN(S293)-COLUMN($E$5),4),0),0)</f>
        <v>0</v>
      </c>
      <c r="T300" s="250">
        <f>IF(T$6=$C300,IF(INDEX('Surface DEET'!$Q$9:$W$38,COLUMN(T293)-COLUMN($E$5),4)&gt;0,INDEX('Surface DEET'!$Q$9:$W$38,COLUMN(T293)-COLUMN($E$5),4),0),0)</f>
        <v>0</v>
      </c>
      <c r="U300" s="250">
        <f>IF(U$6=$C300,IF(INDEX('Surface DEET'!$Q$9:$W$38,COLUMN(U293)-COLUMN($E$5),4)&gt;0,INDEX('Surface DEET'!$Q$9:$W$38,COLUMN(U293)-COLUMN($E$5),4),0),0)</f>
        <v>0</v>
      </c>
      <c r="V300" s="250">
        <f>IF(V$6=$C300,IF(INDEX('Surface DEET'!$Q$9:$W$38,COLUMN(V293)-COLUMN($E$5),4)&gt;0,INDEX('Surface DEET'!$Q$9:$W$38,COLUMN(V293)-COLUMN($E$5),4),0),0)</f>
        <v>0</v>
      </c>
      <c r="W300" s="250">
        <f>IF(W$6=$C300,IF(INDEX('Surface DEET'!$Q$9:$W$38,COLUMN(W293)-COLUMN($E$5),4)&gt;0,INDEX('Surface DEET'!$Q$9:$W$38,COLUMN(W293)-COLUMN($E$5),4),0),0)</f>
        <v>0</v>
      </c>
      <c r="X300" s="250">
        <f>IF(X$6=$C300,IF(INDEX('Surface DEET'!$Q$9:$W$38,COLUMN(X293)-COLUMN($E$5),4)&gt;0,INDEX('Surface DEET'!$Q$9:$W$38,COLUMN(X293)-COLUMN($E$5),4),0),0)</f>
        <v>0</v>
      </c>
      <c r="Y300" s="250">
        <f>IF(Y$6=$C300,IF(INDEX('Surface DEET'!$Q$9:$W$38,COLUMN(Y293)-COLUMN($E$5),4)&gt;0,INDEX('Surface DEET'!$Q$9:$W$38,COLUMN(Y293)-COLUMN($E$5),4),0),0)</f>
        <v>0</v>
      </c>
      <c r="Z300" s="250">
        <f>IF(Z$6=$C300,IF(INDEX('Surface DEET'!$Q$9:$W$38,COLUMN(Z293)-COLUMN($E$5),4)&gt;0,INDEX('Surface DEET'!$Q$9:$W$38,COLUMN(Z293)-COLUMN($E$5),4),0),0)</f>
        <v>0</v>
      </c>
      <c r="AA300" s="250">
        <f>IF(AA$6=$C300,IF(INDEX('Surface DEET'!$Q$9:$W$38,COLUMN(AA293)-COLUMN($E$5),4)&gt;0,INDEX('Surface DEET'!$Q$9:$W$38,COLUMN(AA293)-COLUMN($E$5),4),0),0)</f>
        <v>0</v>
      </c>
      <c r="AB300" s="250">
        <f>IF(AB$6=$C300,IF(INDEX('Surface DEET'!$Q$9:$W$38,COLUMN(AB293)-COLUMN($E$5),4)&gt;0,INDEX('Surface DEET'!$Q$9:$W$38,COLUMN(AB293)-COLUMN($E$5),4),0),0)</f>
        <v>0</v>
      </c>
      <c r="AC300" s="250">
        <f>IF(AC$6=$C300,IF(INDEX('Surface DEET'!$Q$9:$W$38,COLUMN(AC293)-COLUMN($E$5),4)&gt;0,INDEX('Surface DEET'!$Q$9:$W$38,COLUMN(AC293)-COLUMN($E$5),4),0),0)</f>
        <v>0</v>
      </c>
      <c r="AD300" s="250">
        <f>IF(AD$6=$C300,IF(INDEX('Surface DEET'!$Q$9:$W$38,COLUMN(AD293)-COLUMN($E$5),4)&gt;0,INDEX('Surface DEET'!$Q$9:$W$38,COLUMN(AD293)-COLUMN($E$5),4),0),0)</f>
        <v>0</v>
      </c>
      <c r="AE300" s="250">
        <f>IF(AE$6=$C300,IF(INDEX('Surface DEET'!$Q$9:$W$38,COLUMN(AE293)-COLUMN($E$5),4)&gt;0,INDEX('Surface DEET'!$Q$9:$W$38,COLUMN(AE293)-COLUMN($E$5),4),0),0)</f>
        <v>0</v>
      </c>
      <c r="AF300" s="250">
        <f>IF(AF$6=$C300,IF(INDEX('Surface DEET'!$Q$9:$W$38,COLUMN(AF293)-COLUMN($E$5),4)&gt;0,INDEX('Surface DEET'!$Q$9:$W$38,COLUMN(AF293)-COLUMN($E$5),4),0),0)</f>
        <v>0</v>
      </c>
      <c r="AG300" s="250">
        <f>IF(AG$6=$C300,IF(INDEX('Surface DEET'!$Q$9:$W$38,COLUMN(AG293)-COLUMN($E$5),4)&gt;0,INDEX('Surface DEET'!$Q$9:$W$38,COLUMN(AG293)-COLUMN($E$5),4),0),0)</f>
        <v>0</v>
      </c>
      <c r="AH300" s="250">
        <f>IF(AH$6=$C300,IF(INDEX('Surface DEET'!$Q$9:$W$38,COLUMN(AH293)-COLUMN($E$5),4)&gt;0,INDEX('Surface DEET'!$Q$9:$W$38,COLUMN(AH293)-COLUMN($E$5),4),0),0)</f>
        <v>0</v>
      </c>
      <c r="AI300" s="250">
        <f>IF(AI$6=$C300,IF(INDEX('Surface DEET'!$Q$9:$W$38,COLUMN(AI293)-COLUMN($E$5),4)&gt;0,INDEX('Surface DEET'!$Q$9:$W$38,COLUMN(AI293)-COLUMN($E$5),4),0),0)</f>
        <v>0</v>
      </c>
    </row>
    <row r="301" spans="2:35">
      <c r="B301" s="250" t="s">
        <v>543</v>
      </c>
      <c r="C301" s="250" t="s">
        <v>662</v>
      </c>
    </row>
    <row r="302" spans="2:35">
      <c r="B302" s="250" t="s">
        <v>533</v>
      </c>
      <c r="C302" s="250" t="s">
        <v>662</v>
      </c>
      <c r="D302" s="250" t="s">
        <v>533</v>
      </c>
      <c r="F302" s="250">
        <f>$E$296*(1+2*F299/$E$299+F300/$E$300)</f>
        <v>15</v>
      </c>
      <c r="G302" s="250">
        <f t="shared" ref="G302:AI302" si="36">$E$296*(1+2*G299/$E$299+G300/$E$300)</f>
        <v>15</v>
      </c>
      <c r="H302" s="250">
        <f t="shared" si="36"/>
        <v>15</v>
      </c>
      <c r="I302" s="250">
        <f t="shared" si="36"/>
        <v>15</v>
      </c>
      <c r="J302" s="250">
        <f t="shared" si="36"/>
        <v>15</v>
      </c>
      <c r="K302" s="250">
        <f t="shared" si="36"/>
        <v>15</v>
      </c>
      <c r="L302" s="250">
        <f t="shared" si="36"/>
        <v>15</v>
      </c>
      <c r="M302" s="250">
        <f t="shared" si="36"/>
        <v>15</v>
      </c>
      <c r="N302" s="250">
        <f t="shared" si="36"/>
        <v>15</v>
      </c>
      <c r="O302" s="250">
        <f t="shared" si="36"/>
        <v>15</v>
      </c>
      <c r="P302" s="250">
        <f t="shared" si="36"/>
        <v>15</v>
      </c>
      <c r="Q302" s="250">
        <f t="shared" si="36"/>
        <v>15</v>
      </c>
      <c r="R302" s="250">
        <f t="shared" si="36"/>
        <v>15</v>
      </c>
      <c r="S302" s="250">
        <f t="shared" si="36"/>
        <v>15</v>
      </c>
      <c r="T302" s="250">
        <f t="shared" si="36"/>
        <v>15</v>
      </c>
      <c r="U302" s="250">
        <f t="shared" si="36"/>
        <v>15</v>
      </c>
      <c r="V302" s="250">
        <f t="shared" si="36"/>
        <v>15</v>
      </c>
      <c r="W302" s="250">
        <f t="shared" si="36"/>
        <v>15</v>
      </c>
      <c r="X302" s="250">
        <f t="shared" si="36"/>
        <v>15</v>
      </c>
      <c r="Y302" s="250">
        <f t="shared" si="36"/>
        <v>15</v>
      </c>
      <c r="Z302" s="250">
        <f t="shared" si="36"/>
        <v>15</v>
      </c>
      <c r="AA302" s="250">
        <f t="shared" si="36"/>
        <v>15</v>
      </c>
      <c r="AB302" s="250">
        <f t="shared" si="36"/>
        <v>15</v>
      </c>
      <c r="AC302" s="250">
        <f t="shared" si="36"/>
        <v>15</v>
      </c>
      <c r="AD302" s="250">
        <f t="shared" si="36"/>
        <v>15</v>
      </c>
      <c r="AE302" s="250">
        <f t="shared" si="36"/>
        <v>15</v>
      </c>
      <c r="AF302" s="250">
        <f t="shared" si="36"/>
        <v>15</v>
      </c>
      <c r="AG302" s="250">
        <f t="shared" si="36"/>
        <v>15</v>
      </c>
      <c r="AH302" s="250">
        <f t="shared" si="36"/>
        <v>15</v>
      </c>
      <c r="AI302" s="250">
        <f t="shared" si="36"/>
        <v>15</v>
      </c>
    </row>
    <row r="303" spans="2:35">
      <c r="B303" s="88" t="s">
        <v>294</v>
      </c>
      <c r="C303" s="250" t="s">
        <v>663</v>
      </c>
      <c r="D303" s="88" t="s">
        <v>294</v>
      </c>
      <c r="E303" s="250">
        <f t="array" ref="E303">INDEX(CABS_CVC!$C$3:$O$894,MATCH(1, (CABS_CVC!$A$3:$A$894=Calculs_CABS!C303)*(CABS_CVC!$B$3:$B$894=Calculs_CABS!$D$2),0),MATCH(Calculs_CABS!$D$1,Liste_CABS!$B$3:$B$15,0))</f>
        <v>69</v>
      </c>
    </row>
    <row r="304" spans="2:35">
      <c r="B304" s="250" t="s">
        <v>534</v>
      </c>
      <c r="C304" s="250" t="s">
        <v>663</v>
      </c>
      <c r="D304" s="250" t="s">
        <v>534</v>
      </c>
      <c r="E304" s="250">
        <v>20</v>
      </c>
    </row>
    <row r="305" spans="2:35">
      <c r="B305" s="250" t="s">
        <v>535</v>
      </c>
      <c r="C305" s="250" t="s">
        <v>663</v>
      </c>
      <c r="D305" s="250" t="s">
        <v>535</v>
      </c>
      <c r="E305" s="250">
        <f>E303+E304</f>
        <v>89</v>
      </c>
    </row>
    <row r="306" spans="2:35">
      <c r="B306" s="250" t="s">
        <v>536</v>
      </c>
      <c r="C306" s="250" t="s">
        <v>663</v>
      </c>
      <c r="D306" s="250" t="s">
        <v>536</v>
      </c>
      <c r="E306" s="250">
        <v>0</v>
      </c>
    </row>
    <row r="307" spans="2:35">
      <c r="B307" s="250" t="s">
        <v>537</v>
      </c>
      <c r="C307" s="250" t="s">
        <v>663</v>
      </c>
      <c r="D307" s="250" t="s">
        <v>659</v>
      </c>
      <c r="E307" s="250">
        <v>4560</v>
      </c>
      <c r="F307" s="250">
        <f>IF(F$6=$C307,IF(INDEX('Surface DEET'!$Q$9:$W$38,COLUMN(F300)-COLUMN($E$5),1)&gt;0,INDEX('Surface DEET'!$Q$9:$W$38,COLUMN(F300)-COLUMN($E$5),1),0),0)</f>
        <v>0</v>
      </c>
      <c r="G307" s="250">
        <f>IF(G$6=$C307,IF(INDEX('Surface DEET'!$Q$9:$W$38,COLUMN(G300)-COLUMN($E$5),1)&gt;0,INDEX('Surface DEET'!$Q$9:$W$38,COLUMN(G300)-COLUMN($E$5),1),0),0)</f>
        <v>0</v>
      </c>
      <c r="H307" s="250">
        <f>IF(H$6=$C307,IF(INDEX('Surface DEET'!$Q$9:$W$38,COLUMN(H300)-COLUMN($E$5),1)&gt;0,INDEX('Surface DEET'!$Q$9:$W$38,COLUMN(H300)-COLUMN($E$5),1),0),0)</f>
        <v>0</v>
      </c>
      <c r="I307" s="250">
        <f>IF(I$6=$C307,IF(INDEX('Surface DEET'!$Q$9:$W$38,COLUMN(I300)-COLUMN($E$5),1)&gt;0,INDEX('Surface DEET'!$Q$9:$W$38,COLUMN(I300)-COLUMN($E$5),1),0),0)</f>
        <v>0</v>
      </c>
      <c r="J307" s="250">
        <f>IF(J$6=$C307,IF(INDEX('Surface DEET'!$Q$9:$W$38,COLUMN(J300)-COLUMN($E$5),1)&gt;0,INDEX('Surface DEET'!$Q$9:$W$38,COLUMN(J300)-COLUMN($E$5),1),0),0)</f>
        <v>0</v>
      </c>
      <c r="K307" s="250">
        <f>IF(K$6=$C307,IF(INDEX('Surface DEET'!$Q$9:$W$38,COLUMN(K300)-COLUMN($E$5),1)&gt;0,INDEX('Surface DEET'!$Q$9:$W$38,COLUMN(K300)-COLUMN($E$5),1),0),0)</f>
        <v>0</v>
      </c>
      <c r="L307" s="250">
        <f>IF(L$6=$C307,IF(INDEX('Surface DEET'!$Q$9:$W$38,COLUMN(L300)-COLUMN($E$5),1)&gt;0,INDEX('Surface DEET'!$Q$9:$W$38,COLUMN(L300)-COLUMN($E$5),1),0),0)</f>
        <v>0</v>
      </c>
      <c r="M307" s="250">
        <f>IF(M$6=$C307,IF(INDEX('Surface DEET'!$Q$9:$W$38,COLUMN(M300)-COLUMN($E$5),1)&gt;0,INDEX('Surface DEET'!$Q$9:$W$38,COLUMN(M300)-COLUMN($E$5),1),0),0)</f>
        <v>0</v>
      </c>
      <c r="N307" s="250">
        <f>IF(N$6=$C307,IF(INDEX('Surface DEET'!$Q$9:$W$38,COLUMN(N300)-COLUMN($E$5),1)&gt;0,INDEX('Surface DEET'!$Q$9:$W$38,COLUMN(N300)-COLUMN($E$5),1),0),0)</f>
        <v>0</v>
      </c>
      <c r="O307" s="250">
        <f>IF(O$6=$C307,IF(INDEX('Surface DEET'!$Q$9:$W$38,COLUMN(O300)-COLUMN($E$5),1)&gt;0,INDEX('Surface DEET'!$Q$9:$W$38,COLUMN(O300)-COLUMN($E$5),1),0),0)</f>
        <v>0</v>
      </c>
      <c r="P307" s="250">
        <f>IF(P$6=$C307,IF(INDEX('Surface DEET'!$Q$9:$W$38,COLUMN(P300)-COLUMN($E$5),1)&gt;0,INDEX('Surface DEET'!$Q$9:$W$38,COLUMN(P300)-COLUMN($E$5),1),0),0)</f>
        <v>0</v>
      </c>
      <c r="Q307" s="250">
        <f>IF(Q$6=$C307,IF(INDEX('Surface DEET'!$Q$9:$W$38,COLUMN(Q300)-COLUMN($E$5),1)&gt;0,INDEX('Surface DEET'!$Q$9:$W$38,COLUMN(Q300)-COLUMN($E$5),1),0),0)</f>
        <v>0</v>
      </c>
      <c r="R307" s="250">
        <f>IF(R$6=$C307,IF(INDEX('Surface DEET'!$Q$9:$W$38,COLUMN(R300)-COLUMN($E$5),1)&gt;0,INDEX('Surface DEET'!$Q$9:$W$38,COLUMN(R300)-COLUMN($E$5),1),0),0)</f>
        <v>0</v>
      </c>
      <c r="S307" s="250">
        <f>IF(S$6=$C307,IF(INDEX('Surface DEET'!$Q$9:$W$38,COLUMN(S300)-COLUMN($E$5),1)&gt;0,INDEX('Surface DEET'!$Q$9:$W$38,COLUMN(S300)-COLUMN($E$5),1),0),0)</f>
        <v>0</v>
      </c>
      <c r="T307" s="250">
        <f>IF(T$6=$C307,IF(INDEX('Surface DEET'!$Q$9:$W$38,COLUMN(T300)-COLUMN($E$5),1)&gt;0,INDEX('Surface DEET'!$Q$9:$W$38,COLUMN(T300)-COLUMN($E$5),1),0),0)</f>
        <v>0</v>
      </c>
      <c r="U307" s="250">
        <f>IF(U$6=$C307,IF(INDEX('Surface DEET'!$Q$9:$W$38,COLUMN(U300)-COLUMN($E$5),1)&gt;0,INDEX('Surface DEET'!$Q$9:$W$38,COLUMN(U300)-COLUMN($E$5),1),0),0)</f>
        <v>0</v>
      </c>
      <c r="V307" s="250">
        <f>IF(V$6=$C307,IF(INDEX('Surface DEET'!$Q$9:$W$38,COLUMN(V300)-COLUMN($E$5),1)&gt;0,INDEX('Surface DEET'!$Q$9:$W$38,COLUMN(V300)-COLUMN($E$5),1),0),0)</f>
        <v>0</v>
      </c>
      <c r="W307" s="250">
        <f>IF(W$6=$C307,IF(INDEX('Surface DEET'!$Q$9:$W$38,COLUMN(W300)-COLUMN($E$5),1)&gt;0,INDEX('Surface DEET'!$Q$9:$W$38,COLUMN(W300)-COLUMN($E$5),1),0),0)</f>
        <v>0</v>
      </c>
      <c r="X307" s="250">
        <f>IF(X$6=$C307,IF(INDEX('Surface DEET'!$Q$9:$W$38,COLUMN(X300)-COLUMN($E$5),1)&gt;0,INDEX('Surface DEET'!$Q$9:$W$38,COLUMN(X300)-COLUMN($E$5),1),0),0)</f>
        <v>0</v>
      </c>
      <c r="Y307" s="250">
        <f>IF(Y$6=$C307,IF(INDEX('Surface DEET'!$Q$9:$W$38,COLUMN(Y300)-COLUMN($E$5),1)&gt;0,INDEX('Surface DEET'!$Q$9:$W$38,COLUMN(Y300)-COLUMN($E$5),1),0),0)</f>
        <v>0</v>
      </c>
      <c r="Z307" s="250">
        <f>IF(Z$6=$C307,IF(INDEX('Surface DEET'!$Q$9:$W$38,COLUMN(Z300)-COLUMN($E$5),1)&gt;0,INDEX('Surface DEET'!$Q$9:$W$38,COLUMN(Z300)-COLUMN($E$5),1),0),0)</f>
        <v>0</v>
      </c>
      <c r="AA307" s="250">
        <f>IF(AA$6=$C307,IF(INDEX('Surface DEET'!$Q$9:$W$38,COLUMN(AA300)-COLUMN($E$5),1)&gt;0,INDEX('Surface DEET'!$Q$9:$W$38,COLUMN(AA300)-COLUMN($E$5),1),0),0)</f>
        <v>0</v>
      </c>
      <c r="AB307" s="250">
        <f>IF(AB$6=$C307,IF(INDEX('Surface DEET'!$Q$9:$W$38,COLUMN(AB300)-COLUMN($E$5),1)&gt;0,INDEX('Surface DEET'!$Q$9:$W$38,COLUMN(AB300)-COLUMN($E$5),1),0),0)</f>
        <v>0</v>
      </c>
      <c r="AC307" s="250">
        <f>IF(AC$6=$C307,IF(INDEX('Surface DEET'!$Q$9:$W$38,COLUMN(AC300)-COLUMN($E$5),1)&gt;0,INDEX('Surface DEET'!$Q$9:$W$38,COLUMN(AC300)-COLUMN($E$5),1),0),0)</f>
        <v>0</v>
      </c>
      <c r="AD307" s="250">
        <f>IF(AD$6=$C307,IF(INDEX('Surface DEET'!$Q$9:$W$38,COLUMN(AD300)-COLUMN($E$5),1)&gt;0,INDEX('Surface DEET'!$Q$9:$W$38,COLUMN(AD300)-COLUMN($E$5),1),0),0)</f>
        <v>0</v>
      </c>
      <c r="AE307" s="250">
        <f>IF(AE$6=$C307,IF(INDEX('Surface DEET'!$Q$9:$W$38,COLUMN(AE300)-COLUMN($E$5),1)&gt;0,INDEX('Surface DEET'!$Q$9:$W$38,COLUMN(AE300)-COLUMN($E$5),1),0),0)</f>
        <v>0</v>
      </c>
      <c r="AF307" s="250">
        <f>IF(AF$6=$C307,IF(INDEX('Surface DEET'!$Q$9:$W$38,COLUMN(AF300)-COLUMN($E$5),1)&gt;0,INDEX('Surface DEET'!$Q$9:$W$38,COLUMN(AF300)-COLUMN($E$5),1),0),0)</f>
        <v>0</v>
      </c>
      <c r="AG307" s="250">
        <f>IF(AG$6=$C307,IF(INDEX('Surface DEET'!$Q$9:$W$38,COLUMN(AG300)-COLUMN($E$5),1)&gt;0,INDEX('Surface DEET'!$Q$9:$W$38,COLUMN(AG300)-COLUMN($E$5),1),0),0)</f>
        <v>0</v>
      </c>
      <c r="AH307" s="250">
        <f>IF(AH$6=$C307,IF(INDEX('Surface DEET'!$Q$9:$W$38,COLUMN(AH300)-COLUMN($E$5),1)&gt;0,INDEX('Surface DEET'!$Q$9:$W$38,COLUMN(AH300)-COLUMN($E$5),1),0),0)</f>
        <v>0</v>
      </c>
      <c r="AI307" s="250">
        <f>IF(AI$6=$C307,IF(INDEX('Surface DEET'!$Q$9:$W$38,COLUMN(AI300)-COLUMN($E$5),1)&gt;0,INDEX('Surface DEET'!$Q$9:$W$38,COLUMN(AI300)-COLUMN($E$5),1),0),0)</f>
        <v>0</v>
      </c>
    </row>
    <row r="308" spans="2:35">
      <c r="B308" s="250" t="s">
        <v>540</v>
      </c>
      <c r="C308" s="250" t="s">
        <v>663</v>
      </c>
      <c r="D308" s="250" t="s">
        <v>660</v>
      </c>
      <c r="E308" s="250">
        <v>4560</v>
      </c>
      <c r="F308" s="250">
        <f>IF(F$6=$C308,IF(INDEX('Surface DEET'!$Q$9:$W$38,COLUMN(F301)-COLUMN($E$5),4)&gt;0,INDEX('Surface DEET'!$Q$9:$W$38,COLUMN(F301)-COLUMN($E$5),4),0),0)</f>
        <v>0</v>
      </c>
      <c r="G308" s="250">
        <f>IF(G$6=$C308,IF(INDEX('Surface DEET'!$Q$9:$W$38,COLUMN(G301)-COLUMN($E$5),4)&gt;0,INDEX('Surface DEET'!$Q$9:$W$38,COLUMN(G301)-COLUMN($E$5),4),0),0)</f>
        <v>0</v>
      </c>
      <c r="H308" s="250">
        <f>IF(H$6=$C308,IF(INDEX('Surface DEET'!$Q$9:$W$38,COLUMN(H301)-COLUMN($E$5),4)&gt;0,INDEX('Surface DEET'!$Q$9:$W$38,COLUMN(H301)-COLUMN($E$5),4),0),0)</f>
        <v>0</v>
      </c>
      <c r="I308" s="250">
        <f>IF(I$6=$C308,IF(INDEX('Surface DEET'!$Q$9:$W$38,COLUMN(I301)-COLUMN($E$5),4)&gt;0,INDEX('Surface DEET'!$Q$9:$W$38,COLUMN(I301)-COLUMN($E$5),4),0),0)</f>
        <v>0</v>
      </c>
      <c r="J308" s="250">
        <f>IF(J$6=$C308,IF(INDEX('Surface DEET'!$Q$9:$W$38,COLUMN(J301)-COLUMN($E$5),4)&gt;0,INDEX('Surface DEET'!$Q$9:$W$38,COLUMN(J301)-COLUMN($E$5),4),0),0)</f>
        <v>0</v>
      </c>
      <c r="K308" s="250">
        <f>IF(K$6=$C308,IF(INDEX('Surface DEET'!$Q$9:$W$38,COLUMN(K301)-COLUMN($E$5),4)&gt;0,INDEX('Surface DEET'!$Q$9:$W$38,COLUMN(K301)-COLUMN($E$5),4),0),0)</f>
        <v>0</v>
      </c>
      <c r="L308" s="250">
        <f>IF(L$6=$C308,IF(INDEX('Surface DEET'!$Q$9:$W$38,COLUMN(L301)-COLUMN($E$5),4)&gt;0,INDEX('Surface DEET'!$Q$9:$W$38,COLUMN(L301)-COLUMN($E$5),4),0),0)</f>
        <v>0</v>
      </c>
      <c r="M308" s="250">
        <f>IF(M$6=$C308,IF(INDEX('Surface DEET'!$Q$9:$W$38,COLUMN(M301)-COLUMN($E$5),4)&gt;0,INDEX('Surface DEET'!$Q$9:$W$38,COLUMN(M301)-COLUMN($E$5),4),0),0)</f>
        <v>0</v>
      </c>
      <c r="N308" s="250">
        <f>IF(N$6=$C308,IF(INDEX('Surface DEET'!$Q$9:$W$38,COLUMN(N301)-COLUMN($E$5),4)&gt;0,INDEX('Surface DEET'!$Q$9:$W$38,COLUMN(N301)-COLUMN($E$5),4),0),0)</f>
        <v>0</v>
      </c>
      <c r="O308" s="250">
        <f>IF(O$6=$C308,IF(INDEX('Surface DEET'!$Q$9:$W$38,COLUMN(O301)-COLUMN($E$5),4)&gt;0,INDEX('Surface DEET'!$Q$9:$W$38,COLUMN(O301)-COLUMN($E$5),4),0),0)</f>
        <v>0</v>
      </c>
      <c r="P308" s="250">
        <f>IF(P$6=$C308,IF(INDEX('Surface DEET'!$Q$9:$W$38,COLUMN(P301)-COLUMN($E$5),4)&gt;0,INDEX('Surface DEET'!$Q$9:$W$38,COLUMN(P301)-COLUMN($E$5),4),0),0)</f>
        <v>0</v>
      </c>
      <c r="Q308" s="250">
        <f>IF(Q$6=$C308,IF(INDEX('Surface DEET'!$Q$9:$W$38,COLUMN(Q301)-COLUMN($E$5),4)&gt;0,INDEX('Surface DEET'!$Q$9:$W$38,COLUMN(Q301)-COLUMN($E$5),4),0),0)</f>
        <v>0</v>
      </c>
      <c r="R308" s="250">
        <f>IF(R$6=$C308,IF(INDEX('Surface DEET'!$Q$9:$W$38,COLUMN(R301)-COLUMN($E$5),4)&gt;0,INDEX('Surface DEET'!$Q$9:$W$38,COLUMN(R301)-COLUMN($E$5),4),0),0)</f>
        <v>0</v>
      </c>
      <c r="S308" s="250">
        <f>IF(S$6=$C308,IF(INDEX('Surface DEET'!$Q$9:$W$38,COLUMN(S301)-COLUMN($E$5),4)&gt;0,INDEX('Surface DEET'!$Q$9:$W$38,COLUMN(S301)-COLUMN($E$5),4),0),0)</f>
        <v>0</v>
      </c>
      <c r="T308" s="250">
        <f>IF(T$6=$C308,IF(INDEX('Surface DEET'!$Q$9:$W$38,COLUMN(T301)-COLUMN($E$5),4)&gt;0,INDEX('Surface DEET'!$Q$9:$W$38,COLUMN(T301)-COLUMN($E$5),4),0),0)</f>
        <v>0</v>
      </c>
      <c r="U308" s="250">
        <f>IF(U$6=$C308,IF(INDEX('Surface DEET'!$Q$9:$W$38,COLUMN(U301)-COLUMN($E$5),4)&gt;0,INDEX('Surface DEET'!$Q$9:$W$38,COLUMN(U301)-COLUMN($E$5),4),0),0)</f>
        <v>0</v>
      </c>
      <c r="V308" s="250">
        <f>IF(V$6=$C308,IF(INDEX('Surface DEET'!$Q$9:$W$38,COLUMN(V301)-COLUMN($E$5),4)&gt;0,INDEX('Surface DEET'!$Q$9:$W$38,COLUMN(V301)-COLUMN($E$5),4),0),0)</f>
        <v>0</v>
      </c>
      <c r="W308" s="250">
        <f>IF(W$6=$C308,IF(INDEX('Surface DEET'!$Q$9:$W$38,COLUMN(W301)-COLUMN($E$5),4)&gt;0,INDEX('Surface DEET'!$Q$9:$W$38,COLUMN(W301)-COLUMN($E$5),4),0),0)</f>
        <v>0</v>
      </c>
      <c r="X308" s="250">
        <f>IF(X$6=$C308,IF(INDEX('Surface DEET'!$Q$9:$W$38,COLUMN(X301)-COLUMN($E$5),4)&gt;0,INDEX('Surface DEET'!$Q$9:$W$38,COLUMN(X301)-COLUMN($E$5),4),0),0)</f>
        <v>0</v>
      </c>
      <c r="Y308" s="250">
        <f>IF(Y$6=$C308,IF(INDEX('Surface DEET'!$Q$9:$W$38,COLUMN(Y301)-COLUMN($E$5),4)&gt;0,INDEX('Surface DEET'!$Q$9:$W$38,COLUMN(Y301)-COLUMN($E$5),4),0),0)</f>
        <v>0</v>
      </c>
      <c r="Z308" s="250">
        <f>IF(Z$6=$C308,IF(INDEX('Surface DEET'!$Q$9:$W$38,COLUMN(Z301)-COLUMN($E$5),4)&gt;0,INDEX('Surface DEET'!$Q$9:$W$38,COLUMN(Z301)-COLUMN($E$5),4),0),0)</f>
        <v>0</v>
      </c>
      <c r="AA308" s="250">
        <f>IF(AA$6=$C308,IF(INDEX('Surface DEET'!$Q$9:$W$38,COLUMN(AA301)-COLUMN($E$5),4)&gt;0,INDEX('Surface DEET'!$Q$9:$W$38,COLUMN(AA301)-COLUMN($E$5),4),0),0)</f>
        <v>0</v>
      </c>
      <c r="AB308" s="250">
        <f>IF(AB$6=$C308,IF(INDEX('Surface DEET'!$Q$9:$W$38,COLUMN(AB301)-COLUMN($E$5),4)&gt;0,INDEX('Surface DEET'!$Q$9:$W$38,COLUMN(AB301)-COLUMN($E$5),4),0),0)</f>
        <v>0</v>
      </c>
      <c r="AC308" s="250">
        <f>IF(AC$6=$C308,IF(INDEX('Surface DEET'!$Q$9:$W$38,COLUMN(AC301)-COLUMN($E$5),4)&gt;0,INDEX('Surface DEET'!$Q$9:$W$38,COLUMN(AC301)-COLUMN($E$5),4),0),0)</f>
        <v>0</v>
      </c>
      <c r="AD308" s="250">
        <f>IF(AD$6=$C308,IF(INDEX('Surface DEET'!$Q$9:$W$38,COLUMN(AD301)-COLUMN($E$5),4)&gt;0,INDEX('Surface DEET'!$Q$9:$W$38,COLUMN(AD301)-COLUMN($E$5),4),0),0)</f>
        <v>0</v>
      </c>
      <c r="AE308" s="250">
        <f>IF(AE$6=$C308,IF(INDEX('Surface DEET'!$Q$9:$W$38,COLUMN(AE301)-COLUMN($E$5),4)&gt;0,INDEX('Surface DEET'!$Q$9:$W$38,COLUMN(AE301)-COLUMN($E$5),4),0),0)</f>
        <v>0</v>
      </c>
      <c r="AF308" s="250">
        <f>IF(AF$6=$C308,IF(INDEX('Surface DEET'!$Q$9:$W$38,COLUMN(AF301)-COLUMN($E$5),4)&gt;0,INDEX('Surface DEET'!$Q$9:$W$38,COLUMN(AF301)-COLUMN($E$5),4),0),0)</f>
        <v>0</v>
      </c>
      <c r="AG308" s="250">
        <f>IF(AG$6=$C308,IF(INDEX('Surface DEET'!$Q$9:$W$38,COLUMN(AG301)-COLUMN($E$5),4)&gt;0,INDEX('Surface DEET'!$Q$9:$W$38,COLUMN(AG301)-COLUMN($E$5),4),0),0)</f>
        <v>0</v>
      </c>
      <c r="AH308" s="250">
        <f>IF(AH$6=$C308,IF(INDEX('Surface DEET'!$Q$9:$W$38,COLUMN(AH301)-COLUMN($E$5),4)&gt;0,INDEX('Surface DEET'!$Q$9:$W$38,COLUMN(AH301)-COLUMN($E$5),4),0),0)</f>
        <v>0</v>
      </c>
      <c r="AI308" s="250">
        <f>IF(AI$6=$C308,IF(INDEX('Surface DEET'!$Q$9:$W$38,COLUMN(AI301)-COLUMN($E$5),4)&gt;0,INDEX('Surface DEET'!$Q$9:$W$38,COLUMN(AI301)-COLUMN($E$5),4),0),0)</f>
        <v>0</v>
      </c>
    </row>
    <row r="309" spans="2:35">
      <c r="B309" s="250" t="s">
        <v>543</v>
      </c>
      <c r="C309" s="250" t="s">
        <v>663</v>
      </c>
    </row>
    <row r="310" spans="2:35">
      <c r="B310" s="250" t="s">
        <v>533</v>
      </c>
      <c r="C310" s="250" t="s">
        <v>663</v>
      </c>
      <c r="D310" s="250" t="s">
        <v>533</v>
      </c>
      <c r="F310" s="250">
        <f>$E$304*(1+2*F307/$E$307+F308/$E$308)</f>
        <v>20</v>
      </c>
      <c r="G310" s="250">
        <f t="shared" ref="G310:AI310" si="37">$E$304*(1+2*G307/$E$307+G308/$E$308)</f>
        <v>20</v>
      </c>
      <c r="H310" s="250">
        <f t="shared" si="37"/>
        <v>20</v>
      </c>
      <c r="I310" s="250">
        <f t="shared" si="37"/>
        <v>20</v>
      </c>
      <c r="J310" s="250">
        <f t="shared" si="37"/>
        <v>20</v>
      </c>
      <c r="K310" s="250">
        <f t="shared" si="37"/>
        <v>20</v>
      </c>
      <c r="L310" s="250">
        <f t="shared" si="37"/>
        <v>20</v>
      </c>
      <c r="M310" s="250">
        <f t="shared" si="37"/>
        <v>20</v>
      </c>
      <c r="N310" s="250">
        <f t="shared" si="37"/>
        <v>20</v>
      </c>
      <c r="O310" s="250">
        <f t="shared" si="37"/>
        <v>20</v>
      </c>
      <c r="P310" s="250">
        <f t="shared" si="37"/>
        <v>20</v>
      </c>
      <c r="Q310" s="250">
        <f t="shared" si="37"/>
        <v>20</v>
      </c>
      <c r="R310" s="250">
        <f t="shared" si="37"/>
        <v>20</v>
      </c>
      <c r="S310" s="250">
        <f t="shared" si="37"/>
        <v>20</v>
      </c>
      <c r="T310" s="250">
        <f t="shared" si="37"/>
        <v>20</v>
      </c>
      <c r="U310" s="250">
        <f t="shared" si="37"/>
        <v>20</v>
      </c>
      <c r="V310" s="250">
        <f t="shared" si="37"/>
        <v>20</v>
      </c>
      <c r="W310" s="250">
        <f t="shared" si="37"/>
        <v>20</v>
      </c>
      <c r="X310" s="250">
        <f t="shared" si="37"/>
        <v>20</v>
      </c>
      <c r="Y310" s="250">
        <f t="shared" si="37"/>
        <v>20</v>
      </c>
      <c r="Z310" s="250">
        <f t="shared" si="37"/>
        <v>20</v>
      </c>
      <c r="AA310" s="250">
        <f t="shared" si="37"/>
        <v>20</v>
      </c>
      <c r="AB310" s="250">
        <f t="shared" si="37"/>
        <v>20</v>
      </c>
      <c r="AC310" s="250">
        <f t="shared" si="37"/>
        <v>20</v>
      </c>
      <c r="AD310" s="250">
        <f t="shared" si="37"/>
        <v>20</v>
      </c>
      <c r="AE310" s="250">
        <f t="shared" si="37"/>
        <v>20</v>
      </c>
      <c r="AF310" s="250">
        <f t="shared" si="37"/>
        <v>20</v>
      </c>
      <c r="AG310" s="250">
        <f t="shared" si="37"/>
        <v>20</v>
      </c>
      <c r="AH310" s="250">
        <f t="shared" si="37"/>
        <v>20</v>
      </c>
      <c r="AI310" s="250">
        <f t="shared" si="37"/>
        <v>20</v>
      </c>
    </row>
    <row r="311" spans="2:35">
      <c r="B311" s="88" t="s">
        <v>294</v>
      </c>
      <c r="C311" s="250" t="s">
        <v>664</v>
      </c>
      <c r="D311" s="88" t="s">
        <v>294</v>
      </c>
      <c r="E311" s="250">
        <f t="array" ref="E311">INDEX(CABS_CVC!$C$3:$O$894,MATCH(1, (CABS_CVC!$A$3:$A$894=Calculs_CABS!C311)*(CABS_CVC!$B$3:$B$894=Calculs_CABS!$D$2),0),MATCH(Calculs_CABS!$D$1,Liste_CABS!$B$3:$B$15,0))</f>
        <v>69</v>
      </c>
    </row>
    <row r="312" spans="2:35">
      <c r="B312" s="250" t="s">
        <v>534</v>
      </c>
      <c r="C312" s="250" t="s">
        <v>664</v>
      </c>
      <c r="D312" s="250" t="s">
        <v>534</v>
      </c>
      <c r="E312" s="250">
        <v>25</v>
      </c>
    </row>
    <row r="313" spans="2:35">
      <c r="B313" s="250" t="s">
        <v>535</v>
      </c>
      <c r="C313" s="250" t="s">
        <v>664</v>
      </c>
      <c r="D313" s="250" t="s">
        <v>535</v>
      </c>
      <c r="E313" s="250">
        <f>E311+E312</f>
        <v>94</v>
      </c>
    </row>
    <row r="314" spans="2:35">
      <c r="B314" s="250" t="s">
        <v>536</v>
      </c>
      <c r="C314" s="250" t="s">
        <v>664</v>
      </c>
      <c r="D314" s="250" t="s">
        <v>536</v>
      </c>
      <c r="E314" s="250">
        <v>0</v>
      </c>
    </row>
    <row r="315" spans="2:35">
      <c r="B315" s="250" t="s">
        <v>537</v>
      </c>
      <c r="C315" s="250" t="s">
        <v>664</v>
      </c>
      <c r="D315" s="250" t="s">
        <v>659</v>
      </c>
      <c r="E315" s="250">
        <v>1900</v>
      </c>
      <c r="F315" s="250">
        <f>IF(F$6=$C315,IF(INDEX('Surface DEET'!$Q$9:$W$38,COLUMN(F308)-COLUMN($E$5),1)&gt;0,INDEX('Surface DEET'!$Q$9:$W$38,COLUMN(F308)-COLUMN($E$5),1),0),0)</f>
        <v>0</v>
      </c>
      <c r="G315" s="250">
        <f>IF(G$6=$C315,IF(INDEX('Surface DEET'!$Q$9:$W$38,COLUMN(G308)-COLUMN($E$5),1)&gt;0,INDEX('Surface DEET'!$Q$9:$W$38,COLUMN(G308)-COLUMN($E$5),1),0),0)</f>
        <v>0</v>
      </c>
      <c r="H315" s="250">
        <f>IF(H$6=$C315,IF(INDEX('Surface DEET'!$Q$9:$W$38,COLUMN(H308)-COLUMN($E$5),1)&gt;0,INDEX('Surface DEET'!$Q$9:$W$38,COLUMN(H308)-COLUMN($E$5),1),0),0)</f>
        <v>0</v>
      </c>
      <c r="I315" s="250">
        <f>IF(I$6=$C315,IF(INDEX('Surface DEET'!$Q$9:$W$38,COLUMN(I308)-COLUMN($E$5),1)&gt;0,INDEX('Surface DEET'!$Q$9:$W$38,COLUMN(I308)-COLUMN($E$5),1),0),0)</f>
        <v>0</v>
      </c>
      <c r="J315" s="250">
        <f>IF(J$6=$C315,IF(INDEX('Surface DEET'!$Q$9:$W$38,COLUMN(J308)-COLUMN($E$5),1)&gt;0,INDEX('Surface DEET'!$Q$9:$W$38,COLUMN(J308)-COLUMN($E$5),1),0),0)</f>
        <v>0</v>
      </c>
      <c r="K315" s="250">
        <f>IF(K$6=$C315,IF(INDEX('Surface DEET'!$Q$9:$W$38,COLUMN(K308)-COLUMN($E$5),1)&gt;0,INDEX('Surface DEET'!$Q$9:$W$38,COLUMN(K308)-COLUMN($E$5),1),0),0)</f>
        <v>0</v>
      </c>
      <c r="L315" s="250">
        <f>IF(L$6=$C315,IF(INDEX('Surface DEET'!$Q$9:$W$38,COLUMN(L308)-COLUMN($E$5),1)&gt;0,INDEX('Surface DEET'!$Q$9:$W$38,COLUMN(L308)-COLUMN($E$5),1),0),0)</f>
        <v>0</v>
      </c>
      <c r="M315" s="250">
        <f>IF(M$6=$C315,IF(INDEX('Surface DEET'!$Q$9:$W$38,COLUMN(M308)-COLUMN($E$5),1)&gt;0,INDEX('Surface DEET'!$Q$9:$W$38,COLUMN(M308)-COLUMN($E$5),1),0),0)</f>
        <v>0</v>
      </c>
      <c r="N315" s="250">
        <f>IF(N$6=$C315,IF(INDEX('Surface DEET'!$Q$9:$W$38,COLUMN(N308)-COLUMN($E$5),1)&gt;0,INDEX('Surface DEET'!$Q$9:$W$38,COLUMN(N308)-COLUMN($E$5),1),0),0)</f>
        <v>0</v>
      </c>
      <c r="O315" s="250">
        <f>IF(O$6=$C315,IF(INDEX('Surface DEET'!$Q$9:$W$38,COLUMN(O308)-COLUMN($E$5),1)&gt;0,INDEX('Surface DEET'!$Q$9:$W$38,COLUMN(O308)-COLUMN($E$5),1),0),0)</f>
        <v>0</v>
      </c>
      <c r="P315" s="250">
        <f>IF(P$6=$C315,IF(INDEX('Surface DEET'!$Q$9:$W$38,COLUMN(P308)-COLUMN($E$5),1)&gt;0,INDEX('Surface DEET'!$Q$9:$W$38,COLUMN(P308)-COLUMN($E$5),1),0),0)</f>
        <v>0</v>
      </c>
      <c r="Q315" s="250">
        <f>IF(Q$6=$C315,IF(INDEX('Surface DEET'!$Q$9:$W$38,COLUMN(Q308)-COLUMN($E$5),1)&gt;0,INDEX('Surface DEET'!$Q$9:$W$38,COLUMN(Q308)-COLUMN($E$5),1),0),0)</f>
        <v>0</v>
      </c>
      <c r="R315" s="250">
        <f>IF(R$6=$C315,IF(INDEX('Surface DEET'!$Q$9:$W$38,COLUMN(R308)-COLUMN($E$5),1)&gt;0,INDEX('Surface DEET'!$Q$9:$W$38,COLUMN(R308)-COLUMN($E$5),1),0),0)</f>
        <v>0</v>
      </c>
      <c r="S315" s="250">
        <f>IF(S$6=$C315,IF(INDEX('Surface DEET'!$Q$9:$W$38,COLUMN(S308)-COLUMN($E$5),1)&gt;0,INDEX('Surface DEET'!$Q$9:$W$38,COLUMN(S308)-COLUMN($E$5),1),0),0)</f>
        <v>0</v>
      </c>
      <c r="T315" s="250">
        <f>IF(T$6=$C315,IF(INDEX('Surface DEET'!$Q$9:$W$38,COLUMN(T308)-COLUMN($E$5),1)&gt;0,INDEX('Surface DEET'!$Q$9:$W$38,COLUMN(T308)-COLUMN($E$5),1),0),0)</f>
        <v>0</v>
      </c>
      <c r="U315" s="250">
        <f>IF(U$6=$C315,IF(INDEX('Surface DEET'!$Q$9:$W$38,COLUMN(U308)-COLUMN($E$5),1)&gt;0,INDEX('Surface DEET'!$Q$9:$W$38,COLUMN(U308)-COLUMN($E$5),1),0),0)</f>
        <v>0</v>
      </c>
      <c r="V315" s="250">
        <f>IF(V$6=$C315,IF(INDEX('Surface DEET'!$Q$9:$W$38,COLUMN(V308)-COLUMN($E$5),1)&gt;0,INDEX('Surface DEET'!$Q$9:$W$38,COLUMN(V308)-COLUMN($E$5),1),0),0)</f>
        <v>0</v>
      </c>
      <c r="W315" s="250">
        <f>IF(W$6=$C315,IF(INDEX('Surface DEET'!$Q$9:$W$38,COLUMN(W308)-COLUMN($E$5),1)&gt;0,INDEX('Surface DEET'!$Q$9:$W$38,COLUMN(W308)-COLUMN($E$5),1),0),0)</f>
        <v>0</v>
      </c>
      <c r="X315" s="250">
        <f>IF(X$6=$C315,IF(INDEX('Surface DEET'!$Q$9:$W$38,COLUMN(X308)-COLUMN($E$5),1)&gt;0,INDEX('Surface DEET'!$Q$9:$W$38,COLUMN(X308)-COLUMN($E$5),1),0),0)</f>
        <v>0</v>
      </c>
      <c r="Y315" s="250">
        <f>IF(Y$6=$C315,IF(INDEX('Surface DEET'!$Q$9:$W$38,COLUMN(Y308)-COLUMN($E$5),1)&gt;0,INDEX('Surface DEET'!$Q$9:$W$38,COLUMN(Y308)-COLUMN($E$5),1),0),0)</f>
        <v>0</v>
      </c>
      <c r="Z315" s="250">
        <f>IF(Z$6=$C315,IF(INDEX('Surface DEET'!$Q$9:$W$38,COLUMN(Z308)-COLUMN($E$5),1)&gt;0,INDEX('Surface DEET'!$Q$9:$W$38,COLUMN(Z308)-COLUMN($E$5),1),0),0)</f>
        <v>0</v>
      </c>
      <c r="AA315" s="250">
        <f>IF(AA$6=$C315,IF(INDEX('Surface DEET'!$Q$9:$W$38,COLUMN(AA308)-COLUMN($E$5),1)&gt;0,INDEX('Surface DEET'!$Q$9:$W$38,COLUMN(AA308)-COLUMN($E$5),1),0),0)</f>
        <v>0</v>
      </c>
      <c r="AB315" s="250">
        <f>IF(AB$6=$C315,IF(INDEX('Surface DEET'!$Q$9:$W$38,COLUMN(AB308)-COLUMN($E$5),1)&gt;0,INDEX('Surface DEET'!$Q$9:$W$38,COLUMN(AB308)-COLUMN($E$5),1),0),0)</f>
        <v>0</v>
      </c>
      <c r="AC315" s="250">
        <f>IF(AC$6=$C315,IF(INDEX('Surface DEET'!$Q$9:$W$38,COLUMN(AC308)-COLUMN($E$5),1)&gt;0,INDEX('Surface DEET'!$Q$9:$W$38,COLUMN(AC308)-COLUMN($E$5),1),0),0)</f>
        <v>0</v>
      </c>
      <c r="AD315" s="250">
        <f>IF(AD$6=$C315,IF(INDEX('Surface DEET'!$Q$9:$W$38,COLUMN(AD308)-COLUMN($E$5),1)&gt;0,INDEX('Surface DEET'!$Q$9:$W$38,COLUMN(AD308)-COLUMN($E$5),1),0),0)</f>
        <v>0</v>
      </c>
      <c r="AE315" s="250">
        <f>IF(AE$6=$C315,IF(INDEX('Surface DEET'!$Q$9:$W$38,COLUMN(AE308)-COLUMN($E$5),1)&gt;0,INDEX('Surface DEET'!$Q$9:$W$38,COLUMN(AE308)-COLUMN($E$5),1),0),0)</f>
        <v>0</v>
      </c>
      <c r="AF315" s="250">
        <f>IF(AF$6=$C315,IF(INDEX('Surface DEET'!$Q$9:$W$38,COLUMN(AF308)-COLUMN($E$5),1)&gt;0,INDEX('Surface DEET'!$Q$9:$W$38,COLUMN(AF308)-COLUMN($E$5),1),0),0)</f>
        <v>0</v>
      </c>
      <c r="AG315" s="250">
        <f>IF(AG$6=$C315,IF(INDEX('Surface DEET'!$Q$9:$W$38,COLUMN(AG308)-COLUMN($E$5),1)&gt;0,INDEX('Surface DEET'!$Q$9:$W$38,COLUMN(AG308)-COLUMN($E$5),1),0),0)</f>
        <v>0</v>
      </c>
      <c r="AH315" s="250">
        <f>IF(AH$6=$C315,IF(INDEX('Surface DEET'!$Q$9:$W$38,COLUMN(AH308)-COLUMN($E$5),1)&gt;0,INDEX('Surface DEET'!$Q$9:$W$38,COLUMN(AH308)-COLUMN($E$5),1),0),0)</f>
        <v>0</v>
      </c>
      <c r="AI315" s="250">
        <f>IF(AI$6=$C315,IF(INDEX('Surface DEET'!$Q$9:$W$38,COLUMN(AI308)-COLUMN($E$5),1)&gt;0,INDEX('Surface DEET'!$Q$9:$W$38,COLUMN(AI308)-COLUMN($E$5),1),0),0)</f>
        <v>0</v>
      </c>
    </row>
    <row r="316" spans="2:35">
      <c r="B316" s="250" t="s">
        <v>540</v>
      </c>
      <c r="C316" s="250" t="s">
        <v>664</v>
      </c>
      <c r="D316" s="250" t="s">
        <v>660</v>
      </c>
      <c r="E316" s="250">
        <v>1900</v>
      </c>
      <c r="F316" s="250">
        <f>IF(F$6=$C316,IF(INDEX('Surface DEET'!$Q$9:$W$38,COLUMN(F309)-COLUMN($E$5),4)&gt;0,INDEX('Surface DEET'!$Q$9:$W$38,COLUMN(F309)-COLUMN($E$5),4),0),0)</f>
        <v>0</v>
      </c>
      <c r="G316" s="250">
        <f>IF(G$6=$C316,IF(INDEX('Surface DEET'!$Q$9:$W$38,COLUMN(G309)-COLUMN($E$5),4)&gt;0,INDEX('Surface DEET'!$Q$9:$W$38,COLUMN(G309)-COLUMN($E$5),4),0),0)</f>
        <v>0</v>
      </c>
      <c r="H316" s="250">
        <f>IF(H$6=$C316,IF(INDEX('Surface DEET'!$Q$9:$W$38,COLUMN(H309)-COLUMN($E$5),4)&gt;0,INDEX('Surface DEET'!$Q$9:$W$38,COLUMN(H309)-COLUMN($E$5),4),0),0)</f>
        <v>0</v>
      </c>
      <c r="I316" s="250">
        <f>IF(I$6=$C316,IF(INDEX('Surface DEET'!$Q$9:$W$38,COLUMN(I309)-COLUMN($E$5),4)&gt;0,INDEX('Surface DEET'!$Q$9:$W$38,COLUMN(I309)-COLUMN($E$5),4),0),0)</f>
        <v>0</v>
      </c>
      <c r="J316" s="250">
        <f>IF(J$6=$C316,IF(INDEX('Surface DEET'!$Q$9:$W$38,COLUMN(J309)-COLUMN($E$5),4)&gt;0,INDEX('Surface DEET'!$Q$9:$W$38,COLUMN(J309)-COLUMN($E$5),4),0),0)</f>
        <v>0</v>
      </c>
      <c r="K316" s="250">
        <f>IF(K$6=$C316,IF(INDEX('Surface DEET'!$Q$9:$W$38,COLUMN(K309)-COLUMN($E$5),4)&gt;0,INDEX('Surface DEET'!$Q$9:$W$38,COLUMN(K309)-COLUMN($E$5),4),0),0)</f>
        <v>0</v>
      </c>
      <c r="L316" s="250">
        <f>IF(L$6=$C316,IF(INDEX('Surface DEET'!$Q$9:$W$38,COLUMN(L309)-COLUMN($E$5),4)&gt;0,INDEX('Surface DEET'!$Q$9:$W$38,COLUMN(L309)-COLUMN($E$5),4),0),0)</f>
        <v>0</v>
      </c>
      <c r="M316" s="250">
        <f>IF(M$6=$C316,IF(INDEX('Surface DEET'!$Q$9:$W$38,COLUMN(M309)-COLUMN($E$5),4)&gt;0,INDEX('Surface DEET'!$Q$9:$W$38,COLUMN(M309)-COLUMN($E$5),4),0),0)</f>
        <v>0</v>
      </c>
      <c r="N316" s="250">
        <f>IF(N$6=$C316,IF(INDEX('Surface DEET'!$Q$9:$W$38,COLUMN(N309)-COLUMN($E$5),4)&gt;0,INDEX('Surface DEET'!$Q$9:$W$38,COLUMN(N309)-COLUMN($E$5),4),0),0)</f>
        <v>0</v>
      </c>
      <c r="O316" s="250">
        <f>IF(O$6=$C316,IF(INDEX('Surface DEET'!$Q$9:$W$38,COLUMN(O309)-COLUMN($E$5),4)&gt;0,INDEX('Surface DEET'!$Q$9:$W$38,COLUMN(O309)-COLUMN($E$5),4),0),0)</f>
        <v>0</v>
      </c>
      <c r="P316" s="250">
        <f>IF(P$6=$C316,IF(INDEX('Surface DEET'!$Q$9:$W$38,COLUMN(P309)-COLUMN($E$5),4)&gt;0,INDEX('Surface DEET'!$Q$9:$W$38,COLUMN(P309)-COLUMN($E$5),4),0),0)</f>
        <v>0</v>
      </c>
      <c r="Q316" s="250">
        <f>IF(Q$6=$C316,IF(INDEX('Surface DEET'!$Q$9:$W$38,COLUMN(Q309)-COLUMN($E$5),4)&gt;0,INDEX('Surface DEET'!$Q$9:$W$38,COLUMN(Q309)-COLUMN($E$5),4),0),0)</f>
        <v>0</v>
      </c>
      <c r="R316" s="250">
        <f>IF(R$6=$C316,IF(INDEX('Surface DEET'!$Q$9:$W$38,COLUMN(R309)-COLUMN($E$5),4)&gt;0,INDEX('Surface DEET'!$Q$9:$W$38,COLUMN(R309)-COLUMN($E$5),4),0),0)</f>
        <v>0</v>
      </c>
      <c r="S316" s="250">
        <f>IF(S$6=$C316,IF(INDEX('Surface DEET'!$Q$9:$W$38,COLUMN(S309)-COLUMN($E$5),4)&gt;0,INDEX('Surface DEET'!$Q$9:$W$38,COLUMN(S309)-COLUMN($E$5),4),0),0)</f>
        <v>0</v>
      </c>
      <c r="T316" s="250">
        <f>IF(T$6=$C316,IF(INDEX('Surface DEET'!$Q$9:$W$38,COLUMN(T309)-COLUMN($E$5),4)&gt;0,INDEX('Surface DEET'!$Q$9:$W$38,COLUMN(T309)-COLUMN($E$5),4),0),0)</f>
        <v>0</v>
      </c>
      <c r="U316" s="250">
        <f>IF(U$6=$C316,IF(INDEX('Surface DEET'!$Q$9:$W$38,COLUMN(U309)-COLUMN($E$5),4)&gt;0,INDEX('Surface DEET'!$Q$9:$W$38,COLUMN(U309)-COLUMN($E$5),4),0),0)</f>
        <v>0</v>
      </c>
      <c r="V316" s="250">
        <f>IF(V$6=$C316,IF(INDEX('Surface DEET'!$Q$9:$W$38,COLUMN(V309)-COLUMN($E$5),4)&gt;0,INDEX('Surface DEET'!$Q$9:$W$38,COLUMN(V309)-COLUMN($E$5),4),0),0)</f>
        <v>0</v>
      </c>
      <c r="W316" s="250">
        <f>IF(W$6=$C316,IF(INDEX('Surface DEET'!$Q$9:$W$38,COLUMN(W309)-COLUMN($E$5),4)&gt;0,INDEX('Surface DEET'!$Q$9:$W$38,COLUMN(W309)-COLUMN($E$5),4),0),0)</f>
        <v>0</v>
      </c>
      <c r="X316" s="250">
        <f>IF(X$6=$C316,IF(INDEX('Surface DEET'!$Q$9:$W$38,COLUMN(X309)-COLUMN($E$5),4)&gt;0,INDEX('Surface DEET'!$Q$9:$W$38,COLUMN(X309)-COLUMN($E$5),4),0),0)</f>
        <v>0</v>
      </c>
      <c r="Y316" s="250">
        <f>IF(Y$6=$C316,IF(INDEX('Surface DEET'!$Q$9:$W$38,COLUMN(Y309)-COLUMN($E$5),4)&gt;0,INDEX('Surface DEET'!$Q$9:$W$38,COLUMN(Y309)-COLUMN($E$5),4),0),0)</f>
        <v>0</v>
      </c>
      <c r="Z316" s="250">
        <f>IF(Z$6=$C316,IF(INDEX('Surface DEET'!$Q$9:$W$38,COLUMN(Z309)-COLUMN($E$5),4)&gt;0,INDEX('Surface DEET'!$Q$9:$W$38,COLUMN(Z309)-COLUMN($E$5),4),0),0)</f>
        <v>0</v>
      </c>
      <c r="AA316" s="250">
        <f>IF(AA$6=$C316,IF(INDEX('Surface DEET'!$Q$9:$W$38,COLUMN(AA309)-COLUMN($E$5),4)&gt;0,INDEX('Surface DEET'!$Q$9:$W$38,COLUMN(AA309)-COLUMN($E$5),4),0),0)</f>
        <v>0</v>
      </c>
      <c r="AB316" s="250">
        <f>IF(AB$6=$C316,IF(INDEX('Surface DEET'!$Q$9:$W$38,COLUMN(AB309)-COLUMN($E$5),4)&gt;0,INDEX('Surface DEET'!$Q$9:$W$38,COLUMN(AB309)-COLUMN($E$5),4),0),0)</f>
        <v>0</v>
      </c>
      <c r="AC316" s="250">
        <f>IF(AC$6=$C316,IF(INDEX('Surface DEET'!$Q$9:$W$38,COLUMN(AC309)-COLUMN($E$5),4)&gt;0,INDEX('Surface DEET'!$Q$9:$W$38,COLUMN(AC309)-COLUMN($E$5),4),0),0)</f>
        <v>0</v>
      </c>
      <c r="AD316" s="250">
        <f>IF(AD$6=$C316,IF(INDEX('Surface DEET'!$Q$9:$W$38,COLUMN(AD309)-COLUMN($E$5),4)&gt;0,INDEX('Surface DEET'!$Q$9:$W$38,COLUMN(AD309)-COLUMN($E$5),4),0),0)</f>
        <v>0</v>
      </c>
      <c r="AE316" s="250">
        <f>IF(AE$6=$C316,IF(INDEX('Surface DEET'!$Q$9:$W$38,COLUMN(AE309)-COLUMN($E$5),4)&gt;0,INDEX('Surface DEET'!$Q$9:$W$38,COLUMN(AE309)-COLUMN($E$5),4),0),0)</f>
        <v>0</v>
      </c>
      <c r="AF316" s="250">
        <f>IF(AF$6=$C316,IF(INDEX('Surface DEET'!$Q$9:$W$38,COLUMN(AF309)-COLUMN($E$5),4)&gt;0,INDEX('Surface DEET'!$Q$9:$W$38,COLUMN(AF309)-COLUMN($E$5),4),0),0)</f>
        <v>0</v>
      </c>
      <c r="AG316" s="250">
        <f>IF(AG$6=$C316,IF(INDEX('Surface DEET'!$Q$9:$W$38,COLUMN(AG309)-COLUMN($E$5),4)&gt;0,INDEX('Surface DEET'!$Q$9:$W$38,COLUMN(AG309)-COLUMN($E$5),4),0),0)</f>
        <v>0</v>
      </c>
      <c r="AH316" s="250">
        <f>IF(AH$6=$C316,IF(INDEX('Surface DEET'!$Q$9:$W$38,COLUMN(AH309)-COLUMN($E$5),4)&gt;0,INDEX('Surface DEET'!$Q$9:$W$38,COLUMN(AH309)-COLUMN($E$5),4),0),0)</f>
        <v>0</v>
      </c>
      <c r="AI316" s="250">
        <f>IF(AI$6=$C316,IF(INDEX('Surface DEET'!$Q$9:$W$38,COLUMN(AI309)-COLUMN($E$5),4)&gt;0,INDEX('Surface DEET'!$Q$9:$W$38,COLUMN(AI309)-COLUMN($E$5),4),0),0)</f>
        <v>0</v>
      </c>
    </row>
    <row r="317" spans="2:35">
      <c r="B317" s="250" t="s">
        <v>543</v>
      </c>
      <c r="C317" s="250" t="s">
        <v>664</v>
      </c>
    </row>
    <row r="318" spans="2:35">
      <c r="B318" s="250" t="s">
        <v>533</v>
      </c>
      <c r="C318" s="250" t="s">
        <v>664</v>
      </c>
      <c r="D318" s="250" t="s">
        <v>533</v>
      </c>
      <c r="F318" s="250">
        <f>$E$312*(1+2*F315/$E$315+F316/$E$316)</f>
        <v>25</v>
      </c>
      <c r="G318" s="250">
        <f t="shared" ref="G318:AI318" si="38">$E$312*(1+2*G315/$E$315+G316/$E$316)</f>
        <v>25</v>
      </c>
      <c r="H318" s="250">
        <f t="shared" si="38"/>
        <v>25</v>
      </c>
      <c r="I318" s="250">
        <f t="shared" si="38"/>
        <v>25</v>
      </c>
      <c r="J318" s="250">
        <f t="shared" si="38"/>
        <v>25</v>
      </c>
      <c r="K318" s="250">
        <f t="shared" si="38"/>
        <v>25</v>
      </c>
      <c r="L318" s="250">
        <f t="shared" si="38"/>
        <v>25</v>
      </c>
      <c r="M318" s="250">
        <f t="shared" si="38"/>
        <v>25</v>
      </c>
      <c r="N318" s="250">
        <f t="shared" si="38"/>
        <v>25</v>
      </c>
      <c r="O318" s="250">
        <f t="shared" si="38"/>
        <v>25</v>
      </c>
      <c r="P318" s="250">
        <f t="shared" si="38"/>
        <v>25</v>
      </c>
      <c r="Q318" s="250">
        <f t="shared" si="38"/>
        <v>25</v>
      </c>
      <c r="R318" s="250">
        <f t="shared" si="38"/>
        <v>25</v>
      </c>
      <c r="S318" s="250">
        <f t="shared" si="38"/>
        <v>25</v>
      </c>
      <c r="T318" s="250">
        <f t="shared" si="38"/>
        <v>25</v>
      </c>
      <c r="U318" s="250">
        <f t="shared" si="38"/>
        <v>25</v>
      </c>
      <c r="V318" s="250">
        <f t="shared" si="38"/>
        <v>25</v>
      </c>
      <c r="W318" s="250">
        <f t="shared" si="38"/>
        <v>25</v>
      </c>
      <c r="X318" s="250">
        <f t="shared" si="38"/>
        <v>25</v>
      </c>
      <c r="Y318" s="250">
        <f t="shared" si="38"/>
        <v>25</v>
      </c>
      <c r="Z318" s="250">
        <f t="shared" si="38"/>
        <v>25</v>
      </c>
      <c r="AA318" s="250">
        <f t="shared" si="38"/>
        <v>25</v>
      </c>
      <c r="AB318" s="250">
        <f t="shared" si="38"/>
        <v>25</v>
      </c>
      <c r="AC318" s="250">
        <f t="shared" si="38"/>
        <v>25</v>
      </c>
      <c r="AD318" s="250">
        <f t="shared" si="38"/>
        <v>25</v>
      </c>
      <c r="AE318" s="250">
        <f t="shared" si="38"/>
        <v>25</v>
      </c>
      <c r="AF318" s="250">
        <f t="shared" si="38"/>
        <v>25</v>
      </c>
      <c r="AG318" s="250">
        <f t="shared" si="38"/>
        <v>25</v>
      </c>
      <c r="AH318" s="250">
        <f t="shared" si="38"/>
        <v>25</v>
      </c>
      <c r="AI318" s="250">
        <f t="shared" si="38"/>
        <v>25</v>
      </c>
    </row>
    <row r="319" spans="2:35">
      <c r="B319" s="88" t="s">
        <v>294</v>
      </c>
      <c r="C319" s="250" t="s">
        <v>665</v>
      </c>
      <c r="D319" s="88" t="s">
        <v>294</v>
      </c>
      <c r="E319" s="250">
        <f t="array" ref="E319">INDEX(CABS_CVC!$C$3:$O$894,MATCH(1, (CABS_CVC!$A$3:$A$894=Calculs_CABS!C319)*(CABS_CVC!$B$3:$B$894=Calculs_CABS!$D$2),0),MATCH(Calculs_CABS!$D$1,Liste_CABS!$B$3:$B$15,0))</f>
        <v>69</v>
      </c>
    </row>
    <row r="320" spans="2:35">
      <c r="B320" s="250" t="s">
        <v>534</v>
      </c>
      <c r="C320" s="250" t="s">
        <v>665</v>
      </c>
      <c r="D320" s="250" t="s">
        <v>534</v>
      </c>
      <c r="E320" s="250">
        <v>20</v>
      </c>
    </row>
    <row r="321" spans="2:35">
      <c r="B321" s="250" t="s">
        <v>535</v>
      </c>
      <c r="C321" s="250" t="s">
        <v>665</v>
      </c>
      <c r="D321" s="250" t="s">
        <v>535</v>
      </c>
      <c r="E321" s="250">
        <f>E319+E320</f>
        <v>89</v>
      </c>
    </row>
    <row r="322" spans="2:35">
      <c r="B322" s="250" t="s">
        <v>536</v>
      </c>
      <c r="C322" s="250" t="s">
        <v>665</v>
      </c>
      <c r="D322" s="250" t="s">
        <v>536</v>
      </c>
      <c r="E322" s="250">
        <v>0</v>
      </c>
    </row>
    <row r="323" spans="2:35">
      <c r="B323" s="250" t="s">
        <v>537</v>
      </c>
      <c r="C323" s="250" t="s">
        <v>665</v>
      </c>
      <c r="D323" s="250" t="s">
        <v>659</v>
      </c>
      <c r="E323" s="250">
        <v>1900</v>
      </c>
      <c r="F323" s="250">
        <f>IF(F$6=$C323,IF(INDEX('Surface DEET'!$Q$9:$W$38,COLUMN(F316)-COLUMN($E$5),1)&gt;0,INDEX('Surface DEET'!$Q$9:$W$38,COLUMN(F316)-COLUMN($E$5),1),0),0)</f>
        <v>0</v>
      </c>
      <c r="G323" s="250">
        <f>IF(G$6=$C323,IF(INDEX('Surface DEET'!$Q$9:$W$38,COLUMN(G316)-COLUMN($E$5),1)&gt;0,INDEX('Surface DEET'!$Q$9:$W$38,COLUMN(G316)-COLUMN($E$5),1),0),0)</f>
        <v>0</v>
      </c>
      <c r="H323" s="250">
        <f>IF(H$6=$C323,IF(INDEX('Surface DEET'!$Q$9:$W$38,COLUMN(H316)-COLUMN($E$5),1)&gt;0,INDEX('Surface DEET'!$Q$9:$W$38,COLUMN(H316)-COLUMN($E$5),1),0),0)</f>
        <v>0</v>
      </c>
      <c r="I323" s="250">
        <f>IF(I$6=$C323,IF(INDEX('Surface DEET'!$Q$9:$W$38,COLUMN(I316)-COLUMN($E$5),1)&gt;0,INDEX('Surface DEET'!$Q$9:$W$38,COLUMN(I316)-COLUMN($E$5),1),0),0)</f>
        <v>0</v>
      </c>
      <c r="J323" s="250">
        <f>IF(J$6=$C323,IF(INDEX('Surface DEET'!$Q$9:$W$38,COLUMN(J316)-COLUMN($E$5),1)&gt;0,INDEX('Surface DEET'!$Q$9:$W$38,COLUMN(J316)-COLUMN($E$5),1),0),0)</f>
        <v>0</v>
      </c>
      <c r="K323" s="250">
        <f>IF(K$6=$C323,IF(INDEX('Surface DEET'!$Q$9:$W$38,COLUMN(K316)-COLUMN($E$5),1)&gt;0,INDEX('Surface DEET'!$Q$9:$W$38,COLUMN(K316)-COLUMN($E$5),1),0),0)</f>
        <v>0</v>
      </c>
      <c r="L323" s="250">
        <f>IF(L$6=$C323,IF(INDEX('Surface DEET'!$Q$9:$W$38,COLUMN(L316)-COLUMN($E$5),1)&gt;0,INDEX('Surface DEET'!$Q$9:$W$38,COLUMN(L316)-COLUMN($E$5),1),0),0)</f>
        <v>0</v>
      </c>
      <c r="M323" s="250">
        <f>IF(M$6=$C323,IF(INDEX('Surface DEET'!$Q$9:$W$38,COLUMN(M316)-COLUMN($E$5),1)&gt;0,INDEX('Surface DEET'!$Q$9:$W$38,COLUMN(M316)-COLUMN($E$5),1),0),0)</f>
        <v>0</v>
      </c>
      <c r="N323" s="250">
        <f>IF(N$6=$C323,IF(INDEX('Surface DEET'!$Q$9:$W$38,COLUMN(N316)-COLUMN($E$5),1)&gt;0,INDEX('Surface DEET'!$Q$9:$W$38,COLUMN(N316)-COLUMN($E$5),1),0),0)</f>
        <v>0</v>
      </c>
      <c r="O323" s="250">
        <f>IF(O$6=$C323,IF(INDEX('Surface DEET'!$Q$9:$W$38,COLUMN(O316)-COLUMN($E$5),1)&gt;0,INDEX('Surface DEET'!$Q$9:$W$38,COLUMN(O316)-COLUMN($E$5),1),0),0)</f>
        <v>0</v>
      </c>
      <c r="P323" s="250">
        <f>IF(P$6=$C323,IF(INDEX('Surface DEET'!$Q$9:$W$38,COLUMN(P316)-COLUMN($E$5),1)&gt;0,INDEX('Surface DEET'!$Q$9:$W$38,COLUMN(P316)-COLUMN($E$5),1),0),0)</f>
        <v>0</v>
      </c>
      <c r="Q323" s="250">
        <f>IF(Q$6=$C323,IF(INDEX('Surface DEET'!$Q$9:$W$38,COLUMN(Q316)-COLUMN($E$5),1)&gt;0,INDEX('Surface DEET'!$Q$9:$W$38,COLUMN(Q316)-COLUMN($E$5),1),0),0)</f>
        <v>0</v>
      </c>
      <c r="R323" s="250">
        <f>IF(R$6=$C323,IF(INDEX('Surface DEET'!$Q$9:$W$38,COLUMN(R316)-COLUMN($E$5),1)&gt;0,INDEX('Surface DEET'!$Q$9:$W$38,COLUMN(R316)-COLUMN($E$5),1),0),0)</f>
        <v>0</v>
      </c>
      <c r="S323" s="250">
        <f>IF(S$6=$C323,IF(INDEX('Surface DEET'!$Q$9:$W$38,COLUMN(S316)-COLUMN($E$5),1)&gt;0,INDEX('Surface DEET'!$Q$9:$W$38,COLUMN(S316)-COLUMN($E$5),1),0),0)</f>
        <v>0</v>
      </c>
      <c r="T323" s="250">
        <f>IF(T$6=$C323,IF(INDEX('Surface DEET'!$Q$9:$W$38,COLUMN(T316)-COLUMN($E$5),1)&gt;0,INDEX('Surface DEET'!$Q$9:$W$38,COLUMN(T316)-COLUMN($E$5),1),0),0)</f>
        <v>0</v>
      </c>
      <c r="U323" s="250">
        <f>IF(U$6=$C323,IF(INDEX('Surface DEET'!$Q$9:$W$38,COLUMN(U316)-COLUMN($E$5),1)&gt;0,INDEX('Surface DEET'!$Q$9:$W$38,COLUMN(U316)-COLUMN($E$5),1),0),0)</f>
        <v>0</v>
      </c>
      <c r="V323" s="250">
        <f>IF(V$6=$C323,IF(INDEX('Surface DEET'!$Q$9:$W$38,COLUMN(V316)-COLUMN($E$5),1)&gt;0,INDEX('Surface DEET'!$Q$9:$W$38,COLUMN(V316)-COLUMN($E$5),1),0),0)</f>
        <v>0</v>
      </c>
      <c r="W323" s="250">
        <f>IF(W$6=$C323,IF(INDEX('Surface DEET'!$Q$9:$W$38,COLUMN(W316)-COLUMN($E$5),1)&gt;0,INDEX('Surface DEET'!$Q$9:$W$38,COLUMN(W316)-COLUMN($E$5),1),0),0)</f>
        <v>0</v>
      </c>
      <c r="X323" s="250">
        <f>IF(X$6=$C323,IF(INDEX('Surface DEET'!$Q$9:$W$38,COLUMN(X316)-COLUMN($E$5),1)&gt;0,INDEX('Surface DEET'!$Q$9:$W$38,COLUMN(X316)-COLUMN($E$5),1),0),0)</f>
        <v>0</v>
      </c>
      <c r="Y323" s="250">
        <f>IF(Y$6=$C323,IF(INDEX('Surface DEET'!$Q$9:$W$38,COLUMN(Y316)-COLUMN($E$5),1)&gt;0,INDEX('Surface DEET'!$Q$9:$W$38,COLUMN(Y316)-COLUMN($E$5),1),0),0)</f>
        <v>0</v>
      </c>
      <c r="Z323" s="250">
        <f>IF(Z$6=$C323,IF(INDEX('Surface DEET'!$Q$9:$W$38,COLUMN(Z316)-COLUMN($E$5),1)&gt;0,INDEX('Surface DEET'!$Q$9:$W$38,COLUMN(Z316)-COLUMN($E$5),1),0),0)</f>
        <v>0</v>
      </c>
      <c r="AA323" s="250">
        <f>IF(AA$6=$C323,IF(INDEX('Surface DEET'!$Q$9:$W$38,COLUMN(AA316)-COLUMN($E$5),1)&gt;0,INDEX('Surface DEET'!$Q$9:$W$38,COLUMN(AA316)-COLUMN($E$5),1),0),0)</f>
        <v>0</v>
      </c>
      <c r="AB323" s="250">
        <f>IF(AB$6=$C323,IF(INDEX('Surface DEET'!$Q$9:$W$38,COLUMN(AB316)-COLUMN($E$5),1)&gt;0,INDEX('Surface DEET'!$Q$9:$W$38,COLUMN(AB316)-COLUMN($E$5),1),0),0)</f>
        <v>0</v>
      </c>
      <c r="AC323" s="250">
        <f>IF(AC$6=$C323,IF(INDEX('Surface DEET'!$Q$9:$W$38,COLUMN(AC316)-COLUMN($E$5),1)&gt;0,INDEX('Surface DEET'!$Q$9:$W$38,COLUMN(AC316)-COLUMN($E$5),1),0),0)</f>
        <v>0</v>
      </c>
      <c r="AD323" s="250">
        <f>IF(AD$6=$C323,IF(INDEX('Surface DEET'!$Q$9:$W$38,COLUMN(AD316)-COLUMN($E$5),1)&gt;0,INDEX('Surface DEET'!$Q$9:$W$38,COLUMN(AD316)-COLUMN($E$5),1),0),0)</f>
        <v>0</v>
      </c>
      <c r="AE323" s="250">
        <f>IF(AE$6=$C323,IF(INDEX('Surface DEET'!$Q$9:$W$38,COLUMN(AE316)-COLUMN($E$5),1)&gt;0,INDEX('Surface DEET'!$Q$9:$W$38,COLUMN(AE316)-COLUMN($E$5),1),0),0)</f>
        <v>0</v>
      </c>
      <c r="AF323" s="250">
        <f>IF(AF$6=$C323,IF(INDEX('Surface DEET'!$Q$9:$W$38,COLUMN(AF316)-COLUMN($E$5),1)&gt;0,INDEX('Surface DEET'!$Q$9:$W$38,COLUMN(AF316)-COLUMN($E$5),1),0),0)</f>
        <v>0</v>
      </c>
      <c r="AG323" s="250">
        <f>IF(AG$6=$C323,IF(INDEX('Surface DEET'!$Q$9:$W$38,COLUMN(AG316)-COLUMN($E$5),1)&gt;0,INDEX('Surface DEET'!$Q$9:$W$38,COLUMN(AG316)-COLUMN($E$5),1),0),0)</f>
        <v>0</v>
      </c>
      <c r="AH323" s="250">
        <f>IF(AH$6=$C323,IF(INDEX('Surface DEET'!$Q$9:$W$38,COLUMN(AH316)-COLUMN($E$5),1)&gt;0,INDEX('Surface DEET'!$Q$9:$W$38,COLUMN(AH316)-COLUMN($E$5),1),0),0)</f>
        <v>0</v>
      </c>
      <c r="AI323" s="250">
        <f>IF(AI$6=$C323,IF(INDEX('Surface DEET'!$Q$9:$W$38,COLUMN(AI316)-COLUMN($E$5),1)&gt;0,INDEX('Surface DEET'!$Q$9:$W$38,COLUMN(AI316)-COLUMN($E$5),1),0),0)</f>
        <v>0</v>
      </c>
    </row>
    <row r="324" spans="2:35">
      <c r="B324" s="250" t="s">
        <v>540</v>
      </c>
      <c r="C324" s="250" t="s">
        <v>665</v>
      </c>
      <c r="D324" s="250" t="s">
        <v>660</v>
      </c>
      <c r="E324" s="250">
        <v>1900</v>
      </c>
      <c r="F324" s="250">
        <f>IF(F$6=$C324,IF(INDEX('Surface DEET'!$Q$9:$W$38,COLUMN(F317)-COLUMN($E$5),4)&gt;0,INDEX('Surface DEET'!$Q$9:$W$38,COLUMN(F317)-COLUMN($E$5),4),0),0)</f>
        <v>0</v>
      </c>
      <c r="G324" s="250">
        <f>IF(G$6=$C324,IF(INDEX('Surface DEET'!$Q$9:$W$38,COLUMN(G317)-COLUMN($E$5),4)&gt;0,INDEX('Surface DEET'!$Q$9:$W$38,COLUMN(G317)-COLUMN($E$5),4),0),0)</f>
        <v>0</v>
      </c>
      <c r="H324" s="250">
        <f>IF(H$6=$C324,IF(INDEX('Surface DEET'!$Q$9:$W$38,COLUMN(H317)-COLUMN($E$5),4)&gt;0,INDEX('Surface DEET'!$Q$9:$W$38,COLUMN(H317)-COLUMN($E$5),4),0),0)</f>
        <v>0</v>
      </c>
      <c r="I324" s="250">
        <f>IF(I$6=$C324,IF(INDEX('Surface DEET'!$Q$9:$W$38,COLUMN(I317)-COLUMN($E$5),4)&gt;0,INDEX('Surface DEET'!$Q$9:$W$38,COLUMN(I317)-COLUMN($E$5),4),0),0)</f>
        <v>0</v>
      </c>
      <c r="J324" s="250">
        <f>IF(J$6=$C324,IF(INDEX('Surface DEET'!$Q$9:$W$38,COLUMN(J317)-COLUMN($E$5),4)&gt;0,INDEX('Surface DEET'!$Q$9:$W$38,COLUMN(J317)-COLUMN($E$5),4),0),0)</f>
        <v>0</v>
      </c>
      <c r="K324" s="250">
        <f>IF(K$6=$C324,IF(INDEX('Surface DEET'!$Q$9:$W$38,COLUMN(K317)-COLUMN($E$5),4)&gt;0,INDEX('Surface DEET'!$Q$9:$W$38,COLUMN(K317)-COLUMN($E$5),4),0),0)</f>
        <v>0</v>
      </c>
      <c r="L324" s="250">
        <f>IF(L$6=$C324,IF(INDEX('Surface DEET'!$Q$9:$W$38,COLUMN(L317)-COLUMN($E$5),4)&gt;0,INDEX('Surface DEET'!$Q$9:$W$38,COLUMN(L317)-COLUMN($E$5),4),0),0)</f>
        <v>0</v>
      </c>
      <c r="M324" s="250">
        <f>IF(M$6=$C324,IF(INDEX('Surface DEET'!$Q$9:$W$38,COLUMN(M317)-COLUMN($E$5),4)&gt;0,INDEX('Surface DEET'!$Q$9:$W$38,COLUMN(M317)-COLUMN($E$5),4),0),0)</f>
        <v>0</v>
      </c>
      <c r="N324" s="250">
        <f>IF(N$6=$C324,IF(INDEX('Surface DEET'!$Q$9:$W$38,COLUMN(N317)-COLUMN($E$5),4)&gt;0,INDEX('Surface DEET'!$Q$9:$W$38,COLUMN(N317)-COLUMN($E$5),4),0),0)</f>
        <v>0</v>
      </c>
      <c r="O324" s="250">
        <f>IF(O$6=$C324,IF(INDEX('Surface DEET'!$Q$9:$W$38,COLUMN(O317)-COLUMN($E$5),4)&gt;0,INDEX('Surface DEET'!$Q$9:$W$38,COLUMN(O317)-COLUMN($E$5),4),0),0)</f>
        <v>0</v>
      </c>
      <c r="P324" s="250">
        <f>IF(P$6=$C324,IF(INDEX('Surface DEET'!$Q$9:$W$38,COLUMN(P317)-COLUMN($E$5),4)&gt;0,INDEX('Surface DEET'!$Q$9:$W$38,COLUMN(P317)-COLUMN($E$5),4),0),0)</f>
        <v>0</v>
      </c>
      <c r="Q324" s="250">
        <f>IF(Q$6=$C324,IF(INDEX('Surface DEET'!$Q$9:$W$38,COLUMN(Q317)-COLUMN($E$5),4)&gt;0,INDEX('Surface DEET'!$Q$9:$W$38,COLUMN(Q317)-COLUMN($E$5),4),0),0)</f>
        <v>0</v>
      </c>
      <c r="R324" s="250">
        <f>IF(R$6=$C324,IF(INDEX('Surface DEET'!$Q$9:$W$38,COLUMN(R317)-COLUMN($E$5),4)&gt;0,INDEX('Surface DEET'!$Q$9:$W$38,COLUMN(R317)-COLUMN($E$5),4),0),0)</f>
        <v>0</v>
      </c>
      <c r="S324" s="250">
        <f>IF(S$6=$C324,IF(INDEX('Surface DEET'!$Q$9:$W$38,COLUMN(S317)-COLUMN($E$5),4)&gt;0,INDEX('Surface DEET'!$Q$9:$W$38,COLUMN(S317)-COLUMN($E$5),4),0),0)</f>
        <v>0</v>
      </c>
      <c r="T324" s="250">
        <f>IF(T$6=$C324,IF(INDEX('Surface DEET'!$Q$9:$W$38,COLUMN(T317)-COLUMN($E$5),4)&gt;0,INDEX('Surface DEET'!$Q$9:$W$38,COLUMN(T317)-COLUMN($E$5),4),0),0)</f>
        <v>0</v>
      </c>
      <c r="U324" s="250">
        <f>IF(U$6=$C324,IF(INDEX('Surface DEET'!$Q$9:$W$38,COLUMN(U317)-COLUMN($E$5),4)&gt;0,INDEX('Surface DEET'!$Q$9:$W$38,COLUMN(U317)-COLUMN($E$5),4),0),0)</f>
        <v>0</v>
      </c>
      <c r="V324" s="250">
        <f>IF(V$6=$C324,IF(INDEX('Surface DEET'!$Q$9:$W$38,COLUMN(V317)-COLUMN($E$5),4)&gt;0,INDEX('Surface DEET'!$Q$9:$W$38,COLUMN(V317)-COLUMN($E$5),4),0),0)</f>
        <v>0</v>
      </c>
      <c r="W324" s="250">
        <f>IF(W$6=$C324,IF(INDEX('Surface DEET'!$Q$9:$W$38,COLUMN(W317)-COLUMN($E$5),4)&gt;0,INDEX('Surface DEET'!$Q$9:$W$38,COLUMN(W317)-COLUMN($E$5),4),0),0)</f>
        <v>0</v>
      </c>
      <c r="X324" s="250">
        <f>IF(X$6=$C324,IF(INDEX('Surface DEET'!$Q$9:$W$38,COLUMN(X317)-COLUMN($E$5),4)&gt;0,INDEX('Surface DEET'!$Q$9:$W$38,COLUMN(X317)-COLUMN($E$5),4),0),0)</f>
        <v>0</v>
      </c>
      <c r="Y324" s="250">
        <f>IF(Y$6=$C324,IF(INDEX('Surface DEET'!$Q$9:$W$38,COLUMN(Y317)-COLUMN($E$5),4)&gt;0,INDEX('Surface DEET'!$Q$9:$W$38,COLUMN(Y317)-COLUMN($E$5),4),0),0)</f>
        <v>0</v>
      </c>
      <c r="Z324" s="250">
        <f>IF(Z$6=$C324,IF(INDEX('Surface DEET'!$Q$9:$W$38,COLUMN(Z317)-COLUMN($E$5),4)&gt;0,INDEX('Surface DEET'!$Q$9:$W$38,COLUMN(Z317)-COLUMN($E$5),4),0),0)</f>
        <v>0</v>
      </c>
      <c r="AA324" s="250">
        <f>IF(AA$6=$C324,IF(INDEX('Surface DEET'!$Q$9:$W$38,COLUMN(AA317)-COLUMN($E$5),4)&gt;0,INDEX('Surface DEET'!$Q$9:$W$38,COLUMN(AA317)-COLUMN($E$5),4),0),0)</f>
        <v>0</v>
      </c>
      <c r="AB324" s="250">
        <f>IF(AB$6=$C324,IF(INDEX('Surface DEET'!$Q$9:$W$38,COLUMN(AB317)-COLUMN($E$5),4)&gt;0,INDEX('Surface DEET'!$Q$9:$W$38,COLUMN(AB317)-COLUMN($E$5),4),0),0)</f>
        <v>0</v>
      </c>
      <c r="AC324" s="250">
        <f>IF(AC$6=$C324,IF(INDEX('Surface DEET'!$Q$9:$W$38,COLUMN(AC317)-COLUMN($E$5),4)&gt;0,INDEX('Surface DEET'!$Q$9:$W$38,COLUMN(AC317)-COLUMN($E$5),4),0),0)</f>
        <v>0</v>
      </c>
      <c r="AD324" s="250">
        <f>IF(AD$6=$C324,IF(INDEX('Surface DEET'!$Q$9:$W$38,COLUMN(AD317)-COLUMN($E$5),4)&gt;0,INDEX('Surface DEET'!$Q$9:$W$38,COLUMN(AD317)-COLUMN($E$5),4),0),0)</f>
        <v>0</v>
      </c>
      <c r="AE324" s="250">
        <f>IF(AE$6=$C324,IF(INDEX('Surface DEET'!$Q$9:$W$38,COLUMN(AE317)-COLUMN($E$5),4)&gt;0,INDEX('Surface DEET'!$Q$9:$W$38,COLUMN(AE317)-COLUMN($E$5),4),0),0)</f>
        <v>0</v>
      </c>
      <c r="AF324" s="250">
        <f>IF(AF$6=$C324,IF(INDEX('Surface DEET'!$Q$9:$W$38,COLUMN(AF317)-COLUMN($E$5),4)&gt;0,INDEX('Surface DEET'!$Q$9:$W$38,COLUMN(AF317)-COLUMN($E$5),4),0),0)</f>
        <v>0</v>
      </c>
      <c r="AG324" s="250">
        <f>IF(AG$6=$C324,IF(INDEX('Surface DEET'!$Q$9:$W$38,COLUMN(AG317)-COLUMN($E$5),4)&gt;0,INDEX('Surface DEET'!$Q$9:$W$38,COLUMN(AG317)-COLUMN($E$5),4),0),0)</f>
        <v>0</v>
      </c>
      <c r="AH324" s="250">
        <f>IF(AH$6=$C324,IF(INDEX('Surface DEET'!$Q$9:$W$38,COLUMN(AH317)-COLUMN($E$5),4)&gt;0,INDEX('Surface DEET'!$Q$9:$W$38,COLUMN(AH317)-COLUMN($E$5),4),0),0)</f>
        <v>0</v>
      </c>
      <c r="AI324" s="250">
        <f>IF(AI$6=$C324,IF(INDEX('Surface DEET'!$Q$9:$W$38,COLUMN(AI317)-COLUMN($E$5),4)&gt;0,INDEX('Surface DEET'!$Q$9:$W$38,COLUMN(AI317)-COLUMN($E$5),4),0),0)</f>
        <v>0</v>
      </c>
    </row>
    <row r="325" spans="2:35">
      <c r="B325" s="250" t="s">
        <v>543</v>
      </c>
      <c r="C325" s="250" t="s">
        <v>665</v>
      </c>
    </row>
    <row r="326" spans="2:35">
      <c r="B326" s="250" t="s">
        <v>533</v>
      </c>
      <c r="C326" s="250" t="s">
        <v>665</v>
      </c>
      <c r="D326" s="250" t="s">
        <v>533</v>
      </c>
      <c r="F326" s="250">
        <f>$E$320*(1+2*F323/$E$323+F324/$E$324)</f>
        <v>20</v>
      </c>
      <c r="G326" s="250">
        <f t="shared" ref="G326:AI326" si="39">$E$320*(1+2*G323/$E$323+G324/$E$324)</f>
        <v>20</v>
      </c>
      <c r="H326" s="250">
        <f t="shared" si="39"/>
        <v>20</v>
      </c>
      <c r="I326" s="250">
        <f t="shared" si="39"/>
        <v>20</v>
      </c>
      <c r="J326" s="250">
        <f t="shared" si="39"/>
        <v>20</v>
      </c>
      <c r="K326" s="250">
        <f t="shared" si="39"/>
        <v>20</v>
      </c>
      <c r="L326" s="250">
        <f t="shared" si="39"/>
        <v>20</v>
      </c>
      <c r="M326" s="250">
        <f t="shared" si="39"/>
        <v>20</v>
      </c>
      <c r="N326" s="250">
        <f t="shared" si="39"/>
        <v>20</v>
      </c>
      <c r="O326" s="250">
        <f t="shared" si="39"/>
        <v>20</v>
      </c>
      <c r="P326" s="250">
        <f t="shared" si="39"/>
        <v>20</v>
      </c>
      <c r="Q326" s="250">
        <f t="shared" si="39"/>
        <v>20</v>
      </c>
      <c r="R326" s="250">
        <f t="shared" si="39"/>
        <v>20</v>
      </c>
      <c r="S326" s="250">
        <f t="shared" si="39"/>
        <v>20</v>
      </c>
      <c r="T326" s="250">
        <f t="shared" si="39"/>
        <v>20</v>
      </c>
      <c r="U326" s="250">
        <f t="shared" si="39"/>
        <v>20</v>
      </c>
      <c r="V326" s="250">
        <f t="shared" si="39"/>
        <v>20</v>
      </c>
      <c r="W326" s="250">
        <f t="shared" si="39"/>
        <v>20</v>
      </c>
      <c r="X326" s="250">
        <f t="shared" si="39"/>
        <v>20</v>
      </c>
      <c r="Y326" s="250">
        <f t="shared" si="39"/>
        <v>20</v>
      </c>
      <c r="Z326" s="250">
        <f t="shared" si="39"/>
        <v>20</v>
      </c>
      <c r="AA326" s="250">
        <f t="shared" si="39"/>
        <v>20</v>
      </c>
      <c r="AB326" s="250">
        <f t="shared" si="39"/>
        <v>20</v>
      </c>
      <c r="AC326" s="250">
        <f t="shared" si="39"/>
        <v>20</v>
      </c>
      <c r="AD326" s="250">
        <f t="shared" si="39"/>
        <v>20</v>
      </c>
      <c r="AE326" s="250">
        <f t="shared" si="39"/>
        <v>20</v>
      </c>
      <c r="AF326" s="250">
        <f t="shared" si="39"/>
        <v>20</v>
      </c>
      <c r="AG326" s="250">
        <f t="shared" si="39"/>
        <v>20</v>
      </c>
      <c r="AH326" s="250">
        <f t="shared" si="39"/>
        <v>20</v>
      </c>
      <c r="AI326" s="250">
        <f t="shared" si="39"/>
        <v>20</v>
      </c>
    </row>
    <row r="327" spans="2:35">
      <c r="B327" s="88" t="s">
        <v>294</v>
      </c>
      <c r="C327" s="250" t="s">
        <v>666</v>
      </c>
      <c r="D327" s="88" t="s">
        <v>294</v>
      </c>
      <c r="E327" s="250">
        <f t="array" ref="E327">INDEX(CABS_CVC!$C$3:$O$894,MATCH(1, (CABS_CVC!$A$3:$A$894=Calculs_CABS!C327)*(CABS_CVC!$B$3:$B$894=Calculs_CABS!$D$2),0),MATCH(Calculs_CABS!$D$1,Liste_CABS!$B$3:$B$15,0))</f>
        <v>69</v>
      </c>
    </row>
    <row r="328" spans="2:35">
      <c r="B328" s="250" t="s">
        <v>534</v>
      </c>
      <c r="C328" s="250" t="s">
        <v>666</v>
      </c>
      <c r="D328" s="250" t="s">
        <v>534</v>
      </c>
      <c r="E328" s="250">
        <v>35</v>
      </c>
    </row>
    <row r="329" spans="2:35">
      <c r="B329" s="250" t="s">
        <v>535</v>
      </c>
      <c r="C329" s="250" t="s">
        <v>666</v>
      </c>
      <c r="D329" s="250" t="s">
        <v>535</v>
      </c>
      <c r="E329" s="250">
        <f>E327+E328</f>
        <v>104</v>
      </c>
    </row>
    <row r="330" spans="2:35">
      <c r="B330" s="250" t="s">
        <v>536</v>
      </c>
      <c r="C330" s="250" t="s">
        <v>666</v>
      </c>
      <c r="D330" s="250" t="s">
        <v>536</v>
      </c>
      <c r="E330" s="250">
        <v>0</v>
      </c>
    </row>
    <row r="331" spans="2:35">
      <c r="B331" s="250" t="s">
        <v>537</v>
      </c>
      <c r="C331" s="250" t="s">
        <v>666</v>
      </c>
      <c r="D331" s="250" t="s">
        <v>659</v>
      </c>
      <c r="E331" s="250">
        <v>1900</v>
      </c>
      <c r="F331" s="250">
        <f>IF(F$6=$C331,IF(INDEX('Surface DEET'!$Q$9:$W$38,COLUMN(F324)-COLUMN($E$5),1)&gt;0,INDEX('Surface DEET'!$Q$9:$W$38,COLUMN(F324)-COLUMN($E$5),1),0),0)</f>
        <v>0</v>
      </c>
      <c r="G331" s="250">
        <f>IF(G$6=$C331,IF(INDEX('Surface DEET'!$Q$9:$W$38,COLUMN(G324)-COLUMN($E$5),1)&gt;0,INDEX('Surface DEET'!$Q$9:$W$38,COLUMN(G324)-COLUMN($E$5),1),0),0)</f>
        <v>0</v>
      </c>
      <c r="H331" s="250">
        <f>IF(H$6=$C331,IF(INDEX('Surface DEET'!$Q$9:$W$38,COLUMN(H324)-COLUMN($E$5),1)&gt;0,INDEX('Surface DEET'!$Q$9:$W$38,COLUMN(H324)-COLUMN($E$5),1),0),0)</f>
        <v>0</v>
      </c>
      <c r="I331" s="250">
        <f>IF(I$6=$C331,IF(INDEX('Surface DEET'!$Q$9:$W$38,COLUMN(I324)-COLUMN($E$5),1)&gt;0,INDEX('Surface DEET'!$Q$9:$W$38,COLUMN(I324)-COLUMN($E$5),1),0),0)</f>
        <v>0</v>
      </c>
      <c r="J331" s="250">
        <f>IF(J$6=$C331,IF(INDEX('Surface DEET'!$Q$9:$W$38,COLUMN(J324)-COLUMN($E$5),1)&gt;0,INDEX('Surface DEET'!$Q$9:$W$38,COLUMN(J324)-COLUMN($E$5),1),0),0)</f>
        <v>0</v>
      </c>
      <c r="K331" s="250">
        <f>IF(K$6=$C331,IF(INDEX('Surface DEET'!$Q$9:$W$38,COLUMN(K324)-COLUMN($E$5),1)&gt;0,INDEX('Surface DEET'!$Q$9:$W$38,COLUMN(K324)-COLUMN($E$5),1),0),0)</f>
        <v>0</v>
      </c>
      <c r="L331" s="250">
        <f>IF(L$6=$C331,IF(INDEX('Surface DEET'!$Q$9:$W$38,COLUMN(L324)-COLUMN($E$5),1)&gt;0,INDEX('Surface DEET'!$Q$9:$W$38,COLUMN(L324)-COLUMN($E$5),1),0),0)</f>
        <v>0</v>
      </c>
      <c r="M331" s="250">
        <f>IF(M$6=$C331,IF(INDEX('Surface DEET'!$Q$9:$W$38,COLUMN(M324)-COLUMN($E$5),1)&gt;0,INDEX('Surface DEET'!$Q$9:$W$38,COLUMN(M324)-COLUMN($E$5),1),0),0)</f>
        <v>0</v>
      </c>
      <c r="N331" s="250">
        <f>IF(N$6=$C331,IF(INDEX('Surface DEET'!$Q$9:$W$38,COLUMN(N324)-COLUMN($E$5),1)&gt;0,INDEX('Surface DEET'!$Q$9:$W$38,COLUMN(N324)-COLUMN($E$5),1),0),0)</f>
        <v>0</v>
      </c>
      <c r="O331" s="250">
        <f>IF(O$6=$C331,IF(INDEX('Surface DEET'!$Q$9:$W$38,COLUMN(O324)-COLUMN($E$5),1)&gt;0,INDEX('Surface DEET'!$Q$9:$W$38,COLUMN(O324)-COLUMN($E$5),1),0),0)</f>
        <v>0</v>
      </c>
      <c r="P331" s="250">
        <f>IF(P$6=$C331,IF(INDEX('Surface DEET'!$Q$9:$W$38,COLUMN(P324)-COLUMN($E$5),1)&gt;0,INDEX('Surface DEET'!$Q$9:$W$38,COLUMN(P324)-COLUMN($E$5),1),0),0)</f>
        <v>0</v>
      </c>
      <c r="Q331" s="250">
        <f>IF(Q$6=$C331,IF(INDEX('Surface DEET'!$Q$9:$W$38,COLUMN(Q324)-COLUMN($E$5),1)&gt;0,INDEX('Surface DEET'!$Q$9:$W$38,COLUMN(Q324)-COLUMN($E$5),1),0),0)</f>
        <v>0</v>
      </c>
      <c r="R331" s="250">
        <f>IF(R$6=$C331,IF(INDEX('Surface DEET'!$Q$9:$W$38,COLUMN(R324)-COLUMN($E$5),1)&gt;0,INDEX('Surface DEET'!$Q$9:$W$38,COLUMN(R324)-COLUMN($E$5),1),0),0)</f>
        <v>0</v>
      </c>
      <c r="S331" s="250">
        <f>IF(S$6=$C331,IF(INDEX('Surface DEET'!$Q$9:$W$38,COLUMN(S324)-COLUMN($E$5),1)&gt;0,INDEX('Surface DEET'!$Q$9:$W$38,COLUMN(S324)-COLUMN($E$5),1),0),0)</f>
        <v>0</v>
      </c>
      <c r="T331" s="250">
        <f>IF(T$6=$C331,IF(INDEX('Surface DEET'!$Q$9:$W$38,COLUMN(T324)-COLUMN($E$5),1)&gt;0,INDEX('Surface DEET'!$Q$9:$W$38,COLUMN(T324)-COLUMN($E$5),1),0),0)</f>
        <v>0</v>
      </c>
      <c r="U331" s="250">
        <f>IF(U$6=$C331,IF(INDEX('Surface DEET'!$Q$9:$W$38,COLUMN(U324)-COLUMN($E$5),1)&gt;0,INDEX('Surface DEET'!$Q$9:$W$38,COLUMN(U324)-COLUMN($E$5),1),0),0)</f>
        <v>0</v>
      </c>
      <c r="V331" s="250">
        <f>IF(V$6=$C331,IF(INDEX('Surface DEET'!$Q$9:$W$38,COLUMN(V324)-COLUMN($E$5),1)&gt;0,INDEX('Surface DEET'!$Q$9:$W$38,COLUMN(V324)-COLUMN($E$5),1),0),0)</f>
        <v>0</v>
      </c>
      <c r="W331" s="250">
        <f>IF(W$6=$C331,IF(INDEX('Surface DEET'!$Q$9:$W$38,COLUMN(W324)-COLUMN($E$5),1)&gt;0,INDEX('Surface DEET'!$Q$9:$W$38,COLUMN(W324)-COLUMN($E$5),1),0),0)</f>
        <v>0</v>
      </c>
      <c r="X331" s="250">
        <f>IF(X$6=$C331,IF(INDEX('Surface DEET'!$Q$9:$W$38,COLUMN(X324)-COLUMN($E$5),1)&gt;0,INDEX('Surface DEET'!$Q$9:$W$38,COLUMN(X324)-COLUMN($E$5),1),0),0)</f>
        <v>0</v>
      </c>
      <c r="Y331" s="250">
        <f>IF(Y$6=$C331,IF(INDEX('Surface DEET'!$Q$9:$W$38,COLUMN(Y324)-COLUMN($E$5),1)&gt;0,INDEX('Surface DEET'!$Q$9:$W$38,COLUMN(Y324)-COLUMN($E$5),1),0),0)</f>
        <v>0</v>
      </c>
      <c r="Z331" s="250">
        <f>IF(Z$6=$C331,IF(INDEX('Surface DEET'!$Q$9:$W$38,COLUMN(Z324)-COLUMN($E$5),1)&gt;0,INDEX('Surface DEET'!$Q$9:$W$38,COLUMN(Z324)-COLUMN($E$5),1),0),0)</f>
        <v>0</v>
      </c>
      <c r="AA331" s="250">
        <f>IF(AA$6=$C331,IF(INDEX('Surface DEET'!$Q$9:$W$38,COLUMN(AA324)-COLUMN($E$5),1)&gt;0,INDEX('Surface DEET'!$Q$9:$W$38,COLUMN(AA324)-COLUMN($E$5),1),0),0)</f>
        <v>0</v>
      </c>
      <c r="AB331" s="250">
        <f>IF(AB$6=$C331,IF(INDEX('Surface DEET'!$Q$9:$W$38,COLUMN(AB324)-COLUMN($E$5),1)&gt;0,INDEX('Surface DEET'!$Q$9:$W$38,COLUMN(AB324)-COLUMN($E$5),1),0),0)</f>
        <v>0</v>
      </c>
      <c r="AC331" s="250">
        <f>IF(AC$6=$C331,IF(INDEX('Surface DEET'!$Q$9:$W$38,COLUMN(AC324)-COLUMN($E$5),1)&gt;0,INDEX('Surface DEET'!$Q$9:$W$38,COLUMN(AC324)-COLUMN($E$5),1),0),0)</f>
        <v>0</v>
      </c>
      <c r="AD331" s="250">
        <f>IF(AD$6=$C331,IF(INDEX('Surface DEET'!$Q$9:$W$38,COLUMN(AD324)-COLUMN($E$5),1)&gt;0,INDEX('Surface DEET'!$Q$9:$W$38,COLUMN(AD324)-COLUMN($E$5),1),0),0)</f>
        <v>0</v>
      </c>
      <c r="AE331" s="250">
        <f>IF(AE$6=$C331,IF(INDEX('Surface DEET'!$Q$9:$W$38,COLUMN(AE324)-COLUMN($E$5),1)&gt;0,INDEX('Surface DEET'!$Q$9:$W$38,COLUMN(AE324)-COLUMN($E$5),1),0),0)</f>
        <v>0</v>
      </c>
      <c r="AF331" s="250">
        <f>IF(AF$6=$C331,IF(INDEX('Surface DEET'!$Q$9:$W$38,COLUMN(AF324)-COLUMN($E$5),1)&gt;0,INDEX('Surface DEET'!$Q$9:$W$38,COLUMN(AF324)-COLUMN($E$5),1),0),0)</f>
        <v>0</v>
      </c>
      <c r="AG331" s="250">
        <f>IF(AG$6=$C331,IF(INDEX('Surface DEET'!$Q$9:$W$38,COLUMN(AG324)-COLUMN($E$5),1)&gt;0,INDEX('Surface DEET'!$Q$9:$W$38,COLUMN(AG324)-COLUMN($E$5),1),0),0)</f>
        <v>0</v>
      </c>
      <c r="AH331" s="250">
        <f>IF(AH$6=$C331,IF(INDEX('Surface DEET'!$Q$9:$W$38,COLUMN(AH324)-COLUMN($E$5),1)&gt;0,INDEX('Surface DEET'!$Q$9:$W$38,COLUMN(AH324)-COLUMN($E$5),1),0),0)</f>
        <v>0</v>
      </c>
      <c r="AI331" s="250">
        <f>IF(AI$6=$C331,IF(INDEX('Surface DEET'!$Q$9:$W$38,COLUMN(AI324)-COLUMN($E$5),1)&gt;0,INDEX('Surface DEET'!$Q$9:$W$38,COLUMN(AI324)-COLUMN($E$5),1),0),0)</f>
        <v>0</v>
      </c>
    </row>
    <row r="332" spans="2:35">
      <c r="B332" s="250" t="s">
        <v>540</v>
      </c>
      <c r="C332" s="250" t="s">
        <v>666</v>
      </c>
      <c r="D332" s="250" t="s">
        <v>660</v>
      </c>
      <c r="E332" s="250">
        <v>1900</v>
      </c>
      <c r="F332" s="250">
        <f>IF(F$6=$C332,IF(INDEX('Surface DEET'!$Q$9:$W$38,COLUMN(F325)-COLUMN($E$5),4)&gt;0,INDEX('Surface DEET'!$Q$9:$W$38,COLUMN(F325)-COLUMN($E$5),4),0),0)</f>
        <v>0</v>
      </c>
      <c r="G332" s="250">
        <f>IF(G$6=$C332,IF(INDEX('Surface DEET'!$Q$9:$W$38,COLUMN(G325)-COLUMN($E$5),4)&gt;0,INDEX('Surface DEET'!$Q$9:$W$38,COLUMN(G325)-COLUMN($E$5),4),0),0)</f>
        <v>0</v>
      </c>
      <c r="H332" s="250">
        <f>IF(H$6=$C332,IF(INDEX('Surface DEET'!$Q$9:$W$38,COLUMN(H325)-COLUMN($E$5),4)&gt;0,INDEX('Surface DEET'!$Q$9:$W$38,COLUMN(H325)-COLUMN($E$5),4),0),0)</f>
        <v>0</v>
      </c>
      <c r="I332" s="250">
        <f>IF(I$6=$C332,IF(INDEX('Surface DEET'!$Q$9:$W$38,COLUMN(I325)-COLUMN($E$5),4)&gt;0,INDEX('Surface DEET'!$Q$9:$W$38,COLUMN(I325)-COLUMN($E$5),4),0),0)</f>
        <v>0</v>
      </c>
      <c r="J332" s="250">
        <f>IF(J$6=$C332,IF(INDEX('Surface DEET'!$Q$9:$W$38,COLUMN(J325)-COLUMN($E$5),4)&gt;0,INDEX('Surface DEET'!$Q$9:$W$38,COLUMN(J325)-COLUMN($E$5),4),0),0)</f>
        <v>0</v>
      </c>
      <c r="K332" s="250">
        <f>IF(K$6=$C332,IF(INDEX('Surface DEET'!$Q$9:$W$38,COLUMN(K325)-COLUMN($E$5),4)&gt;0,INDEX('Surface DEET'!$Q$9:$W$38,COLUMN(K325)-COLUMN($E$5),4),0),0)</f>
        <v>0</v>
      </c>
      <c r="L332" s="250">
        <f>IF(L$6=$C332,IF(INDEX('Surface DEET'!$Q$9:$W$38,COLUMN(L325)-COLUMN($E$5),4)&gt;0,INDEX('Surface DEET'!$Q$9:$W$38,COLUMN(L325)-COLUMN($E$5),4),0),0)</f>
        <v>0</v>
      </c>
      <c r="M332" s="250">
        <f>IF(M$6=$C332,IF(INDEX('Surface DEET'!$Q$9:$W$38,COLUMN(M325)-COLUMN($E$5),4)&gt;0,INDEX('Surface DEET'!$Q$9:$W$38,COLUMN(M325)-COLUMN($E$5),4),0),0)</f>
        <v>0</v>
      </c>
      <c r="N332" s="250">
        <f>IF(N$6=$C332,IF(INDEX('Surface DEET'!$Q$9:$W$38,COLUMN(N325)-COLUMN($E$5),4)&gt;0,INDEX('Surface DEET'!$Q$9:$W$38,COLUMN(N325)-COLUMN($E$5),4),0),0)</f>
        <v>0</v>
      </c>
      <c r="O332" s="250">
        <f>IF(O$6=$C332,IF(INDEX('Surface DEET'!$Q$9:$W$38,COLUMN(O325)-COLUMN($E$5),4)&gt;0,INDEX('Surface DEET'!$Q$9:$W$38,COLUMN(O325)-COLUMN($E$5),4),0),0)</f>
        <v>0</v>
      </c>
      <c r="P332" s="250">
        <f>IF(P$6=$C332,IF(INDEX('Surface DEET'!$Q$9:$W$38,COLUMN(P325)-COLUMN($E$5),4)&gt;0,INDEX('Surface DEET'!$Q$9:$W$38,COLUMN(P325)-COLUMN($E$5),4),0),0)</f>
        <v>0</v>
      </c>
      <c r="Q332" s="250">
        <f>IF(Q$6=$C332,IF(INDEX('Surface DEET'!$Q$9:$W$38,COLUMN(Q325)-COLUMN($E$5),4)&gt;0,INDEX('Surface DEET'!$Q$9:$W$38,COLUMN(Q325)-COLUMN($E$5),4),0),0)</f>
        <v>0</v>
      </c>
      <c r="R332" s="250">
        <f>IF(R$6=$C332,IF(INDEX('Surface DEET'!$Q$9:$W$38,COLUMN(R325)-COLUMN($E$5),4)&gt;0,INDEX('Surface DEET'!$Q$9:$W$38,COLUMN(R325)-COLUMN($E$5),4),0),0)</f>
        <v>0</v>
      </c>
      <c r="S332" s="250">
        <f>IF(S$6=$C332,IF(INDEX('Surface DEET'!$Q$9:$W$38,COLUMN(S325)-COLUMN($E$5),4)&gt;0,INDEX('Surface DEET'!$Q$9:$W$38,COLUMN(S325)-COLUMN($E$5),4),0),0)</f>
        <v>0</v>
      </c>
      <c r="T332" s="250">
        <f>IF(T$6=$C332,IF(INDEX('Surface DEET'!$Q$9:$W$38,COLUMN(T325)-COLUMN($E$5),4)&gt;0,INDEX('Surface DEET'!$Q$9:$W$38,COLUMN(T325)-COLUMN($E$5),4),0),0)</f>
        <v>0</v>
      </c>
      <c r="U332" s="250">
        <f>IF(U$6=$C332,IF(INDEX('Surface DEET'!$Q$9:$W$38,COLUMN(U325)-COLUMN($E$5),4)&gt;0,INDEX('Surface DEET'!$Q$9:$W$38,COLUMN(U325)-COLUMN($E$5),4),0),0)</f>
        <v>0</v>
      </c>
      <c r="V332" s="250">
        <f>IF(V$6=$C332,IF(INDEX('Surface DEET'!$Q$9:$W$38,COLUMN(V325)-COLUMN($E$5),4)&gt;0,INDEX('Surface DEET'!$Q$9:$W$38,COLUMN(V325)-COLUMN($E$5),4),0),0)</f>
        <v>0</v>
      </c>
      <c r="W332" s="250">
        <f>IF(W$6=$C332,IF(INDEX('Surface DEET'!$Q$9:$W$38,COLUMN(W325)-COLUMN($E$5),4)&gt;0,INDEX('Surface DEET'!$Q$9:$W$38,COLUMN(W325)-COLUMN($E$5),4),0),0)</f>
        <v>0</v>
      </c>
      <c r="X332" s="250">
        <f>IF(X$6=$C332,IF(INDEX('Surface DEET'!$Q$9:$W$38,COLUMN(X325)-COLUMN($E$5),4)&gt;0,INDEX('Surface DEET'!$Q$9:$W$38,COLUMN(X325)-COLUMN($E$5),4),0),0)</f>
        <v>0</v>
      </c>
      <c r="Y332" s="250">
        <f>IF(Y$6=$C332,IF(INDEX('Surface DEET'!$Q$9:$W$38,COLUMN(Y325)-COLUMN($E$5),4)&gt;0,INDEX('Surface DEET'!$Q$9:$W$38,COLUMN(Y325)-COLUMN($E$5),4),0),0)</f>
        <v>0</v>
      </c>
      <c r="Z332" s="250">
        <f>IF(Z$6=$C332,IF(INDEX('Surface DEET'!$Q$9:$W$38,COLUMN(Z325)-COLUMN($E$5),4)&gt;0,INDEX('Surface DEET'!$Q$9:$W$38,COLUMN(Z325)-COLUMN($E$5),4),0),0)</f>
        <v>0</v>
      </c>
      <c r="AA332" s="250">
        <f>IF(AA$6=$C332,IF(INDEX('Surface DEET'!$Q$9:$W$38,COLUMN(AA325)-COLUMN($E$5),4)&gt;0,INDEX('Surface DEET'!$Q$9:$W$38,COLUMN(AA325)-COLUMN($E$5),4),0),0)</f>
        <v>0</v>
      </c>
      <c r="AB332" s="250">
        <f>IF(AB$6=$C332,IF(INDEX('Surface DEET'!$Q$9:$W$38,COLUMN(AB325)-COLUMN($E$5),4)&gt;0,INDEX('Surface DEET'!$Q$9:$W$38,COLUMN(AB325)-COLUMN($E$5),4),0),0)</f>
        <v>0</v>
      </c>
      <c r="AC332" s="250">
        <f>IF(AC$6=$C332,IF(INDEX('Surface DEET'!$Q$9:$W$38,COLUMN(AC325)-COLUMN($E$5),4)&gt;0,INDEX('Surface DEET'!$Q$9:$W$38,COLUMN(AC325)-COLUMN($E$5),4),0),0)</f>
        <v>0</v>
      </c>
      <c r="AD332" s="250">
        <f>IF(AD$6=$C332,IF(INDEX('Surface DEET'!$Q$9:$W$38,COLUMN(AD325)-COLUMN($E$5),4)&gt;0,INDEX('Surface DEET'!$Q$9:$W$38,COLUMN(AD325)-COLUMN($E$5),4),0),0)</f>
        <v>0</v>
      </c>
      <c r="AE332" s="250">
        <f>IF(AE$6=$C332,IF(INDEX('Surface DEET'!$Q$9:$W$38,COLUMN(AE325)-COLUMN($E$5),4)&gt;0,INDEX('Surface DEET'!$Q$9:$W$38,COLUMN(AE325)-COLUMN($E$5),4),0),0)</f>
        <v>0</v>
      </c>
      <c r="AF332" s="250">
        <f>IF(AF$6=$C332,IF(INDEX('Surface DEET'!$Q$9:$W$38,COLUMN(AF325)-COLUMN($E$5),4)&gt;0,INDEX('Surface DEET'!$Q$9:$W$38,COLUMN(AF325)-COLUMN($E$5),4),0),0)</f>
        <v>0</v>
      </c>
      <c r="AG332" s="250">
        <f>IF(AG$6=$C332,IF(INDEX('Surface DEET'!$Q$9:$W$38,COLUMN(AG325)-COLUMN($E$5),4)&gt;0,INDEX('Surface DEET'!$Q$9:$W$38,COLUMN(AG325)-COLUMN($E$5),4),0),0)</f>
        <v>0</v>
      </c>
      <c r="AH332" s="250">
        <f>IF(AH$6=$C332,IF(INDEX('Surface DEET'!$Q$9:$W$38,COLUMN(AH325)-COLUMN($E$5),4)&gt;0,INDEX('Surface DEET'!$Q$9:$W$38,COLUMN(AH325)-COLUMN($E$5),4),0),0)</f>
        <v>0</v>
      </c>
      <c r="AI332" s="250">
        <f>IF(AI$6=$C332,IF(INDEX('Surface DEET'!$Q$9:$W$38,COLUMN(AI325)-COLUMN($E$5),4)&gt;0,INDEX('Surface DEET'!$Q$9:$W$38,COLUMN(AI325)-COLUMN($E$5),4),0),0)</f>
        <v>0</v>
      </c>
    </row>
    <row r="333" spans="2:35">
      <c r="B333" s="250" t="s">
        <v>543</v>
      </c>
      <c r="C333" s="250" t="s">
        <v>666</v>
      </c>
    </row>
    <row r="334" spans="2:35">
      <c r="B334" s="250" t="s">
        <v>533</v>
      </c>
      <c r="C334" s="250" t="s">
        <v>666</v>
      </c>
      <c r="D334" s="250" t="s">
        <v>533</v>
      </c>
      <c r="F334" s="250">
        <f>$E$328*(1+2*F331/$E$331+F332/$E$332)</f>
        <v>35</v>
      </c>
      <c r="G334" s="250">
        <f t="shared" ref="G334:AI334" si="40">$E$328*(1+2*G331/$E$331+G332/$E$332)</f>
        <v>35</v>
      </c>
      <c r="H334" s="250">
        <f t="shared" si="40"/>
        <v>35</v>
      </c>
      <c r="I334" s="250">
        <f t="shared" si="40"/>
        <v>35</v>
      </c>
      <c r="J334" s="250">
        <f t="shared" si="40"/>
        <v>35</v>
      </c>
      <c r="K334" s="250">
        <f t="shared" si="40"/>
        <v>35</v>
      </c>
      <c r="L334" s="250">
        <f t="shared" si="40"/>
        <v>35</v>
      </c>
      <c r="M334" s="250">
        <f t="shared" si="40"/>
        <v>35</v>
      </c>
      <c r="N334" s="250">
        <f t="shared" si="40"/>
        <v>35</v>
      </c>
      <c r="O334" s="250">
        <f t="shared" si="40"/>
        <v>35</v>
      </c>
      <c r="P334" s="250">
        <f t="shared" si="40"/>
        <v>35</v>
      </c>
      <c r="Q334" s="250">
        <f t="shared" si="40"/>
        <v>35</v>
      </c>
      <c r="R334" s="250">
        <f t="shared" si="40"/>
        <v>35</v>
      </c>
      <c r="S334" s="250">
        <f t="shared" si="40"/>
        <v>35</v>
      </c>
      <c r="T334" s="250">
        <f t="shared" si="40"/>
        <v>35</v>
      </c>
      <c r="U334" s="250">
        <f t="shared" si="40"/>
        <v>35</v>
      </c>
      <c r="V334" s="250">
        <f t="shared" si="40"/>
        <v>35</v>
      </c>
      <c r="W334" s="250">
        <f t="shared" si="40"/>
        <v>35</v>
      </c>
      <c r="X334" s="250">
        <f t="shared" si="40"/>
        <v>35</v>
      </c>
      <c r="Y334" s="250">
        <f t="shared" si="40"/>
        <v>35</v>
      </c>
      <c r="Z334" s="250">
        <f t="shared" si="40"/>
        <v>35</v>
      </c>
      <c r="AA334" s="250">
        <f t="shared" si="40"/>
        <v>35</v>
      </c>
      <c r="AB334" s="250">
        <f t="shared" si="40"/>
        <v>35</v>
      </c>
      <c r="AC334" s="250">
        <f t="shared" si="40"/>
        <v>35</v>
      </c>
      <c r="AD334" s="250">
        <f t="shared" si="40"/>
        <v>35</v>
      </c>
      <c r="AE334" s="250">
        <f t="shared" si="40"/>
        <v>35</v>
      </c>
      <c r="AF334" s="250">
        <f t="shared" si="40"/>
        <v>35</v>
      </c>
      <c r="AG334" s="250">
        <f t="shared" si="40"/>
        <v>35</v>
      </c>
      <c r="AH334" s="250">
        <f t="shared" si="40"/>
        <v>35</v>
      </c>
      <c r="AI334" s="250">
        <f t="shared" si="40"/>
        <v>35</v>
      </c>
    </row>
    <row r="335" spans="2:35">
      <c r="B335" s="88" t="s">
        <v>294</v>
      </c>
      <c r="C335" s="250" t="s">
        <v>667</v>
      </c>
      <c r="D335" s="88" t="s">
        <v>294</v>
      </c>
      <c r="E335" s="250">
        <f t="array" ref="E335">INDEX(CABS_CVC!$C$3:$O$894,MATCH(1, (CABS_CVC!$A$3:$A$894=Calculs_CABS!C335)*(CABS_CVC!$B$3:$B$894=Calculs_CABS!$D$2),0),MATCH(Calculs_CABS!$D$1,Liste_CABS!$B$3:$B$15,0))</f>
        <v>69</v>
      </c>
    </row>
    <row r="336" spans="2:35">
      <c r="B336" s="250" t="s">
        <v>534</v>
      </c>
      <c r="C336" s="250" t="s">
        <v>667</v>
      </c>
      <c r="D336" s="250" t="s">
        <v>534</v>
      </c>
      <c r="E336" s="250">
        <v>21</v>
      </c>
    </row>
    <row r="337" spans="2:35">
      <c r="B337" s="250" t="s">
        <v>535</v>
      </c>
      <c r="C337" s="250" t="s">
        <v>667</v>
      </c>
      <c r="D337" s="250" t="s">
        <v>535</v>
      </c>
      <c r="E337" s="250">
        <f>E335+E336</f>
        <v>90</v>
      </c>
    </row>
    <row r="338" spans="2:35">
      <c r="B338" s="250" t="s">
        <v>536</v>
      </c>
      <c r="C338" s="250" t="s">
        <v>667</v>
      </c>
      <c r="D338" s="250" t="s">
        <v>536</v>
      </c>
      <c r="E338" s="250">
        <v>0</v>
      </c>
    </row>
    <row r="339" spans="2:35">
      <c r="B339" s="250" t="s">
        <v>537</v>
      </c>
      <c r="C339" s="250" t="s">
        <v>667</v>
      </c>
      <c r="D339" s="250" t="s">
        <v>659</v>
      </c>
      <c r="E339" s="250">
        <v>4560</v>
      </c>
      <c r="F339" s="250">
        <f>IF(F$6=$C339,IF(INDEX('Surface DEET'!$Q$9:$W$38,COLUMN(F332)-COLUMN($E$5),1)&gt;0,INDEX('Surface DEET'!$Q$9:$W$38,COLUMN(F332)-COLUMN($E$5),1),0),0)</f>
        <v>0</v>
      </c>
      <c r="G339" s="250">
        <f>IF(G$6=$C339,IF(INDEX('Surface DEET'!$Q$9:$W$38,COLUMN(G332)-COLUMN($E$5),1)&gt;0,INDEX('Surface DEET'!$Q$9:$W$38,COLUMN(G332)-COLUMN($E$5),1),0),0)</f>
        <v>0</v>
      </c>
      <c r="H339" s="250">
        <f>IF(H$6=$C339,IF(INDEX('Surface DEET'!$Q$9:$W$38,COLUMN(H332)-COLUMN($E$5),1)&gt;0,INDEX('Surface DEET'!$Q$9:$W$38,COLUMN(H332)-COLUMN($E$5),1),0),0)</f>
        <v>0</v>
      </c>
      <c r="I339" s="250">
        <f>IF(I$6=$C339,IF(INDEX('Surface DEET'!$Q$9:$W$38,COLUMN(I332)-COLUMN($E$5),1)&gt;0,INDEX('Surface DEET'!$Q$9:$W$38,COLUMN(I332)-COLUMN($E$5),1),0),0)</f>
        <v>0</v>
      </c>
      <c r="J339" s="250">
        <f>IF(J$6=$C339,IF(INDEX('Surface DEET'!$Q$9:$W$38,COLUMN(J332)-COLUMN($E$5),1)&gt;0,INDEX('Surface DEET'!$Q$9:$W$38,COLUMN(J332)-COLUMN($E$5),1),0),0)</f>
        <v>0</v>
      </c>
      <c r="K339" s="250">
        <f>IF(K$6=$C339,IF(INDEX('Surface DEET'!$Q$9:$W$38,COLUMN(K332)-COLUMN($E$5),1)&gt;0,INDEX('Surface DEET'!$Q$9:$W$38,COLUMN(K332)-COLUMN($E$5),1),0),0)</f>
        <v>0</v>
      </c>
      <c r="L339" s="250">
        <f>IF(L$6=$C339,IF(INDEX('Surface DEET'!$Q$9:$W$38,COLUMN(L332)-COLUMN($E$5),1)&gt;0,INDEX('Surface DEET'!$Q$9:$W$38,COLUMN(L332)-COLUMN($E$5),1),0),0)</f>
        <v>0</v>
      </c>
      <c r="M339" s="250">
        <f>IF(M$6=$C339,IF(INDEX('Surface DEET'!$Q$9:$W$38,COLUMN(M332)-COLUMN($E$5),1)&gt;0,INDEX('Surface DEET'!$Q$9:$W$38,COLUMN(M332)-COLUMN($E$5),1),0),0)</f>
        <v>0</v>
      </c>
      <c r="N339" s="250">
        <f>IF(N$6=$C339,IF(INDEX('Surface DEET'!$Q$9:$W$38,COLUMN(N332)-COLUMN($E$5),1)&gt;0,INDEX('Surface DEET'!$Q$9:$W$38,COLUMN(N332)-COLUMN($E$5),1),0),0)</f>
        <v>0</v>
      </c>
      <c r="O339" s="250">
        <f>IF(O$6=$C339,IF(INDEX('Surface DEET'!$Q$9:$W$38,COLUMN(O332)-COLUMN($E$5),1)&gt;0,INDEX('Surface DEET'!$Q$9:$W$38,COLUMN(O332)-COLUMN($E$5),1),0),0)</f>
        <v>0</v>
      </c>
      <c r="P339" s="250">
        <f>IF(P$6=$C339,IF(INDEX('Surface DEET'!$Q$9:$W$38,COLUMN(P332)-COLUMN($E$5),1)&gt;0,INDEX('Surface DEET'!$Q$9:$W$38,COLUMN(P332)-COLUMN($E$5),1),0),0)</f>
        <v>0</v>
      </c>
      <c r="Q339" s="250">
        <f>IF(Q$6=$C339,IF(INDEX('Surface DEET'!$Q$9:$W$38,COLUMN(Q332)-COLUMN($E$5),1)&gt;0,INDEX('Surface DEET'!$Q$9:$W$38,COLUMN(Q332)-COLUMN($E$5),1),0),0)</f>
        <v>0</v>
      </c>
      <c r="R339" s="250">
        <f>IF(R$6=$C339,IF(INDEX('Surface DEET'!$Q$9:$W$38,COLUMN(R332)-COLUMN($E$5),1)&gt;0,INDEX('Surface DEET'!$Q$9:$W$38,COLUMN(R332)-COLUMN($E$5),1),0),0)</f>
        <v>0</v>
      </c>
      <c r="S339" s="250">
        <f>IF(S$6=$C339,IF(INDEX('Surface DEET'!$Q$9:$W$38,COLUMN(S332)-COLUMN($E$5),1)&gt;0,INDEX('Surface DEET'!$Q$9:$W$38,COLUMN(S332)-COLUMN($E$5),1),0),0)</f>
        <v>0</v>
      </c>
      <c r="T339" s="250">
        <f>IF(T$6=$C339,IF(INDEX('Surface DEET'!$Q$9:$W$38,COLUMN(T332)-COLUMN($E$5),1)&gt;0,INDEX('Surface DEET'!$Q$9:$W$38,COLUMN(T332)-COLUMN($E$5),1),0),0)</f>
        <v>0</v>
      </c>
      <c r="U339" s="250">
        <f>IF(U$6=$C339,IF(INDEX('Surface DEET'!$Q$9:$W$38,COLUMN(U332)-COLUMN($E$5),1)&gt;0,INDEX('Surface DEET'!$Q$9:$W$38,COLUMN(U332)-COLUMN($E$5),1),0),0)</f>
        <v>0</v>
      </c>
      <c r="V339" s="250">
        <f>IF(V$6=$C339,IF(INDEX('Surface DEET'!$Q$9:$W$38,COLUMN(V332)-COLUMN($E$5),1)&gt;0,INDEX('Surface DEET'!$Q$9:$W$38,COLUMN(V332)-COLUMN($E$5),1),0),0)</f>
        <v>0</v>
      </c>
      <c r="W339" s="250">
        <f>IF(W$6=$C339,IF(INDEX('Surface DEET'!$Q$9:$W$38,COLUMN(W332)-COLUMN($E$5),1)&gt;0,INDEX('Surface DEET'!$Q$9:$W$38,COLUMN(W332)-COLUMN($E$5),1),0),0)</f>
        <v>0</v>
      </c>
      <c r="X339" s="250">
        <f>IF(X$6=$C339,IF(INDEX('Surface DEET'!$Q$9:$W$38,COLUMN(X332)-COLUMN($E$5),1)&gt;0,INDEX('Surface DEET'!$Q$9:$W$38,COLUMN(X332)-COLUMN($E$5),1),0),0)</f>
        <v>0</v>
      </c>
      <c r="Y339" s="250">
        <f>IF(Y$6=$C339,IF(INDEX('Surface DEET'!$Q$9:$W$38,COLUMN(Y332)-COLUMN($E$5),1)&gt;0,INDEX('Surface DEET'!$Q$9:$W$38,COLUMN(Y332)-COLUMN($E$5),1),0),0)</f>
        <v>0</v>
      </c>
      <c r="Z339" s="250">
        <f>IF(Z$6=$C339,IF(INDEX('Surface DEET'!$Q$9:$W$38,COLUMN(Z332)-COLUMN($E$5),1)&gt;0,INDEX('Surface DEET'!$Q$9:$W$38,COLUMN(Z332)-COLUMN($E$5),1),0),0)</f>
        <v>0</v>
      </c>
      <c r="AA339" s="250">
        <f>IF(AA$6=$C339,IF(INDEX('Surface DEET'!$Q$9:$W$38,COLUMN(AA332)-COLUMN($E$5),1)&gt;0,INDEX('Surface DEET'!$Q$9:$W$38,COLUMN(AA332)-COLUMN($E$5),1),0),0)</f>
        <v>0</v>
      </c>
      <c r="AB339" s="250">
        <f>IF(AB$6=$C339,IF(INDEX('Surface DEET'!$Q$9:$W$38,COLUMN(AB332)-COLUMN($E$5),1)&gt;0,INDEX('Surface DEET'!$Q$9:$W$38,COLUMN(AB332)-COLUMN($E$5),1),0),0)</f>
        <v>0</v>
      </c>
      <c r="AC339" s="250">
        <f>IF(AC$6=$C339,IF(INDEX('Surface DEET'!$Q$9:$W$38,COLUMN(AC332)-COLUMN($E$5),1)&gt;0,INDEX('Surface DEET'!$Q$9:$W$38,COLUMN(AC332)-COLUMN($E$5),1),0),0)</f>
        <v>0</v>
      </c>
      <c r="AD339" s="250">
        <f>IF(AD$6=$C339,IF(INDEX('Surface DEET'!$Q$9:$W$38,COLUMN(AD332)-COLUMN($E$5),1)&gt;0,INDEX('Surface DEET'!$Q$9:$W$38,COLUMN(AD332)-COLUMN($E$5),1),0),0)</f>
        <v>0</v>
      </c>
      <c r="AE339" s="250">
        <f>IF(AE$6=$C339,IF(INDEX('Surface DEET'!$Q$9:$W$38,COLUMN(AE332)-COLUMN($E$5),1)&gt;0,INDEX('Surface DEET'!$Q$9:$W$38,COLUMN(AE332)-COLUMN($E$5),1),0),0)</f>
        <v>0</v>
      </c>
      <c r="AF339" s="250">
        <f>IF(AF$6=$C339,IF(INDEX('Surface DEET'!$Q$9:$W$38,COLUMN(AF332)-COLUMN($E$5),1)&gt;0,INDEX('Surface DEET'!$Q$9:$W$38,COLUMN(AF332)-COLUMN($E$5),1),0),0)</f>
        <v>0</v>
      </c>
      <c r="AG339" s="250">
        <f>IF(AG$6=$C339,IF(INDEX('Surface DEET'!$Q$9:$W$38,COLUMN(AG332)-COLUMN($E$5),1)&gt;0,INDEX('Surface DEET'!$Q$9:$W$38,COLUMN(AG332)-COLUMN($E$5),1),0),0)</f>
        <v>0</v>
      </c>
      <c r="AH339" s="250">
        <f>IF(AH$6=$C339,IF(INDEX('Surface DEET'!$Q$9:$W$38,COLUMN(AH332)-COLUMN($E$5),1)&gt;0,INDEX('Surface DEET'!$Q$9:$W$38,COLUMN(AH332)-COLUMN($E$5),1),0),0)</f>
        <v>0</v>
      </c>
      <c r="AI339" s="250">
        <f>IF(AI$6=$C339,IF(INDEX('Surface DEET'!$Q$9:$W$38,COLUMN(AI332)-COLUMN($E$5),1)&gt;0,INDEX('Surface DEET'!$Q$9:$W$38,COLUMN(AI332)-COLUMN($E$5),1),0),0)</f>
        <v>0</v>
      </c>
    </row>
    <row r="340" spans="2:35">
      <c r="B340" s="250" t="s">
        <v>540</v>
      </c>
      <c r="C340" s="250" t="s">
        <v>667</v>
      </c>
      <c r="D340" s="250" t="s">
        <v>660</v>
      </c>
      <c r="E340" s="250">
        <v>4560</v>
      </c>
      <c r="F340" s="250">
        <f>IF(F$6=$C340,IF(INDEX('Surface DEET'!$Q$9:$W$38,COLUMN(F333)-COLUMN($E$5),4)&gt;0,INDEX('Surface DEET'!$Q$9:$W$38,COLUMN(F333)-COLUMN($E$5),4),0),0)</f>
        <v>0</v>
      </c>
      <c r="G340" s="250">
        <f>IF(G$6=$C340,IF(INDEX('Surface DEET'!$Q$9:$W$38,COLUMN(G333)-COLUMN($E$5),4)&gt;0,INDEX('Surface DEET'!$Q$9:$W$38,COLUMN(G333)-COLUMN($E$5),4),0),0)</f>
        <v>0</v>
      </c>
      <c r="H340" s="250">
        <f>IF(H$6=$C340,IF(INDEX('Surface DEET'!$Q$9:$W$38,COLUMN(H333)-COLUMN($E$5),4)&gt;0,INDEX('Surface DEET'!$Q$9:$W$38,COLUMN(H333)-COLUMN($E$5),4),0),0)</f>
        <v>0</v>
      </c>
      <c r="I340" s="250">
        <f>IF(I$6=$C340,IF(INDEX('Surface DEET'!$Q$9:$W$38,COLUMN(I333)-COLUMN($E$5),4)&gt;0,INDEX('Surface DEET'!$Q$9:$W$38,COLUMN(I333)-COLUMN($E$5),4),0),0)</f>
        <v>0</v>
      </c>
      <c r="J340" s="250">
        <f>IF(J$6=$C340,IF(INDEX('Surface DEET'!$Q$9:$W$38,COLUMN(J333)-COLUMN($E$5),4)&gt;0,INDEX('Surface DEET'!$Q$9:$W$38,COLUMN(J333)-COLUMN($E$5),4),0),0)</f>
        <v>0</v>
      </c>
      <c r="K340" s="250">
        <f>IF(K$6=$C340,IF(INDEX('Surface DEET'!$Q$9:$W$38,COLUMN(K333)-COLUMN($E$5),4)&gt;0,INDEX('Surface DEET'!$Q$9:$W$38,COLUMN(K333)-COLUMN($E$5),4),0),0)</f>
        <v>0</v>
      </c>
      <c r="L340" s="250">
        <f>IF(L$6=$C340,IF(INDEX('Surface DEET'!$Q$9:$W$38,COLUMN(L333)-COLUMN($E$5),4)&gt;0,INDEX('Surface DEET'!$Q$9:$W$38,COLUMN(L333)-COLUMN($E$5),4),0),0)</f>
        <v>0</v>
      </c>
      <c r="M340" s="250">
        <f>IF(M$6=$C340,IF(INDEX('Surface DEET'!$Q$9:$W$38,COLUMN(M333)-COLUMN($E$5),4)&gt;0,INDEX('Surface DEET'!$Q$9:$W$38,COLUMN(M333)-COLUMN($E$5),4),0),0)</f>
        <v>0</v>
      </c>
      <c r="N340" s="250">
        <f>IF(N$6=$C340,IF(INDEX('Surface DEET'!$Q$9:$W$38,COLUMN(N333)-COLUMN($E$5),4)&gt;0,INDEX('Surface DEET'!$Q$9:$W$38,COLUMN(N333)-COLUMN($E$5),4),0),0)</f>
        <v>0</v>
      </c>
      <c r="O340" s="250">
        <f>IF(O$6=$C340,IF(INDEX('Surface DEET'!$Q$9:$W$38,COLUMN(O333)-COLUMN($E$5),4)&gt;0,INDEX('Surface DEET'!$Q$9:$W$38,COLUMN(O333)-COLUMN($E$5),4),0),0)</f>
        <v>0</v>
      </c>
      <c r="P340" s="250">
        <f>IF(P$6=$C340,IF(INDEX('Surface DEET'!$Q$9:$W$38,COLUMN(P333)-COLUMN($E$5),4)&gt;0,INDEX('Surface DEET'!$Q$9:$W$38,COLUMN(P333)-COLUMN($E$5),4),0),0)</f>
        <v>0</v>
      </c>
      <c r="Q340" s="250">
        <f>IF(Q$6=$C340,IF(INDEX('Surface DEET'!$Q$9:$W$38,COLUMN(Q333)-COLUMN($E$5),4)&gt;0,INDEX('Surface DEET'!$Q$9:$W$38,COLUMN(Q333)-COLUMN($E$5),4),0),0)</f>
        <v>0</v>
      </c>
      <c r="R340" s="250">
        <f>IF(R$6=$C340,IF(INDEX('Surface DEET'!$Q$9:$W$38,COLUMN(R333)-COLUMN($E$5),4)&gt;0,INDEX('Surface DEET'!$Q$9:$W$38,COLUMN(R333)-COLUMN($E$5),4),0),0)</f>
        <v>0</v>
      </c>
      <c r="S340" s="250">
        <f>IF(S$6=$C340,IF(INDEX('Surface DEET'!$Q$9:$W$38,COLUMN(S333)-COLUMN($E$5),4)&gt;0,INDEX('Surface DEET'!$Q$9:$W$38,COLUMN(S333)-COLUMN($E$5),4),0),0)</f>
        <v>0</v>
      </c>
      <c r="T340" s="250">
        <f>IF(T$6=$C340,IF(INDEX('Surface DEET'!$Q$9:$W$38,COLUMN(T333)-COLUMN($E$5),4)&gt;0,INDEX('Surface DEET'!$Q$9:$W$38,COLUMN(T333)-COLUMN($E$5),4),0),0)</f>
        <v>0</v>
      </c>
      <c r="U340" s="250">
        <f>IF(U$6=$C340,IF(INDEX('Surface DEET'!$Q$9:$W$38,COLUMN(U333)-COLUMN($E$5),4)&gt;0,INDEX('Surface DEET'!$Q$9:$W$38,COLUMN(U333)-COLUMN($E$5),4),0),0)</f>
        <v>0</v>
      </c>
      <c r="V340" s="250">
        <f>IF(V$6=$C340,IF(INDEX('Surface DEET'!$Q$9:$W$38,COLUMN(V333)-COLUMN($E$5),4)&gt;0,INDEX('Surface DEET'!$Q$9:$W$38,COLUMN(V333)-COLUMN($E$5),4),0),0)</f>
        <v>0</v>
      </c>
      <c r="W340" s="250">
        <f>IF(W$6=$C340,IF(INDEX('Surface DEET'!$Q$9:$W$38,COLUMN(W333)-COLUMN($E$5),4)&gt;0,INDEX('Surface DEET'!$Q$9:$W$38,COLUMN(W333)-COLUMN($E$5),4),0),0)</f>
        <v>0</v>
      </c>
      <c r="X340" s="250">
        <f>IF(X$6=$C340,IF(INDEX('Surface DEET'!$Q$9:$W$38,COLUMN(X333)-COLUMN($E$5),4)&gt;0,INDEX('Surface DEET'!$Q$9:$W$38,COLUMN(X333)-COLUMN($E$5),4),0),0)</f>
        <v>0</v>
      </c>
      <c r="Y340" s="250">
        <f>IF(Y$6=$C340,IF(INDEX('Surface DEET'!$Q$9:$W$38,COLUMN(Y333)-COLUMN($E$5),4)&gt;0,INDEX('Surface DEET'!$Q$9:$W$38,COLUMN(Y333)-COLUMN($E$5),4),0),0)</f>
        <v>0</v>
      </c>
      <c r="Z340" s="250">
        <f>IF(Z$6=$C340,IF(INDEX('Surface DEET'!$Q$9:$W$38,COLUMN(Z333)-COLUMN($E$5),4)&gt;0,INDEX('Surface DEET'!$Q$9:$W$38,COLUMN(Z333)-COLUMN($E$5),4),0),0)</f>
        <v>0</v>
      </c>
      <c r="AA340" s="250">
        <f>IF(AA$6=$C340,IF(INDEX('Surface DEET'!$Q$9:$W$38,COLUMN(AA333)-COLUMN($E$5),4)&gt;0,INDEX('Surface DEET'!$Q$9:$W$38,COLUMN(AA333)-COLUMN($E$5),4),0),0)</f>
        <v>0</v>
      </c>
      <c r="AB340" s="250">
        <f>IF(AB$6=$C340,IF(INDEX('Surface DEET'!$Q$9:$W$38,COLUMN(AB333)-COLUMN($E$5),4)&gt;0,INDEX('Surface DEET'!$Q$9:$W$38,COLUMN(AB333)-COLUMN($E$5),4),0),0)</f>
        <v>0</v>
      </c>
      <c r="AC340" s="250">
        <f>IF(AC$6=$C340,IF(INDEX('Surface DEET'!$Q$9:$W$38,COLUMN(AC333)-COLUMN($E$5),4)&gt;0,INDEX('Surface DEET'!$Q$9:$W$38,COLUMN(AC333)-COLUMN($E$5),4),0),0)</f>
        <v>0</v>
      </c>
      <c r="AD340" s="250">
        <f>IF(AD$6=$C340,IF(INDEX('Surface DEET'!$Q$9:$W$38,COLUMN(AD333)-COLUMN($E$5),4)&gt;0,INDEX('Surface DEET'!$Q$9:$W$38,COLUMN(AD333)-COLUMN($E$5),4),0),0)</f>
        <v>0</v>
      </c>
      <c r="AE340" s="250">
        <f>IF(AE$6=$C340,IF(INDEX('Surface DEET'!$Q$9:$W$38,COLUMN(AE333)-COLUMN($E$5),4)&gt;0,INDEX('Surface DEET'!$Q$9:$W$38,COLUMN(AE333)-COLUMN($E$5),4),0),0)</f>
        <v>0</v>
      </c>
      <c r="AF340" s="250">
        <f>IF(AF$6=$C340,IF(INDEX('Surface DEET'!$Q$9:$W$38,COLUMN(AF333)-COLUMN($E$5),4)&gt;0,INDEX('Surface DEET'!$Q$9:$W$38,COLUMN(AF333)-COLUMN($E$5),4),0),0)</f>
        <v>0</v>
      </c>
      <c r="AG340" s="250">
        <f>IF(AG$6=$C340,IF(INDEX('Surface DEET'!$Q$9:$W$38,COLUMN(AG333)-COLUMN($E$5),4)&gt;0,INDEX('Surface DEET'!$Q$9:$W$38,COLUMN(AG333)-COLUMN($E$5),4),0),0)</f>
        <v>0</v>
      </c>
      <c r="AH340" s="250">
        <f>IF(AH$6=$C340,IF(INDEX('Surface DEET'!$Q$9:$W$38,COLUMN(AH333)-COLUMN($E$5),4)&gt;0,INDEX('Surface DEET'!$Q$9:$W$38,COLUMN(AH333)-COLUMN($E$5),4),0),0)</f>
        <v>0</v>
      </c>
      <c r="AI340" s="250">
        <f>IF(AI$6=$C340,IF(INDEX('Surface DEET'!$Q$9:$W$38,COLUMN(AI333)-COLUMN($E$5),4)&gt;0,INDEX('Surface DEET'!$Q$9:$W$38,COLUMN(AI333)-COLUMN($E$5),4),0),0)</f>
        <v>0</v>
      </c>
    </row>
    <row r="341" spans="2:35">
      <c r="B341" s="250" t="s">
        <v>543</v>
      </c>
      <c r="C341" s="250" t="s">
        <v>667</v>
      </c>
    </row>
    <row r="342" spans="2:35">
      <c r="B342" s="250" t="s">
        <v>533</v>
      </c>
      <c r="C342" s="250" t="s">
        <v>667</v>
      </c>
      <c r="D342" s="250" t="s">
        <v>533</v>
      </c>
      <c r="F342" s="250">
        <f>$E$336*(1+2*F339/$E$339+F340/$E$340)</f>
        <v>21</v>
      </c>
      <c r="G342" s="250">
        <f t="shared" ref="G342:AI342" si="41">$E$336*(1+2*G339/$E$339+G340/$E$340)</f>
        <v>21</v>
      </c>
      <c r="H342" s="250">
        <f t="shared" si="41"/>
        <v>21</v>
      </c>
      <c r="I342" s="250">
        <f t="shared" si="41"/>
        <v>21</v>
      </c>
      <c r="J342" s="250">
        <f t="shared" si="41"/>
        <v>21</v>
      </c>
      <c r="K342" s="250">
        <f t="shared" si="41"/>
        <v>21</v>
      </c>
      <c r="L342" s="250">
        <f t="shared" si="41"/>
        <v>21</v>
      </c>
      <c r="M342" s="250">
        <f t="shared" si="41"/>
        <v>21</v>
      </c>
      <c r="N342" s="250">
        <f t="shared" si="41"/>
        <v>21</v>
      </c>
      <c r="O342" s="250">
        <f t="shared" si="41"/>
        <v>21</v>
      </c>
      <c r="P342" s="250">
        <f t="shared" si="41"/>
        <v>21</v>
      </c>
      <c r="Q342" s="250">
        <f t="shared" si="41"/>
        <v>21</v>
      </c>
      <c r="R342" s="250">
        <f t="shared" si="41"/>
        <v>21</v>
      </c>
      <c r="S342" s="250">
        <f t="shared" si="41"/>
        <v>21</v>
      </c>
      <c r="T342" s="250">
        <f t="shared" si="41"/>
        <v>21</v>
      </c>
      <c r="U342" s="250">
        <f t="shared" si="41"/>
        <v>21</v>
      </c>
      <c r="V342" s="250">
        <f t="shared" si="41"/>
        <v>21</v>
      </c>
      <c r="W342" s="250">
        <f t="shared" si="41"/>
        <v>21</v>
      </c>
      <c r="X342" s="250">
        <f t="shared" si="41"/>
        <v>21</v>
      </c>
      <c r="Y342" s="250">
        <f t="shared" si="41"/>
        <v>21</v>
      </c>
      <c r="Z342" s="250">
        <f t="shared" si="41"/>
        <v>21</v>
      </c>
      <c r="AA342" s="250">
        <f t="shared" si="41"/>
        <v>21</v>
      </c>
      <c r="AB342" s="250">
        <f t="shared" si="41"/>
        <v>21</v>
      </c>
      <c r="AC342" s="250">
        <f t="shared" si="41"/>
        <v>21</v>
      </c>
      <c r="AD342" s="250">
        <f t="shared" si="41"/>
        <v>21</v>
      </c>
      <c r="AE342" s="250">
        <f t="shared" si="41"/>
        <v>21</v>
      </c>
      <c r="AF342" s="250">
        <f t="shared" si="41"/>
        <v>21</v>
      </c>
      <c r="AG342" s="250">
        <f t="shared" si="41"/>
        <v>21</v>
      </c>
      <c r="AH342" s="250">
        <f t="shared" si="41"/>
        <v>21</v>
      </c>
      <c r="AI342" s="250">
        <f t="shared" si="41"/>
        <v>21</v>
      </c>
    </row>
    <row r="343" spans="2:35">
      <c r="B343" s="88" t="s">
        <v>294</v>
      </c>
      <c r="C343" s="250" t="s">
        <v>668</v>
      </c>
      <c r="D343" s="88" t="s">
        <v>294</v>
      </c>
      <c r="E343" s="250">
        <f t="array" ref="E343">INDEX(CABS_CVC!$C$3:$O$894,MATCH(1, (CABS_CVC!$A$3:$A$894=Calculs_CABS!C343)*(CABS_CVC!$B$3:$B$894=Calculs_CABS!$D$2),0),MATCH(Calculs_CABS!$D$1,Liste_CABS!$B$3:$B$15,0))</f>
        <v>57</v>
      </c>
    </row>
    <row r="344" spans="2:35">
      <c r="B344" s="250" t="s">
        <v>534</v>
      </c>
      <c r="C344" s="250" t="s">
        <v>668</v>
      </c>
      <c r="D344" s="250" t="s">
        <v>534</v>
      </c>
      <c r="E344" s="250">
        <v>92</v>
      </c>
    </row>
    <row r="345" spans="2:35">
      <c r="B345" s="250" t="s">
        <v>535</v>
      </c>
      <c r="C345" s="250" t="s">
        <v>668</v>
      </c>
      <c r="D345" s="250" t="s">
        <v>535</v>
      </c>
      <c r="E345" s="250">
        <f>E344+E343</f>
        <v>149</v>
      </c>
    </row>
    <row r="346" spans="2:35">
      <c r="B346" s="250" t="s">
        <v>536</v>
      </c>
      <c r="C346" s="250" t="s">
        <v>668</v>
      </c>
      <c r="D346" s="250" t="s">
        <v>536</v>
      </c>
      <c r="E346" s="250">
        <v>0.73</v>
      </c>
    </row>
    <row r="347" spans="2:35">
      <c r="B347" s="250" t="s">
        <v>537</v>
      </c>
      <c r="C347" s="250" t="s">
        <v>668</v>
      </c>
      <c r="D347" s="296" t="s">
        <v>583</v>
      </c>
      <c r="E347" s="250">
        <v>3120</v>
      </c>
      <c r="F347" s="250">
        <f>IF(F$6=$C347,IF(INDEX('Surface DEET'!$Q$9:$W$38,COLUMN(F340)-COLUMN($E$5),1)&gt;0,INDEX('Surface DEET'!$Q$9:$W$38,COLUMN(F340)-COLUMN($E$5),1),$E347),0)</f>
        <v>0</v>
      </c>
      <c r="G347" s="250">
        <f>IF(G$6=$C347,IF(INDEX('Surface DEET'!$Q$9:$W$38,COLUMN(G340)-COLUMN($E$5),1)&gt;0,INDEX('Surface DEET'!$Q$9:$W$38,COLUMN(G340)-COLUMN($E$5),1),$E347),0)</f>
        <v>0</v>
      </c>
      <c r="H347" s="250">
        <f>IF(H$6=$C347,IF(INDEX('Surface DEET'!$Q$9:$W$38,COLUMN(H340)-COLUMN($E$5),1)&gt;0,INDEX('Surface DEET'!$Q$9:$W$38,COLUMN(H340)-COLUMN($E$5),1),$E347),0)</f>
        <v>0</v>
      </c>
      <c r="I347" s="250">
        <f>IF(I$6=$C347,IF(INDEX('Surface DEET'!$Q$9:$W$38,COLUMN(I340)-COLUMN($E$5),1)&gt;0,INDEX('Surface DEET'!$Q$9:$W$38,COLUMN(I340)-COLUMN($E$5),1),$E347),0)</f>
        <v>0</v>
      </c>
      <c r="J347" s="250">
        <f>IF(J$6=$C347,IF(INDEX('Surface DEET'!$Q$9:$W$38,COLUMN(J340)-COLUMN($E$5),1)&gt;0,INDEX('Surface DEET'!$Q$9:$W$38,COLUMN(J340)-COLUMN($E$5),1),$E347),0)</f>
        <v>0</v>
      </c>
      <c r="K347" s="250">
        <f>IF(K$6=$C347,IF(INDEX('Surface DEET'!$Q$9:$W$38,COLUMN(K340)-COLUMN($E$5),1)&gt;0,INDEX('Surface DEET'!$Q$9:$W$38,COLUMN(K340)-COLUMN($E$5),1),$E347),0)</f>
        <v>0</v>
      </c>
      <c r="L347" s="250">
        <f>IF(L$6=$C347,IF(INDEX('Surface DEET'!$Q$9:$W$38,COLUMN(L340)-COLUMN($E$5),1)&gt;0,INDEX('Surface DEET'!$Q$9:$W$38,COLUMN(L340)-COLUMN($E$5),1),$E347),0)</f>
        <v>0</v>
      </c>
      <c r="M347" s="250">
        <f>IF(M$6=$C347,IF(INDEX('Surface DEET'!$Q$9:$W$38,COLUMN(M340)-COLUMN($E$5),1)&gt;0,INDEX('Surface DEET'!$Q$9:$W$38,COLUMN(M340)-COLUMN($E$5),1),$E347),0)</f>
        <v>0</v>
      </c>
      <c r="N347" s="250">
        <f>IF(N$6=$C347,IF(INDEX('Surface DEET'!$Q$9:$W$38,COLUMN(N340)-COLUMN($E$5),1)&gt;0,INDEX('Surface DEET'!$Q$9:$W$38,COLUMN(N340)-COLUMN($E$5),1),$E347),0)</f>
        <v>0</v>
      </c>
      <c r="O347" s="250">
        <f>IF(O$6=$C347,IF(INDEX('Surface DEET'!$Q$9:$W$38,COLUMN(O340)-COLUMN($E$5),1)&gt;0,INDEX('Surface DEET'!$Q$9:$W$38,COLUMN(O340)-COLUMN($E$5),1),$E347),0)</f>
        <v>0</v>
      </c>
      <c r="P347" s="250">
        <f>IF(P$6=$C347,IF(INDEX('Surface DEET'!$Q$9:$W$38,COLUMN(P340)-COLUMN($E$5),1)&gt;0,INDEX('Surface DEET'!$Q$9:$W$38,COLUMN(P340)-COLUMN($E$5),1),$E347),0)</f>
        <v>0</v>
      </c>
      <c r="Q347" s="250">
        <f>IF(Q$6=$C347,IF(INDEX('Surface DEET'!$Q$9:$W$38,COLUMN(Q340)-COLUMN($E$5),1)&gt;0,INDEX('Surface DEET'!$Q$9:$W$38,COLUMN(Q340)-COLUMN($E$5),1),$E347),0)</f>
        <v>0</v>
      </c>
      <c r="R347" s="250">
        <f>IF(R$6=$C347,IF(INDEX('Surface DEET'!$Q$9:$W$38,COLUMN(R340)-COLUMN($E$5),1)&gt;0,INDEX('Surface DEET'!$Q$9:$W$38,COLUMN(R340)-COLUMN($E$5),1),$E347),0)</f>
        <v>0</v>
      </c>
      <c r="S347" s="250">
        <f>IF(S$6=$C347,IF(INDEX('Surface DEET'!$Q$9:$W$38,COLUMN(S340)-COLUMN($E$5),1)&gt;0,INDEX('Surface DEET'!$Q$9:$W$38,COLUMN(S340)-COLUMN($E$5),1),$E347),0)</f>
        <v>0</v>
      </c>
      <c r="T347" s="250">
        <f>IF(T$6=$C347,IF(INDEX('Surface DEET'!$Q$9:$W$38,COLUMN(T340)-COLUMN($E$5),1)&gt;0,INDEX('Surface DEET'!$Q$9:$W$38,COLUMN(T340)-COLUMN($E$5),1),$E347),0)</f>
        <v>0</v>
      </c>
      <c r="U347" s="250">
        <f>IF(U$6=$C347,IF(INDEX('Surface DEET'!$Q$9:$W$38,COLUMN(U340)-COLUMN($E$5),1)&gt;0,INDEX('Surface DEET'!$Q$9:$W$38,COLUMN(U340)-COLUMN($E$5),1),$E347),0)</f>
        <v>0</v>
      </c>
      <c r="V347" s="250">
        <f>IF(V$6=$C347,IF(INDEX('Surface DEET'!$Q$9:$W$38,COLUMN(V340)-COLUMN($E$5),1)&gt;0,INDEX('Surface DEET'!$Q$9:$W$38,COLUMN(V340)-COLUMN($E$5),1),$E347),0)</f>
        <v>0</v>
      </c>
      <c r="W347" s="250">
        <f>IF(W$6=$C347,IF(INDEX('Surface DEET'!$Q$9:$W$38,COLUMN(W340)-COLUMN($E$5),1)&gt;0,INDEX('Surface DEET'!$Q$9:$W$38,COLUMN(W340)-COLUMN($E$5),1),$E347),0)</f>
        <v>0</v>
      </c>
      <c r="X347" s="250">
        <f>IF(X$6=$C347,IF(INDEX('Surface DEET'!$Q$9:$W$38,COLUMN(X340)-COLUMN($E$5),1)&gt;0,INDEX('Surface DEET'!$Q$9:$W$38,COLUMN(X340)-COLUMN($E$5),1),$E347),0)</f>
        <v>0</v>
      </c>
      <c r="Y347" s="250">
        <f>IF(Y$6=$C347,IF(INDEX('Surface DEET'!$Q$9:$W$38,COLUMN(Y340)-COLUMN($E$5),1)&gt;0,INDEX('Surface DEET'!$Q$9:$W$38,COLUMN(Y340)-COLUMN($E$5),1),$E347),0)</f>
        <v>0</v>
      </c>
      <c r="Z347" s="250">
        <f>IF(Z$6=$C347,IF(INDEX('Surface DEET'!$Q$9:$W$38,COLUMN(Z340)-COLUMN($E$5),1)&gt;0,INDEX('Surface DEET'!$Q$9:$W$38,COLUMN(Z340)-COLUMN($E$5),1),$E347),0)</f>
        <v>0</v>
      </c>
      <c r="AA347" s="250">
        <f>IF(AA$6=$C347,IF(INDEX('Surface DEET'!$Q$9:$W$38,COLUMN(AA340)-COLUMN($E$5),1)&gt;0,INDEX('Surface DEET'!$Q$9:$W$38,COLUMN(AA340)-COLUMN($E$5),1),$E347),0)</f>
        <v>0</v>
      </c>
      <c r="AB347" s="250">
        <f>IF(AB$6=$C347,IF(INDEX('Surface DEET'!$Q$9:$W$38,COLUMN(AB340)-COLUMN($E$5),1)&gt;0,INDEX('Surface DEET'!$Q$9:$W$38,COLUMN(AB340)-COLUMN($E$5),1),$E347),0)</f>
        <v>0</v>
      </c>
      <c r="AC347" s="250">
        <f>IF(AC$6=$C347,IF(INDEX('Surface DEET'!$Q$9:$W$38,COLUMN(AC340)-COLUMN($E$5),1)&gt;0,INDEX('Surface DEET'!$Q$9:$W$38,COLUMN(AC340)-COLUMN($E$5),1),$E347),0)</f>
        <v>0</v>
      </c>
      <c r="AD347" s="250">
        <f>IF(AD$6=$C347,IF(INDEX('Surface DEET'!$Q$9:$W$38,COLUMN(AD340)-COLUMN($E$5),1)&gt;0,INDEX('Surface DEET'!$Q$9:$W$38,COLUMN(AD340)-COLUMN($E$5),1),$E347),0)</f>
        <v>0</v>
      </c>
      <c r="AE347" s="250">
        <f>IF(AE$6=$C347,IF(INDEX('Surface DEET'!$Q$9:$W$38,COLUMN(AE340)-COLUMN($E$5),1)&gt;0,INDEX('Surface DEET'!$Q$9:$W$38,COLUMN(AE340)-COLUMN($E$5),1),$E347),0)</f>
        <v>0</v>
      </c>
      <c r="AF347" s="250">
        <f>IF(AF$6=$C347,IF(INDEX('Surface DEET'!$Q$9:$W$38,COLUMN(AF340)-COLUMN($E$5),1)&gt;0,INDEX('Surface DEET'!$Q$9:$W$38,COLUMN(AF340)-COLUMN($E$5),1),$E347),0)</f>
        <v>0</v>
      </c>
      <c r="AG347" s="250">
        <f>IF(AG$6=$C347,IF(INDEX('Surface DEET'!$Q$9:$W$38,COLUMN(AG340)-COLUMN($E$5),1)&gt;0,INDEX('Surface DEET'!$Q$9:$W$38,COLUMN(AG340)-COLUMN($E$5),1),$E347),0)</f>
        <v>0</v>
      </c>
      <c r="AH347" s="250">
        <f>IF(AH$6=$C347,IF(INDEX('Surface DEET'!$Q$9:$W$38,COLUMN(AH340)-COLUMN($E$5),1)&gt;0,INDEX('Surface DEET'!$Q$9:$W$38,COLUMN(AH340)-COLUMN($E$5),1),$E347),0)</f>
        <v>0</v>
      </c>
      <c r="AI347" s="250">
        <f>IF(AI$6=$C347,INDEX('Surface DEET'!$Q$9:$W$38,COLUMN(AI340)-COLUMN($E$5),1),0)</f>
        <v>0</v>
      </c>
    </row>
    <row r="348" spans="2:35" ht="15">
      <c r="B348" s="250" t="s">
        <v>540</v>
      </c>
      <c r="C348" s="250" t="s">
        <v>668</v>
      </c>
      <c r="D348" s="296" t="s">
        <v>669</v>
      </c>
      <c r="E348" s="250">
        <v>24</v>
      </c>
      <c r="F348" s="250">
        <f>IF(F$6=$C348,IF(INDEX('Surface DEET'!$Q$9:$W$38,COLUMN(F341)-COLUMN($E$5),4)&gt;0,INDEX('Surface DEET'!$Q$9:$W$38,COLUMN(F341)-COLUMN($E$5),4),$E348),0)</f>
        <v>0</v>
      </c>
      <c r="G348" s="250">
        <f>IF(G$6=$C348,IF(INDEX('Surface DEET'!$Q$9:$W$38,COLUMN(G341)-COLUMN($E$5),4)&gt;0,INDEX('Surface DEET'!$Q$9:$W$38,COLUMN(G341)-COLUMN($E$5),4),$E348),0)</f>
        <v>0</v>
      </c>
      <c r="H348" s="250">
        <f>IF(H$6=$C348,IF(INDEX('Surface DEET'!$Q$9:$W$38,COLUMN(H341)-COLUMN($E$5),4)&gt;0,INDEX('Surface DEET'!$Q$9:$W$38,COLUMN(H341)-COLUMN($E$5),4),$E348),0)</f>
        <v>0</v>
      </c>
      <c r="I348" s="250">
        <f>IF(I$6=$C348,IF(INDEX('Surface DEET'!$Q$9:$W$38,COLUMN(I341)-COLUMN($E$5),4)&gt;0,INDEX('Surface DEET'!$Q$9:$W$38,COLUMN(I341)-COLUMN($E$5),4),$E348),0)</f>
        <v>0</v>
      </c>
      <c r="J348" s="250">
        <f>IF(J$6=$C348,IF(INDEX('Surface DEET'!$Q$9:$W$38,COLUMN(J341)-COLUMN($E$5),4)&gt;0,INDEX('Surface DEET'!$Q$9:$W$38,COLUMN(J341)-COLUMN($E$5),4),$E348),0)</f>
        <v>0</v>
      </c>
      <c r="K348" s="250">
        <f>IF(K$6=$C348,IF(INDEX('Surface DEET'!$Q$9:$W$38,COLUMN(K341)-COLUMN($E$5),4)&gt;0,INDEX('Surface DEET'!$Q$9:$W$38,COLUMN(K341)-COLUMN($E$5),4),$E348),0)</f>
        <v>0</v>
      </c>
      <c r="L348" s="250">
        <f>IF(L$6=$C348,IF(INDEX('Surface DEET'!$Q$9:$W$38,COLUMN(L341)-COLUMN($E$5),4)&gt;0,INDEX('Surface DEET'!$Q$9:$W$38,COLUMN(L341)-COLUMN($E$5),4),$E348),0)</f>
        <v>0</v>
      </c>
      <c r="M348" s="250">
        <f>IF(M$6=$C348,IF(INDEX('Surface DEET'!$Q$9:$W$38,COLUMN(M341)-COLUMN($E$5),4)&gt;0,INDEX('Surface DEET'!$Q$9:$W$38,COLUMN(M341)-COLUMN($E$5),4),$E348),0)</f>
        <v>0</v>
      </c>
      <c r="N348" s="250">
        <f>IF(N$6=$C348,IF(INDEX('Surface DEET'!$Q$9:$W$38,COLUMN(N341)-COLUMN($E$5),4)&gt;0,INDEX('Surface DEET'!$Q$9:$W$38,COLUMN(N341)-COLUMN($E$5),4),$E348),0)</f>
        <v>0</v>
      </c>
      <c r="O348" s="250">
        <f>IF(O$6=$C348,IF(INDEX('Surface DEET'!$Q$9:$W$38,COLUMN(O341)-COLUMN($E$5),4)&gt;0,INDEX('Surface DEET'!$Q$9:$W$38,COLUMN(O341)-COLUMN($E$5),4),$E348),0)</f>
        <v>0</v>
      </c>
      <c r="P348" s="250">
        <f>IF(P$6=$C348,IF(INDEX('Surface DEET'!$Q$9:$W$38,COLUMN(P341)-COLUMN($E$5),4)&gt;0,INDEX('Surface DEET'!$Q$9:$W$38,COLUMN(P341)-COLUMN($E$5),4),$E348),0)</f>
        <v>0</v>
      </c>
      <c r="Q348" s="250">
        <f>IF(Q$6=$C348,IF(INDEX('Surface DEET'!$Q$9:$W$38,COLUMN(Q341)-COLUMN($E$5),4)&gt;0,INDEX('Surface DEET'!$Q$9:$W$38,COLUMN(Q341)-COLUMN($E$5),4),$E348),0)</f>
        <v>0</v>
      </c>
      <c r="R348" s="250">
        <f>IF(R$6=$C348,IF(INDEX('Surface DEET'!$Q$9:$W$38,COLUMN(R341)-COLUMN($E$5),4)&gt;0,INDEX('Surface DEET'!$Q$9:$W$38,COLUMN(R341)-COLUMN($E$5),4),$E348),0)</f>
        <v>0</v>
      </c>
      <c r="S348" s="250">
        <f>IF(S$6=$C348,IF(INDEX('Surface DEET'!$Q$9:$W$38,COLUMN(S341)-COLUMN($E$5),4)&gt;0,INDEX('Surface DEET'!$Q$9:$W$38,COLUMN(S341)-COLUMN($E$5),4),$E348),0)</f>
        <v>0</v>
      </c>
      <c r="T348" s="250">
        <f>IF(T$6=$C348,IF(INDEX('Surface DEET'!$Q$9:$W$38,COLUMN(T341)-COLUMN($E$5),4)&gt;0,INDEX('Surface DEET'!$Q$9:$W$38,COLUMN(T341)-COLUMN($E$5),4),$E348),0)</f>
        <v>0</v>
      </c>
      <c r="U348" s="250">
        <f>IF(U$6=$C348,IF(INDEX('Surface DEET'!$Q$9:$W$38,COLUMN(U341)-COLUMN($E$5),4)&gt;0,INDEX('Surface DEET'!$Q$9:$W$38,COLUMN(U341)-COLUMN($E$5),4),$E348),0)</f>
        <v>0</v>
      </c>
      <c r="V348" s="250">
        <f>IF(V$6=$C348,IF(INDEX('Surface DEET'!$Q$9:$W$38,COLUMN(V341)-COLUMN($E$5),4)&gt;0,INDEX('Surface DEET'!$Q$9:$W$38,COLUMN(V341)-COLUMN($E$5),4),$E348),0)</f>
        <v>0</v>
      </c>
      <c r="W348" s="250">
        <f>IF(W$6=$C348,IF(INDEX('Surface DEET'!$Q$9:$W$38,COLUMN(W341)-COLUMN($E$5),4)&gt;0,INDEX('Surface DEET'!$Q$9:$W$38,COLUMN(W341)-COLUMN($E$5),4),$E348),0)</f>
        <v>0</v>
      </c>
      <c r="X348" s="250">
        <f>IF(X$6=$C348,IF(INDEX('Surface DEET'!$Q$9:$W$38,COLUMN(X341)-COLUMN($E$5),4)&gt;0,INDEX('Surface DEET'!$Q$9:$W$38,COLUMN(X341)-COLUMN($E$5),4),$E348),0)</f>
        <v>0</v>
      </c>
      <c r="Y348" s="250">
        <f>IF(Y$6=$C348,IF(INDEX('Surface DEET'!$Q$9:$W$38,COLUMN(Y341)-COLUMN($E$5),4)&gt;0,INDEX('Surface DEET'!$Q$9:$W$38,COLUMN(Y341)-COLUMN($E$5),4),$E348),0)</f>
        <v>0</v>
      </c>
      <c r="Z348" s="250">
        <f>IF(Z$6=$C348,IF(INDEX('Surface DEET'!$Q$9:$W$38,COLUMN(Z341)-COLUMN($E$5),4)&gt;0,INDEX('Surface DEET'!$Q$9:$W$38,COLUMN(Z341)-COLUMN($E$5),4),$E348),0)</f>
        <v>0</v>
      </c>
      <c r="AA348" s="250">
        <f>IF(AA$6=$C348,IF(INDEX('Surface DEET'!$Q$9:$W$38,COLUMN(AA341)-COLUMN($E$5),4)&gt;0,INDEX('Surface DEET'!$Q$9:$W$38,COLUMN(AA341)-COLUMN($E$5),4),$E348),0)</f>
        <v>0</v>
      </c>
      <c r="AB348" s="250">
        <f>IF(AB$6=$C348,IF(INDEX('Surface DEET'!$Q$9:$W$38,COLUMN(AB341)-COLUMN($E$5),4)&gt;0,INDEX('Surface DEET'!$Q$9:$W$38,COLUMN(AB341)-COLUMN($E$5),4),$E348),0)</f>
        <v>0</v>
      </c>
      <c r="AC348" s="250">
        <f>IF(AC$6=$C348,IF(INDEX('Surface DEET'!$Q$9:$W$38,COLUMN(AC341)-COLUMN($E$5),4)&gt;0,INDEX('Surface DEET'!$Q$9:$W$38,COLUMN(AC341)-COLUMN($E$5),4),$E348),0)</f>
        <v>0</v>
      </c>
      <c r="AD348" s="250">
        <f>IF(AD$6=$C348,IF(INDEX('Surface DEET'!$Q$9:$W$38,COLUMN(AD341)-COLUMN($E$5),4)&gt;0,INDEX('Surface DEET'!$Q$9:$W$38,COLUMN(AD341)-COLUMN($E$5),4),$E348),0)</f>
        <v>0</v>
      </c>
      <c r="AE348" s="250">
        <f>IF(AE$6=$C348,IF(INDEX('Surface DEET'!$Q$9:$W$38,COLUMN(AE341)-COLUMN($E$5),4)&gt;0,INDEX('Surface DEET'!$Q$9:$W$38,COLUMN(AE341)-COLUMN($E$5),4),$E348),0)</f>
        <v>0</v>
      </c>
      <c r="AF348" s="250">
        <f>IF(AF$6=$C348,IF(INDEX('Surface DEET'!$Q$9:$W$38,COLUMN(AF341)-COLUMN($E$5),4)&gt;0,INDEX('Surface DEET'!$Q$9:$W$38,COLUMN(AF341)-COLUMN($E$5),4),$E348),0)</f>
        <v>0</v>
      </c>
      <c r="AG348" s="250">
        <f>IF(AG$6=$C348,IF(INDEX('Surface DEET'!$Q$9:$W$38,COLUMN(AG341)-COLUMN($E$5),4)&gt;0,INDEX('Surface DEET'!$Q$9:$W$38,COLUMN(AG341)-COLUMN($E$5),4),$E348),0)</f>
        <v>0</v>
      </c>
      <c r="AH348" s="250">
        <f>IF(AH$6=$C348,IF(INDEX('Surface DEET'!$Q$9:$W$38,COLUMN(AH341)-COLUMN($E$5),4)&gt;0,INDEX('Surface DEET'!$Q$9:$W$38,COLUMN(AH341)-COLUMN($E$5),4),$E348),0)</f>
        <v>0</v>
      </c>
      <c r="AI348" s="250">
        <f>IF(AI$6=$C348,INDEX('Surface DEET'!$Q$9:$W$38,COLUMN(AI341)-COLUMN($E$5),4),0)</f>
        <v>0</v>
      </c>
    </row>
    <row r="349" spans="2:35">
      <c r="B349" s="250" t="s">
        <v>543</v>
      </c>
      <c r="C349" s="250" t="s">
        <v>668</v>
      </c>
    </row>
    <row r="350" spans="2:35">
      <c r="B350" s="250" t="s">
        <v>533</v>
      </c>
      <c r="C350" s="250" t="s">
        <v>668</v>
      </c>
      <c r="D350" s="250" t="s">
        <v>533</v>
      </c>
      <c r="F350" s="250">
        <f>$E$344*($E$346*(F348/$E$348)+(1-$E$346)*(F347/$E$347))+0.28*$E$343*(F347-$E$347)/$E$347</f>
        <v>-15.96</v>
      </c>
      <c r="G350" s="250">
        <f t="shared" ref="G350:AI350" si="42">$E$344*($E$346*(G348/$E$348)+(1-$E$346)*(G347/$E$347))+0.28*$E$343*(G347-$E$347)/$E$347</f>
        <v>-15.96</v>
      </c>
      <c r="H350" s="250">
        <f t="shared" si="42"/>
        <v>-15.96</v>
      </c>
      <c r="I350" s="250">
        <f t="shared" si="42"/>
        <v>-15.96</v>
      </c>
      <c r="J350" s="250">
        <f t="shared" si="42"/>
        <v>-15.96</v>
      </c>
      <c r="K350" s="250">
        <f t="shared" si="42"/>
        <v>-15.96</v>
      </c>
      <c r="L350" s="250">
        <f t="shared" si="42"/>
        <v>-15.96</v>
      </c>
      <c r="M350" s="250">
        <f t="shared" si="42"/>
        <v>-15.96</v>
      </c>
      <c r="N350" s="250">
        <f t="shared" si="42"/>
        <v>-15.96</v>
      </c>
      <c r="O350" s="250">
        <f t="shared" si="42"/>
        <v>-15.96</v>
      </c>
      <c r="P350" s="250">
        <f t="shared" si="42"/>
        <v>-15.96</v>
      </c>
      <c r="Q350" s="250">
        <f t="shared" si="42"/>
        <v>-15.96</v>
      </c>
      <c r="R350" s="250">
        <f t="shared" si="42"/>
        <v>-15.96</v>
      </c>
      <c r="S350" s="250">
        <f t="shared" si="42"/>
        <v>-15.96</v>
      </c>
      <c r="T350" s="250">
        <f t="shared" si="42"/>
        <v>-15.96</v>
      </c>
      <c r="U350" s="250">
        <f t="shared" si="42"/>
        <v>-15.96</v>
      </c>
      <c r="V350" s="250">
        <f t="shared" si="42"/>
        <v>-15.96</v>
      </c>
      <c r="W350" s="250">
        <f t="shared" si="42"/>
        <v>-15.96</v>
      </c>
      <c r="X350" s="250">
        <f t="shared" si="42"/>
        <v>-15.96</v>
      </c>
      <c r="Y350" s="250">
        <f t="shared" si="42"/>
        <v>-15.96</v>
      </c>
      <c r="Z350" s="250">
        <f t="shared" si="42"/>
        <v>-15.96</v>
      </c>
      <c r="AA350" s="250">
        <f t="shared" si="42"/>
        <v>-15.96</v>
      </c>
      <c r="AB350" s="250">
        <f t="shared" si="42"/>
        <v>-15.96</v>
      </c>
      <c r="AC350" s="250">
        <f t="shared" si="42"/>
        <v>-15.96</v>
      </c>
      <c r="AD350" s="250">
        <f t="shared" si="42"/>
        <v>-15.96</v>
      </c>
      <c r="AE350" s="250">
        <f t="shared" si="42"/>
        <v>-15.96</v>
      </c>
      <c r="AF350" s="250">
        <f t="shared" si="42"/>
        <v>-15.96</v>
      </c>
      <c r="AG350" s="250">
        <f t="shared" si="42"/>
        <v>-15.96</v>
      </c>
      <c r="AH350" s="250">
        <f t="shared" si="42"/>
        <v>-15.96</v>
      </c>
      <c r="AI350" s="250">
        <f t="shared" si="42"/>
        <v>-15.96</v>
      </c>
    </row>
    <row r="351" spans="2:35">
      <c r="B351" s="88" t="s">
        <v>294</v>
      </c>
      <c r="C351" s="250" t="s">
        <v>670</v>
      </c>
      <c r="D351" s="88" t="s">
        <v>294</v>
      </c>
      <c r="E351" s="250">
        <f t="array" ref="E351">INDEX(CABS_CVC!$C$3:$O$894,MATCH(1, (CABS_CVC!$A$3:$A$894=Calculs_CABS!C351)*(CABS_CVC!$B$3:$B$894=Calculs_CABS!$D$2),0),MATCH(Calculs_CABS!$D$1,Liste_CABS!$B$3:$B$15,0))</f>
        <v>66</v>
      </c>
    </row>
    <row r="352" spans="2:35">
      <c r="B352" s="250" t="s">
        <v>534</v>
      </c>
      <c r="C352" s="250" t="s">
        <v>671</v>
      </c>
      <c r="D352" s="250" t="s">
        <v>534</v>
      </c>
      <c r="E352" s="250">
        <v>474</v>
      </c>
    </row>
    <row r="353" spans="2:35">
      <c r="B353" s="250" t="s">
        <v>535</v>
      </c>
      <c r="C353" s="250" t="s">
        <v>672</v>
      </c>
      <c r="D353" s="250" t="s">
        <v>535</v>
      </c>
      <c r="E353" s="250">
        <f>E352+E351</f>
        <v>540</v>
      </c>
    </row>
    <row r="354" spans="2:35">
      <c r="B354" s="250" t="s">
        <v>536</v>
      </c>
      <c r="C354" s="250" t="s">
        <v>673</v>
      </c>
      <c r="D354" s="250" t="s">
        <v>536</v>
      </c>
      <c r="E354" s="250">
        <v>0.97</v>
      </c>
    </row>
    <row r="355" spans="2:35">
      <c r="B355" s="250" t="s">
        <v>537</v>
      </c>
      <c r="C355" s="250" t="s">
        <v>674</v>
      </c>
      <c r="D355" s="250" t="s">
        <v>597</v>
      </c>
      <c r="E355" s="250">
        <v>3120</v>
      </c>
      <c r="F355" s="250">
        <f>IF(F$6=$C355,IF(INDEX('Surface DEET'!$Q$9:$W$38,COLUMN(F348)-COLUMN($E$5),1)&gt;0,INDEX('Surface DEET'!$Q$9:$W$38,COLUMN(F348)-COLUMN($E$5),1),$E355),0)</f>
        <v>0</v>
      </c>
      <c r="G355" s="250">
        <f>IF(G$6=$C355,IF(INDEX('Surface DEET'!$Q$9:$W$38,COLUMN(G348)-COLUMN($E$5),1)&gt;0,INDEX('Surface DEET'!$Q$9:$W$38,COLUMN(G348)-COLUMN($E$5),1),$E355),0)</f>
        <v>0</v>
      </c>
      <c r="H355" s="250">
        <f>IF(H$6=$C355,IF(INDEX('Surface DEET'!$Q$9:$W$38,COLUMN(H348)-COLUMN($E$5),1)&gt;0,INDEX('Surface DEET'!$Q$9:$W$38,COLUMN(H348)-COLUMN($E$5),1),$E355),0)</f>
        <v>0</v>
      </c>
      <c r="I355" s="250">
        <f>IF(I$6=$C355,IF(INDEX('Surface DEET'!$Q$9:$W$38,COLUMN(I348)-COLUMN($E$5),1)&gt;0,INDEX('Surface DEET'!$Q$9:$W$38,COLUMN(I348)-COLUMN($E$5),1),$E355),0)</f>
        <v>0</v>
      </c>
      <c r="J355" s="250">
        <f>IF(J$6=$C355,IF(INDEX('Surface DEET'!$Q$9:$W$38,COLUMN(J348)-COLUMN($E$5),1)&gt;0,INDEX('Surface DEET'!$Q$9:$W$38,COLUMN(J348)-COLUMN($E$5),1),$E355),0)</f>
        <v>0</v>
      </c>
      <c r="K355" s="250">
        <f>IF(K$6=$C355,IF(INDEX('Surface DEET'!$Q$9:$W$38,COLUMN(K348)-COLUMN($E$5),1)&gt;0,INDEX('Surface DEET'!$Q$9:$W$38,COLUMN(K348)-COLUMN($E$5),1),$E355),0)</f>
        <v>0</v>
      </c>
      <c r="L355" s="250">
        <f>IF(L$6=$C355,IF(INDEX('Surface DEET'!$Q$9:$W$38,COLUMN(L348)-COLUMN($E$5),1)&gt;0,INDEX('Surface DEET'!$Q$9:$W$38,COLUMN(L348)-COLUMN($E$5),1),$E355),0)</f>
        <v>0</v>
      </c>
      <c r="M355" s="250">
        <f>IF(M$6=$C355,IF(INDEX('Surface DEET'!$Q$9:$W$38,COLUMN(M348)-COLUMN($E$5),1)&gt;0,INDEX('Surface DEET'!$Q$9:$W$38,COLUMN(M348)-COLUMN($E$5),1),$E355),0)</f>
        <v>0</v>
      </c>
      <c r="N355" s="250">
        <f>IF(N$6=$C355,IF(INDEX('Surface DEET'!$Q$9:$W$38,COLUMN(N348)-COLUMN($E$5),1)&gt;0,INDEX('Surface DEET'!$Q$9:$W$38,COLUMN(N348)-COLUMN($E$5),1),$E355),0)</f>
        <v>0</v>
      </c>
      <c r="O355" s="250">
        <f>IF(O$6=$C355,IF(INDEX('Surface DEET'!$Q$9:$W$38,COLUMN(O348)-COLUMN($E$5),1)&gt;0,INDEX('Surface DEET'!$Q$9:$W$38,COLUMN(O348)-COLUMN($E$5),1),$E355),0)</f>
        <v>0</v>
      </c>
      <c r="P355" s="250">
        <f>IF(P$6=$C355,IF(INDEX('Surface DEET'!$Q$9:$W$38,COLUMN(P348)-COLUMN($E$5),1)&gt;0,INDEX('Surface DEET'!$Q$9:$W$38,COLUMN(P348)-COLUMN($E$5),1),$E355),0)</f>
        <v>0</v>
      </c>
      <c r="Q355" s="250">
        <f>IF(Q$6=$C355,IF(INDEX('Surface DEET'!$Q$9:$W$38,COLUMN(Q348)-COLUMN($E$5),1)&gt;0,INDEX('Surface DEET'!$Q$9:$W$38,COLUMN(Q348)-COLUMN($E$5),1),$E355),0)</f>
        <v>0</v>
      </c>
      <c r="R355" s="250">
        <f>IF(R$6=$C355,IF(INDEX('Surface DEET'!$Q$9:$W$38,COLUMN(R348)-COLUMN($E$5),1)&gt;0,INDEX('Surface DEET'!$Q$9:$W$38,COLUMN(R348)-COLUMN($E$5),1),$E355),0)</f>
        <v>0</v>
      </c>
      <c r="S355" s="250">
        <f>IF(S$6=$C355,IF(INDEX('Surface DEET'!$Q$9:$W$38,COLUMN(S348)-COLUMN($E$5),1)&gt;0,INDEX('Surface DEET'!$Q$9:$W$38,COLUMN(S348)-COLUMN($E$5),1),$E355),0)</f>
        <v>0</v>
      </c>
      <c r="T355" s="250">
        <f>IF(T$6=$C355,IF(INDEX('Surface DEET'!$Q$9:$W$38,COLUMN(T348)-COLUMN($E$5),1)&gt;0,INDEX('Surface DEET'!$Q$9:$W$38,COLUMN(T348)-COLUMN($E$5),1),$E355),0)</f>
        <v>0</v>
      </c>
      <c r="U355" s="250">
        <f>IF(U$6=$C355,IF(INDEX('Surface DEET'!$Q$9:$W$38,COLUMN(U348)-COLUMN($E$5),1)&gt;0,INDEX('Surface DEET'!$Q$9:$W$38,COLUMN(U348)-COLUMN($E$5),1),$E355),0)</f>
        <v>0</v>
      </c>
      <c r="V355" s="250">
        <f>IF(V$6=$C355,IF(INDEX('Surface DEET'!$Q$9:$W$38,COLUMN(V348)-COLUMN($E$5),1)&gt;0,INDEX('Surface DEET'!$Q$9:$W$38,COLUMN(V348)-COLUMN($E$5),1),$E355),0)</f>
        <v>0</v>
      </c>
      <c r="W355" s="250">
        <f>IF(W$6=$C355,IF(INDEX('Surface DEET'!$Q$9:$W$38,COLUMN(W348)-COLUMN($E$5),1)&gt;0,INDEX('Surface DEET'!$Q$9:$W$38,COLUMN(W348)-COLUMN($E$5),1),$E355),0)</f>
        <v>0</v>
      </c>
      <c r="X355" s="250">
        <f>IF(X$6=$C355,IF(INDEX('Surface DEET'!$Q$9:$W$38,COLUMN(X348)-COLUMN($E$5),1)&gt;0,INDEX('Surface DEET'!$Q$9:$W$38,COLUMN(X348)-COLUMN($E$5),1),$E355),0)</f>
        <v>0</v>
      </c>
      <c r="Y355" s="250">
        <f>IF(Y$6=$C355,IF(INDEX('Surface DEET'!$Q$9:$W$38,COLUMN(Y348)-COLUMN($E$5),1)&gt;0,INDEX('Surface DEET'!$Q$9:$W$38,COLUMN(Y348)-COLUMN($E$5),1),$E355),0)</f>
        <v>0</v>
      </c>
      <c r="Z355" s="250">
        <f>IF(Z$6=$C355,IF(INDEX('Surface DEET'!$Q$9:$W$38,COLUMN(Z348)-COLUMN($E$5),1)&gt;0,INDEX('Surface DEET'!$Q$9:$W$38,COLUMN(Z348)-COLUMN($E$5),1),$E355),0)</f>
        <v>0</v>
      </c>
      <c r="AA355" s="250">
        <f>IF(AA$6=$C355,IF(INDEX('Surface DEET'!$Q$9:$W$38,COLUMN(AA348)-COLUMN($E$5),1)&gt;0,INDEX('Surface DEET'!$Q$9:$W$38,COLUMN(AA348)-COLUMN($E$5),1),$E355),0)</f>
        <v>0</v>
      </c>
      <c r="AB355" s="250">
        <f>IF(AB$6=$C355,IF(INDEX('Surface DEET'!$Q$9:$W$38,COLUMN(AB348)-COLUMN($E$5),1)&gt;0,INDEX('Surface DEET'!$Q$9:$W$38,COLUMN(AB348)-COLUMN($E$5),1),$E355),0)</f>
        <v>0</v>
      </c>
      <c r="AC355" s="250">
        <f>IF(AC$6=$C355,IF(INDEX('Surface DEET'!$Q$9:$W$38,COLUMN(AC348)-COLUMN($E$5),1)&gt;0,INDEX('Surface DEET'!$Q$9:$W$38,COLUMN(AC348)-COLUMN($E$5),1),$E355),0)</f>
        <v>0</v>
      </c>
      <c r="AD355" s="250">
        <f>IF(AD$6=$C355,IF(INDEX('Surface DEET'!$Q$9:$W$38,COLUMN(AD348)-COLUMN($E$5),1)&gt;0,INDEX('Surface DEET'!$Q$9:$W$38,COLUMN(AD348)-COLUMN($E$5),1),$E355),0)</f>
        <v>0</v>
      </c>
      <c r="AE355" s="250">
        <f>IF(AE$6=$C355,IF(INDEX('Surface DEET'!$Q$9:$W$38,COLUMN(AE348)-COLUMN($E$5),1)&gt;0,INDEX('Surface DEET'!$Q$9:$W$38,COLUMN(AE348)-COLUMN($E$5),1),$E355),0)</f>
        <v>0</v>
      </c>
      <c r="AF355" s="250">
        <f>IF(AF$6=$C355,IF(INDEX('Surface DEET'!$Q$9:$W$38,COLUMN(AF348)-COLUMN($E$5),1)&gt;0,INDEX('Surface DEET'!$Q$9:$W$38,COLUMN(AF348)-COLUMN($E$5),1),$E355),0)</f>
        <v>0</v>
      </c>
      <c r="AG355" s="250">
        <f>IF(AG$6=$C355,IF(INDEX('Surface DEET'!$Q$9:$W$38,COLUMN(AG348)-COLUMN($E$5),1)&gt;0,INDEX('Surface DEET'!$Q$9:$W$38,COLUMN(AG348)-COLUMN($E$5),1),$E355),0)</f>
        <v>0</v>
      </c>
      <c r="AH355" s="250">
        <f>IF(AH$6=$C355,IF(INDEX('Surface DEET'!$Q$9:$W$38,COLUMN(AH348)-COLUMN($E$5),1)&gt;0,INDEX('Surface DEET'!$Q$9:$W$38,COLUMN(AH348)-COLUMN($E$5),1),$E355),0)</f>
        <v>0</v>
      </c>
      <c r="AI355" s="250">
        <f>IF(AI$6=$C355,INDEX('Surface DEET'!$Q$9:$W$38,COLUMN(AI348)-COLUMN($E$5),1),0)</f>
        <v>0</v>
      </c>
    </row>
    <row r="356" spans="2:35">
      <c r="B356" s="250" t="s">
        <v>540</v>
      </c>
      <c r="C356" s="250" t="s">
        <v>675</v>
      </c>
      <c r="D356" s="250" t="s">
        <v>676</v>
      </c>
      <c r="E356" s="250">
        <v>415</v>
      </c>
      <c r="F356" s="250">
        <f>IF(F$6=$C356,IF(INDEX('Surface DEET'!$Q$9:$W$38,COLUMN(F349)-COLUMN($E$5),4)&gt;0,INDEX('Surface DEET'!$Q$9:$W$38,COLUMN(F349)-COLUMN($E$5),4),$E356),0)</f>
        <v>0</v>
      </c>
      <c r="G356" s="250">
        <f>IF(G$6=$C356,IF(INDEX('Surface DEET'!$Q$9:$W$38,COLUMN(G349)-COLUMN($E$5),4)&gt;0,INDEX('Surface DEET'!$Q$9:$W$38,COLUMN(G349)-COLUMN($E$5),4),$E356),0)</f>
        <v>0</v>
      </c>
      <c r="H356" s="250">
        <f>IF(H$6=$C356,IF(INDEX('Surface DEET'!$Q$9:$W$38,COLUMN(H349)-COLUMN($E$5),4)&gt;0,INDEX('Surface DEET'!$Q$9:$W$38,COLUMN(H349)-COLUMN($E$5),4),$E356),0)</f>
        <v>0</v>
      </c>
      <c r="I356" s="250">
        <f>IF(I$6=$C356,IF(INDEX('Surface DEET'!$Q$9:$W$38,COLUMN(I349)-COLUMN($E$5),4)&gt;0,INDEX('Surface DEET'!$Q$9:$W$38,COLUMN(I349)-COLUMN($E$5),4),$E356),0)</f>
        <v>0</v>
      </c>
      <c r="J356" s="250">
        <f>IF(J$6=$C356,IF(INDEX('Surface DEET'!$Q$9:$W$38,COLUMN(J349)-COLUMN($E$5),4)&gt;0,INDEX('Surface DEET'!$Q$9:$W$38,COLUMN(J349)-COLUMN($E$5),4),$E356),0)</f>
        <v>0</v>
      </c>
      <c r="K356" s="250">
        <f>IF(K$6=$C356,IF(INDEX('Surface DEET'!$Q$9:$W$38,COLUMN(K349)-COLUMN($E$5),4)&gt;0,INDEX('Surface DEET'!$Q$9:$W$38,COLUMN(K349)-COLUMN($E$5),4),$E356),0)</f>
        <v>0</v>
      </c>
      <c r="L356" s="250">
        <f>IF(L$6=$C356,IF(INDEX('Surface DEET'!$Q$9:$W$38,COLUMN(L349)-COLUMN($E$5),4)&gt;0,INDEX('Surface DEET'!$Q$9:$W$38,COLUMN(L349)-COLUMN($E$5),4),$E356),0)</f>
        <v>0</v>
      </c>
      <c r="M356" s="250">
        <f>IF(M$6=$C356,IF(INDEX('Surface DEET'!$Q$9:$W$38,COLUMN(M349)-COLUMN($E$5),4)&gt;0,INDEX('Surface DEET'!$Q$9:$W$38,COLUMN(M349)-COLUMN($E$5),4),$E356),0)</f>
        <v>0</v>
      </c>
      <c r="N356" s="250">
        <f>IF(N$6=$C356,IF(INDEX('Surface DEET'!$Q$9:$W$38,COLUMN(N349)-COLUMN($E$5),4)&gt;0,INDEX('Surface DEET'!$Q$9:$W$38,COLUMN(N349)-COLUMN($E$5),4),$E356),0)</f>
        <v>0</v>
      </c>
      <c r="O356" s="250">
        <f>IF(O$6=$C356,IF(INDEX('Surface DEET'!$Q$9:$W$38,COLUMN(O349)-COLUMN($E$5),4)&gt;0,INDEX('Surface DEET'!$Q$9:$W$38,COLUMN(O349)-COLUMN($E$5),4),$E356),0)</f>
        <v>0</v>
      </c>
      <c r="P356" s="250">
        <f>IF(P$6=$C356,IF(INDEX('Surface DEET'!$Q$9:$W$38,COLUMN(P349)-COLUMN($E$5),4)&gt;0,INDEX('Surface DEET'!$Q$9:$W$38,COLUMN(P349)-COLUMN($E$5),4),$E356),0)</f>
        <v>0</v>
      </c>
      <c r="Q356" s="250">
        <f>IF(Q$6=$C356,IF(INDEX('Surface DEET'!$Q$9:$W$38,COLUMN(Q349)-COLUMN($E$5),4)&gt;0,INDEX('Surface DEET'!$Q$9:$W$38,COLUMN(Q349)-COLUMN($E$5),4),$E356),0)</f>
        <v>0</v>
      </c>
      <c r="R356" s="250">
        <f>IF(R$6=$C356,IF(INDEX('Surface DEET'!$Q$9:$W$38,COLUMN(R349)-COLUMN($E$5),4)&gt;0,INDEX('Surface DEET'!$Q$9:$W$38,COLUMN(R349)-COLUMN($E$5),4),$E356),0)</f>
        <v>0</v>
      </c>
      <c r="S356" s="250">
        <f>IF(S$6=$C356,IF(INDEX('Surface DEET'!$Q$9:$W$38,COLUMN(S349)-COLUMN($E$5),4)&gt;0,INDEX('Surface DEET'!$Q$9:$W$38,COLUMN(S349)-COLUMN($E$5),4),$E356),0)</f>
        <v>0</v>
      </c>
      <c r="T356" s="250">
        <f>IF(T$6=$C356,IF(INDEX('Surface DEET'!$Q$9:$W$38,COLUMN(T349)-COLUMN($E$5),4)&gt;0,INDEX('Surface DEET'!$Q$9:$W$38,COLUMN(T349)-COLUMN($E$5),4),$E356),0)</f>
        <v>0</v>
      </c>
      <c r="U356" s="250">
        <f>IF(U$6=$C356,IF(INDEX('Surface DEET'!$Q$9:$W$38,COLUMN(U349)-COLUMN($E$5),4)&gt;0,INDEX('Surface DEET'!$Q$9:$W$38,COLUMN(U349)-COLUMN($E$5),4),$E356),0)</f>
        <v>0</v>
      </c>
      <c r="V356" s="250">
        <f>IF(V$6=$C356,IF(INDEX('Surface DEET'!$Q$9:$W$38,COLUMN(V349)-COLUMN($E$5),4)&gt;0,INDEX('Surface DEET'!$Q$9:$W$38,COLUMN(V349)-COLUMN($E$5),4),$E356),0)</f>
        <v>0</v>
      </c>
      <c r="W356" s="250">
        <f>IF(W$6=$C356,IF(INDEX('Surface DEET'!$Q$9:$W$38,COLUMN(W349)-COLUMN($E$5),4)&gt;0,INDEX('Surface DEET'!$Q$9:$W$38,COLUMN(W349)-COLUMN($E$5),4),$E356),0)</f>
        <v>0</v>
      </c>
      <c r="X356" s="250">
        <f>IF(X$6=$C356,IF(INDEX('Surface DEET'!$Q$9:$W$38,COLUMN(X349)-COLUMN($E$5),4)&gt;0,INDEX('Surface DEET'!$Q$9:$W$38,COLUMN(X349)-COLUMN($E$5),4),$E356),0)</f>
        <v>0</v>
      </c>
      <c r="Y356" s="250">
        <f>IF(Y$6=$C356,IF(INDEX('Surface DEET'!$Q$9:$W$38,COLUMN(Y349)-COLUMN($E$5),4)&gt;0,INDEX('Surface DEET'!$Q$9:$W$38,COLUMN(Y349)-COLUMN($E$5),4),$E356),0)</f>
        <v>0</v>
      </c>
      <c r="Z356" s="250">
        <f>IF(Z$6=$C356,IF(INDEX('Surface DEET'!$Q$9:$W$38,COLUMN(Z349)-COLUMN($E$5),4)&gt;0,INDEX('Surface DEET'!$Q$9:$W$38,COLUMN(Z349)-COLUMN($E$5),4),$E356),0)</f>
        <v>0</v>
      </c>
      <c r="AA356" s="250">
        <f>IF(AA$6=$C356,IF(INDEX('Surface DEET'!$Q$9:$W$38,COLUMN(AA349)-COLUMN($E$5),4)&gt;0,INDEX('Surface DEET'!$Q$9:$W$38,COLUMN(AA349)-COLUMN($E$5),4),$E356),0)</f>
        <v>0</v>
      </c>
      <c r="AB356" s="250">
        <f>IF(AB$6=$C356,IF(INDEX('Surface DEET'!$Q$9:$W$38,COLUMN(AB349)-COLUMN($E$5),4)&gt;0,INDEX('Surface DEET'!$Q$9:$W$38,COLUMN(AB349)-COLUMN($E$5),4),$E356),0)</f>
        <v>0</v>
      </c>
      <c r="AC356" s="250">
        <f>IF(AC$6=$C356,IF(INDEX('Surface DEET'!$Q$9:$W$38,COLUMN(AC349)-COLUMN($E$5),4)&gt;0,INDEX('Surface DEET'!$Q$9:$W$38,COLUMN(AC349)-COLUMN($E$5),4),$E356),0)</f>
        <v>0</v>
      </c>
      <c r="AD356" s="250">
        <f>IF(AD$6=$C356,IF(INDEX('Surface DEET'!$Q$9:$W$38,COLUMN(AD349)-COLUMN($E$5),4)&gt;0,INDEX('Surface DEET'!$Q$9:$W$38,COLUMN(AD349)-COLUMN($E$5),4),$E356),0)</f>
        <v>0</v>
      </c>
      <c r="AE356" s="250">
        <f>IF(AE$6=$C356,IF(INDEX('Surface DEET'!$Q$9:$W$38,COLUMN(AE349)-COLUMN($E$5),4)&gt;0,INDEX('Surface DEET'!$Q$9:$W$38,COLUMN(AE349)-COLUMN($E$5),4),$E356),0)</f>
        <v>0</v>
      </c>
      <c r="AF356" s="250">
        <f>IF(AF$6=$C356,IF(INDEX('Surface DEET'!$Q$9:$W$38,COLUMN(AF349)-COLUMN($E$5),4)&gt;0,INDEX('Surface DEET'!$Q$9:$W$38,COLUMN(AF349)-COLUMN($E$5),4),$E356),0)</f>
        <v>0</v>
      </c>
      <c r="AG356" s="250">
        <f>IF(AG$6=$C356,IF(INDEX('Surface DEET'!$Q$9:$W$38,COLUMN(AG349)-COLUMN($E$5),4)&gt;0,INDEX('Surface DEET'!$Q$9:$W$38,COLUMN(AG349)-COLUMN($E$5),4),$E356),0)</f>
        <v>0</v>
      </c>
      <c r="AH356" s="250">
        <f>IF(AH$6=$C356,IF(INDEX('Surface DEET'!$Q$9:$W$38,COLUMN(AH349)-COLUMN($E$5),4)&gt;0,INDEX('Surface DEET'!$Q$9:$W$38,COLUMN(AH349)-COLUMN($E$5),4),$E356),0)</f>
        <v>0</v>
      </c>
      <c r="AI356" s="250">
        <f>IF(AI$6=$C356,INDEX('Surface DEET'!$Q$9:$W$38,COLUMN(AI349)-COLUMN($E$5),4),0)</f>
        <v>0</v>
      </c>
    </row>
    <row r="357" spans="2:35">
      <c r="B357" s="250" t="s">
        <v>543</v>
      </c>
      <c r="C357" s="250" t="s">
        <v>677</v>
      </c>
    </row>
    <row r="358" spans="2:35">
      <c r="B358" s="250" t="s">
        <v>533</v>
      </c>
      <c r="C358" s="250" t="s">
        <v>678</v>
      </c>
      <c r="D358" s="250" t="s">
        <v>533</v>
      </c>
      <c r="F358" s="250">
        <f>$E$352*($E$354*(F356/$E$356)+(1-$E$354)*(F355/$E$355))+0.28*$E$351*(F355-$E$355)/$E$355</f>
        <v>-18.48</v>
      </c>
      <c r="G358" s="250">
        <f t="shared" ref="G358:AI358" si="43">$E$352*($E$354*(G356/$E$356)+(1-$E$354)*(G355/$E$355))+0.28*$E$351*(G355-$E$355)/$E$355</f>
        <v>-18.48</v>
      </c>
      <c r="H358" s="250">
        <f t="shared" si="43"/>
        <v>-18.48</v>
      </c>
      <c r="I358" s="250">
        <f t="shared" si="43"/>
        <v>-18.48</v>
      </c>
      <c r="J358" s="250">
        <f t="shared" si="43"/>
        <v>-18.48</v>
      </c>
      <c r="K358" s="250">
        <f t="shared" si="43"/>
        <v>-18.48</v>
      </c>
      <c r="L358" s="250">
        <f t="shared" si="43"/>
        <v>-18.48</v>
      </c>
      <c r="M358" s="250">
        <f t="shared" si="43"/>
        <v>-18.48</v>
      </c>
      <c r="N358" s="250">
        <f t="shared" si="43"/>
        <v>-18.48</v>
      </c>
      <c r="O358" s="250">
        <f t="shared" si="43"/>
        <v>-18.48</v>
      </c>
      <c r="P358" s="250">
        <f t="shared" si="43"/>
        <v>-18.48</v>
      </c>
      <c r="Q358" s="250">
        <f t="shared" si="43"/>
        <v>-18.48</v>
      </c>
      <c r="R358" s="250">
        <f t="shared" si="43"/>
        <v>-18.48</v>
      </c>
      <c r="S358" s="250">
        <f t="shared" si="43"/>
        <v>-18.48</v>
      </c>
      <c r="T358" s="250">
        <f t="shared" si="43"/>
        <v>-18.48</v>
      </c>
      <c r="U358" s="250">
        <f t="shared" si="43"/>
        <v>-18.48</v>
      </c>
      <c r="V358" s="250">
        <f t="shared" si="43"/>
        <v>-18.48</v>
      </c>
      <c r="W358" s="250">
        <f t="shared" si="43"/>
        <v>-18.48</v>
      </c>
      <c r="X358" s="250">
        <f t="shared" si="43"/>
        <v>-18.48</v>
      </c>
      <c r="Y358" s="250">
        <f t="shared" si="43"/>
        <v>-18.48</v>
      </c>
      <c r="Z358" s="250">
        <f t="shared" si="43"/>
        <v>-18.48</v>
      </c>
      <c r="AA358" s="250">
        <f t="shared" si="43"/>
        <v>-18.48</v>
      </c>
      <c r="AB358" s="250">
        <f t="shared" si="43"/>
        <v>-18.48</v>
      </c>
      <c r="AC358" s="250">
        <f t="shared" si="43"/>
        <v>-18.48</v>
      </c>
      <c r="AD358" s="250">
        <f t="shared" si="43"/>
        <v>-18.48</v>
      </c>
      <c r="AE358" s="250">
        <f t="shared" si="43"/>
        <v>-18.48</v>
      </c>
      <c r="AF358" s="250">
        <f t="shared" si="43"/>
        <v>-18.48</v>
      </c>
      <c r="AG358" s="250">
        <f t="shared" si="43"/>
        <v>-18.48</v>
      </c>
      <c r="AH358" s="250">
        <f t="shared" si="43"/>
        <v>-18.48</v>
      </c>
      <c r="AI358" s="250">
        <f t="shared" si="43"/>
        <v>-18.48</v>
      </c>
    </row>
    <row r="359" spans="2:35">
      <c r="B359" s="88" t="s">
        <v>294</v>
      </c>
      <c r="C359" s="250" t="s">
        <v>679</v>
      </c>
      <c r="D359" s="88" t="s">
        <v>294</v>
      </c>
      <c r="E359" s="250">
        <f t="array" ref="E359">INDEX(CABS_CVC!$C$3:$O$894,MATCH(1, (CABS_CVC!$A$3:$A$894=Calculs_CABS!C359)*(CABS_CVC!$B$3:$B$894=Calculs_CABS!$D$2),0),MATCH(Calculs_CABS!$D$1,Liste_CABS!$B$3:$B$15,0))</f>
        <v>66</v>
      </c>
    </row>
    <row r="360" spans="2:35">
      <c r="B360" s="250" t="s">
        <v>534</v>
      </c>
      <c r="C360" s="250" t="s">
        <v>679</v>
      </c>
      <c r="D360" s="250" t="s">
        <v>534</v>
      </c>
      <c r="E360" s="250">
        <v>1463</v>
      </c>
    </row>
    <row r="361" spans="2:35">
      <c r="B361" s="250" t="s">
        <v>535</v>
      </c>
      <c r="C361" s="250" t="s">
        <v>679</v>
      </c>
      <c r="D361" s="250" t="s">
        <v>535</v>
      </c>
      <c r="E361" s="250">
        <f>E359+E360</f>
        <v>1529</v>
      </c>
    </row>
    <row r="362" spans="2:35">
      <c r="B362" s="250" t="s">
        <v>536</v>
      </c>
      <c r="C362" s="250" t="s">
        <v>679</v>
      </c>
      <c r="D362" s="250" t="s">
        <v>536</v>
      </c>
      <c r="E362" s="250">
        <v>0.98</v>
      </c>
    </row>
    <row r="363" spans="2:35">
      <c r="B363" s="250" t="s">
        <v>537</v>
      </c>
      <c r="C363" s="250" t="s">
        <v>679</v>
      </c>
      <c r="D363" s="250" t="s">
        <v>597</v>
      </c>
      <c r="E363" s="250">
        <v>3120</v>
      </c>
      <c r="F363" s="250">
        <f>IF(F$6=$C363,IF(INDEX('Surface DEET'!$Q$9:$W$38,COLUMN(F356)-COLUMN($E$5),1)&gt;0,INDEX('Surface DEET'!$Q$9:$W$38,COLUMN(F356)-COLUMN($E$5),1),$E363),0)</f>
        <v>0</v>
      </c>
      <c r="G363" s="250">
        <f>IF(G$6=$C363,IF(INDEX('Surface DEET'!$Q$9:$W$38,COLUMN(G356)-COLUMN($E$5),1)&gt;0,INDEX('Surface DEET'!$Q$9:$W$38,COLUMN(G356)-COLUMN($E$5),1),$E363),0)</f>
        <v>0</v>
      </c>
      <c r="H363" s="250">
        <f>IF(H$6=$C363,IF(INDEX('Surface DEET'!$Q$9:$W$38,COLUMN(H356)-COLUMN($E$5),1)&gt;0,INDEX('Surface DEET'!$Q$9:$W$38,COLUMN(H356)-COLUMN($E$5),1),$E363),0)</f>
        <v>0</v>
      </c>
      <c r="I363" s="250">
        <f>IF(I$6=$C363,IF(INDEX('Surface DEET'!$Q$9:$W$38,COLUMN(I356)-COLUMN($E$5),1)&gt;0,INDEX('Surface DEET'!$Q$9:$W$38,COLUMN(I356)-COLUMN($E$5),1),$E363),0)</f>
        <v>0</v>
      </c>
      <c r="J363" s="250">
        <f>IF(J$6=$C363,IF(INDEX('Surface DEET'!$Q$9:$W$38,COLUMN(J356)-COLUMN($E$5),1)&gt;0,INDEX('Surface DEET'!$Q$9:$W$38,COLUMN(J356)-COLUMN($E$5),1),$E363),0)</f>
        <v>0</v>
      </c>
      <c r="K363" s="250">
        <f>IF(K$6=$C363,IF(INDEX('Surface DEET'!$Q$9:$W$38,COLUMN(K356)-COLUMN($E$5),1)&gt;0,INDEX('Surface DEET'!$Q$9:$W$38,COLUMN(K356)-COLUMN($E$5),1),$E363),0)</f>
        <v>0</v>
      </c>
      <c r="L363" s="250">
        <f>IF(L$6=$C363,IF(INDEX('Surface DEET'!$Q$9:$W$38,COLUMN(L356)-COLUMN($E$5),1)&gt;0,INDEX('Surface DEET'!$Q$9:$W$38,COLUMN(L356)-COLUMN($E$5),1),$E363),0)</f>
        <v>0</v>
      </c>
      <c r="M363" s="250">
        <f>IF(M$6=$C363,IF(INDEX('Surface DEET'!$Q$9:$W$38,COLUMN(M356)-COLUMN($E$5),1)&gt;0,INDEX('Surface DEET'!$Q$9:$W$38,COLUMN(M356)-COLUMN($E$5),1),$E363),0)</f>
        <v>0</v>
      </c>
      <c r="N363" s="250">
        <f>IF(N$6=$C363,IF(INDEX('Surface DEET'!$Q$9:$W$38,COLUMN(N356)-COLUMN($E$5),1)&gt;0,INDEX('Surface DEET'!$Q$9:$W$38,COLUMN(N356)-COLUMN($E$5),1),$E363),0)</f>
        <v>0</v>
      </c>
      <c r="O363" s="250">
        <f>IF(O$6=$C363,IF(INDEX('Surface DEET'!$Q$9:$W$38,COLUMN(O356)-COLUMN($E$5),1)&gt;0,INDEX('Surface DEET'!$Q$9:$W$38,COLUMN(O356)-COLUMN($E$5),1),$E363),0)</f>
        <v>0</v>
      </c>
      <c r="P363" s="250">
        <f>IF(P$6=$C363,IF(INDEX('Surface DEET'!$Q$9:$W$38,COLUMN(P356)-COLUMN($E$5),1)&gt;0,INDEX('Surface DEET'!$Q$9:$W$38,COLUMN(P356)-COLUMN($E$5),1),$E363),0)</f>
        <v>0</v>
      </c>
      <c r="Q363" s="250">
        <f>IF(Q$6=$C363,IF(INDEX('Surface DEET'!$Q$9:$W$38,COLUMN(Q356)-COLUMN($E$5),1)&gt;0,INDEX('Surface DEET'!$Q$9:$W$38,COLUMN(Q356)-COLUMN($E$5),1),$E363),0)</f>
        <v>0</v>
      </c>
      <c r="R363" s="250">
        <f>IF(R$6=$C363,IF(INDEX('Surface DEET'!$Q$9:$W$38,COLUMN(R356)-COLUMN($E$5),1)&gt;0,INDEX('Surface DEET'!$Q$9:$W$38,COLUMN(R356)-COLUMN($E$5),1),$E363),0)</f>
        <v>0</v>
      </c>
      <c r="S363" s="250">
        <f>IF(S$6=$C363,IF(INDEX('Surface DEET'!$Q$9:$W$38,COLUMN(S356)-COLUMN($E$5),1)&gt;0,INDEX('Surface DEET'!$Q$9:$W$38,COLUMN(S356)-COLUMN($E$5),1),$E363),0)</f>
        <v>0</v>
      </c>
      <c r="T363" s="250">
        <f>IF(T$6=$C363,IF(INDEX('Surface DEET'!$Q$9:$W$38,COLUMN(T356)-COLUMN($E$5),1)&gt;0,INDEX('Surface DEET'!$Q$9:$W$38,COLUMN(T356)-COLUMN($E$5),1),$E363),0)</f>
        <v>0</v>
      </c>
      <c r="U363" s="250">
        <f>IF(U$6=$C363,IF(INDEX('Surface DEET'!$Q$9:$W$38,COLUMN(U356)-COLUMN($E$5),1)&gt;0,INDEX('Surface DEET'!$Q$9:$W$38,COLUMN(U356)-COLUMN($E$5),1),$E363),0)</f>
        <v>0</v>
      </c>
      <c r="V363" s="250">
        <f>IF(V$6=$C363,IF(INDEX('Surface DEET'!$Q$9:$W$38,COLUMN(V356)-COLUMN($E$5),1)&gt;0,INDEX('Surface DEET'!$Q$9:$W$38,COLUMN(V356)-COLUMN($E$5),1),$E363),0)</f>
        <v>0</v>
      </c>
      <c r="W363" s="250">
        <f>IF(W$6=$C363,IF(INDEX('Surface DEET'!$Q$9:$W$38,COLUMN(W356)-COLUMN($E$5),1)&gt;0,INDEX('Surface DEET'!$Q$9:$W$38,COLUMN(W356)-COLUMN($E$5),1),$E363),0)</f>
        <v>0</v>
      </c>
      <c r="X363" s="250">
        <f>IF(X$6=$C363,IF(INDEX('Surface DEET'!$Q$9:$W$38,COLUMN(X356)-COLUMN($E$5),1)&gt;0,INDEX('Surface DEET'!$Q$9:$W$38,COLUMN(X356)-COLUMN($E$5),1),$E363),0)</f>
        <v>0</v>
      </c>
      <c r="Y363" s="250">
        <f>IF(Y$6=$C363,IF(INDEX('Surface DEET'!$Q$9:$W$38,COLUMN(Y356)-COLUMN($E$5),1)&gt;0,INDEX('Surface DEET'!$Q$9:$W$38,COLUMN(Y356)-COLUMN($E$5),1),$E363),0)</f>
        <v>0</v>
      </c>
      <c r="Z363" s="250">
        <f>IF(Z$6=$C363,IF(INDEX('Surface DEET'!$Q$9:$W$38,COLUMN(Z356)-COLUMN($E$5),1)&gt;0,INDEX('Surface DEET'!$Q$9:$W$38,COLUMN(Z356)-COLUMN($E$5),1),$E363),0)</f>
        <v>0</v>
      </c>
      <c r="AA363" s="250">
        <f>IF(AA$6=$C363,IF(INDEX('Surface DEET'!$Q$9:$W$38,COLUMN(AA356)-COLUMN($E$5),1)&gt;0,INDEX('Surface DEET'!$Q$9:$W$38,COLUMN(AA356)-COLUMN($E$5),1),$E363),0)</f>
        <v>0</v>
      </c>
      <c r="AB363" s="250">
        <f>IF(AB$6=$C363,IF(INDEX('Surface DEET'!$Q$9:$W$38,COLUMN(AB356)-COLUMN($E$5),1)&gt;0,INDEX('Surface DEET'!$Q$9:$W$38,COLUMN(AB356)-COLUMN($E$5),1),$E363),0)</f>
        <v>0</v>
      </c>
      <c r="AC363" s="250">
        <f>IF(AC$6=$C363,IF(INDEX('Surface DEET'!$Q$9:$W$38,COLUMN(AC356)-COLUMN($E$5),1)&gt;0,INDEX('Surface DEET'!$Q$9:$W$38,COLUMN(AC356)-COLUMN($E$5),1),$E363),0)</f>
        <v>0</v>
      </c>
      <c r="AD363" s="250">
        <f>IF(AD$6=$C363,IF(INDEX('Surface DEET'!$Q$9:$W$38,COLUMN(AD356)-COLUMN($E$5),1)&gt;0,INDEX('Surface DEET'!$Q$9:$W$38,COLUMN(AD356)-COLUMN($E$5),1),$E363),0)</f>
        <v>0</v>
      </c>
      <c r="AE363" s="250">
        <f>IF(AE$6=$C363,IF(INDEX('Surface DEET'!$Q$9:$W$38,COLUMN(AE356)-COLUMN($E$5),1)&gt;0,INDEX('Surface DEET'!$Q$9:$W$38,COLUMN(AE356)-COLUMN($E$5),1),$E363),0)</f>
        <v>0</v>
      </c>
      <c r="AF363" s="250">
        <f>IF(AF$6=$C363,IF(INDEX('Surface DEET'!$Q$9:$W$38,COLUMN(AF356)-COLUMN($E$5),1)&gt;0,INDEX('Surface DEET'!$Q$9:$W$38,COLUMN(AF356)-COLUMN($E$5),1),$E363),0)</f>
        <v>0</v>
      </c>
      <c r="AG363" s="250">
        <f>IF(AG$6=$C363,IF(INDEX('Surface DEET'!$Q$9:$W$38,COLUMN(AG356)-COLUMN($E$5),1)&gt;0,INDEX('Surface DEET'!$Q$9:$W$38,COLUMN(AG356)-COLUMN($E$5),1),$E363),0)</f>
        <v>0</v>
      </c>
      <c r="AH363" s="250">
        <f>IF(AH$6=$C363,IF(INDEX('Surface DEET'!$Q$9:$W$38,COLUMN(AH356)-COLUMN($E$5),1)&gt;0,INDEX('Surface DEET'!$Q$9:$W$38,COLUMN(AH356)-COLUMN($E$5),1),$E363),0)</f>
        <v>0</v>
      </c>
      <c r="AI363" s="250">
        <f>IF(AI$6=$C363,INDEX('Surface DEET'!$Q$9:$W$38,COLUMN(AI356)-COLUMN($E$5),1),0)</f>
        <v>0</v>
      </c>
    </row>
    <row r="364" spans="2:35">
      <c r="B364" s="250" t="s">
        <v>540</v>
      </c>
      <c r="C364" s="250" t="s">
        <v>679</v>
      </c>
      <c r="D364" s="250" t="s">
        <v>676</v>
      </c>
      <c r="E364" s="250">
        <v>1325</v>
      </c>
      <c r="F364" s="250">
        <f>IF(F$6=$C364,IF(INDEX('Surface DEET'!$Q$9:$W$38,COLUMN(F357)-COLUMN($E$5),4)&gt;0,INDEX('Surface DEET'!$Q$9:$W$38,COLUMN(F357)-COLUMN($E$5),4),$E364),0)</f>
        <v>0</v>
      </c>
      <c r="G364" s="250">
        <f>IF(G$6=$C364,IF(INDEX('Surface DEET'!$Q$9:$W$38,COLUMN(G357)-COLUMN($E$5),4)&gt;0,INDEX('Surface DEET'!$Q$9:$W$38,COLUMN(G357)-COLUMN($E$5),4),$E364),0)</f>
        <v>0</v>
      </c>
      <c r="H364" s="250">
        <f>IF(H$6=$C364,IF(INDEX('Surface DEET'!$Q$9:$W$38,COLUMN(H357)-COLUMN($E$5),4)&gt;0,INDEX('Surface DEET'!$Q$9:$W$38,COLUMN(H357)-COLUMN($E$5),4),$E364),0)</f>
        <v>0</v>
      </c>
      <c r="I364" s="250">
        <f>IF(I$6=$C364,IF(INDEX('Surface DEET'!$Q$9:$W$38,COLUMN(I357)-COLUMN($E$5),4)&gt;0,INDEX('Surface DEET'!$Q$9:$W$38,COLUMN(I357)-COLUMN($E$5),4),$E364),0)</f>
        <v>0</v>
      </c>
      <c r="J364" s="250">
        <f>IF(J$6=$C364,IF(INDEX('Surface DEET'!$Q$9:$W$38,COLUMN(J357)-COLUMN($E$5),4)&gt;0,INDEX('Surface DEET'!$Q$9:$W$38,COLUMN(J357)-COLUMN($E$5),4),$E364),0)</f>
        <v>0</v>
      </c>
      <c r="K364" s="250">
        <f>IF(K$6=$C364,IF(INDEX('Surface DEET'!$Q$9:$W$38,COLUMN(K357)-COLUMN($E$5),4)&gt;0,INDEX('Surface DEET'!$Q$9:$W$38,COLUMN(K357)-COLUMN($E$5),4),$E364),0)</f>
        <v>0</v>
      </c>
      <c r="L364" s="250">
        <f>IF(L$6=$C364,IF(INDEX('Surface DEET'!$Q$9:$W$38,COLUMN(L357)-COLUMN($E$5),4)&gt;0,INDEX('Surface DEET'!$Q$9:$W$38,COLUMN(L357)-COLUMN($E$5),4),$E364),0)</f>
        <v>0</v>
      </c>
      <c r="M364" s="250">
        <f>IF(M$6=$C364,IF(INDEX('Surface DEET'!$Q$9:$W$38,COLUMN(M357)-COLUMN($E$5),4)&gt;0,INDEX('Surface DEET'!$Q$9:$W$38,COLUMN(M357)-COLUMN($E$5),4),$E364),0)</f>
        <v>0</v>
      </c>
      <c r="N364" s="250">
        <f>IF(N$6=$C364,IF(INDEX('Surface DEET'!$Q$9:$W$38,COLUMN(N357)-COLUMN($E$5),4)&gt;0,INDEX('Surface DEET'!$Q$9:$W$38,COLUMN(N357)-COLUMN($E$5),4),$E364),0)</f>
        <v>0</v>
      </c>
      <c r="O364" s="250">
        <f>IF(O$6=$C364,IF(INDEX('Surface DEET'!$Q$9:$W$38,COLUMN(O357)-COLUMN($E$5),4)&gt;0,INDEX('Surface DEET'!$Q$9:$W$38,COLUMN(O357)-COLUMN($E$5),4),$E364),0)</f>
        <v>0</v>
      </c>
      <c r="P364" s="250">
        <f>IF(P$6=$C364,IF(INDEX('Surface DEET'!$Q$9:$W$38,COLUMN(P357)-COLUMN($E$5),4)&gt;0,INDEX('Surface DEET'!$Q$9:$W$38,COLUMN(P357)-COLUMN($E$5),4),$E364),0)</f>
        <v>0</v>
      </c>
      <c r="Q364" s="250">
        <f>IF(Q$6=$C364,IF(INDEX('Surface DEET'!$Q$9:$W$38,COLUMN(Q357)-COLUMN($E$5),4)&gt;0,INDEX('Surface DEET'!$Q$9:$W$38,COLUMN(Q357)-COLUMN($E$5),4),$E364),0)</f>
        <v>0</v>
      </c>
      <c r="R364" s="250">
        <f>IF(R$6=$C364,IF(INDEX('Surface DEET'!$Q$9:$W$38,COLUMN(R357)-COLUMN($E$5),4)&gt;0,INDEX('Surface DEET'!$Q$9:$W$38,COLUMN(R357)-COLUMN($E$5),4),$E364),0)</f>
        <v>0</v>
      </c>
      <c r="S364" s="250">
        <f>IF(S$6=$C364,IF(INDEX('Surface DEET'!$Q$9:$W$38,COLUMN(S357)-COLUMN($E$5),4)&gt;0,INDEX('Surface DEET'!$Q$9:$W$38,COLUMN(S357)-COLUMN($E$5),4),$E364),0)</f>
        <v>0</v>
      </c>
      <c r="T364" s="250">
        <f>IF(T$6=$C364,IF(INDEX('Surface DEET'!$Q$9:$W$38,COLUMN(T357)-COLUMN($E$5),4)&gt;0,INDEX('Surface DEET'!$Q$9:$W$38,COLUMN(T357)-COLUMN($E$5),4),$E364),0)</f>
        <v>0</v>
      </c>
      <c r="U364" s="250">
        <f>IF(U$6=$C364,IF(INDEX('Surface DEET'!$Q$9:$W$38,COLUMN(U357)-COLUMN($E$5),4)&gt;0,INDEX('Surface DEET'!$Q$9:$W$38,COLUMN(U357)-COLUMN($E$5),4),$E364),0)</f>
        <v>0</v>
      </c>
      <c r="V364" s="250">
        <f>IF(V$6=$C364,IF(INDEX('Surface DEET'!$Q$9:$W$38,COLUMN(V357)-COLUMN($E$5),4)&gt;0,INDEX('Surface DEET'!$Q$9:$W$38,COLUMN(V357)-COLUMN($E$5),4),$E364),0)</f>
        <v>0</v>
      </c>
      <c r="W364" s="250">
        <f>IF(W$6=$C364,IF(INDEX('Surface DEET'!$Q$9:$W$38,COLUMN(W357)-COLUMN($E$5),4)&gt;0,INDEX('Surface DEET'!$Q$9:$W$38,COLUMN(W357)-COLUMN($E$5),4),$E364),0)</f>
        <v>0</v>
      </c>
      <c r="X364" s="250">
        <f>IF(X$6=$C364,IF(INDEX('Surface DEET'!$Q$9:$W$38,COLUMN(X357)-COLUMN($E$5),4)&gt;0,INDEX('Surface DEET'!$Q$9:$W$38,COLUMN(X357)-COLUMN($E$5),4),$E364),0)</f>
        <v>0</v>
      </c>
      <c r="Y364" s="250">
        <f>IF(Y$6=$C364,IF(INDEX('Surface DEET'!$Q$9:$W$38,COLUMN(Y357)-COLUMN($E$5),4)&gt;0,INDEX('Surface DEET'!$Q$9:$W$38,COLUMN(Y357)-COLUMN($E$5),4),$E364),0)</f>
        <v>0</v>
      </c>
      <c r="Z364" s="250">
        <f>IF(Z$6=$C364,IF(INDEX('Surface DEET'!$Q$9:$W$38,COLUMN(Z357)-COLUMN($E$5),4)&gt;0,INDEX('Surface DEET'!$Q$9:$W$38,COLUMN(Z357)-COLUMN($E$5),4),$E364),0)</f>
        <v>0</v>
      </c>
      <c r="AA364" s="250">
        <f>IF(AA$6=$C364,IF(INDEX('Surface DEET'!$Q$9:$W$38,COLUMN(AA357)-COLUMN($E$5),4)&gt;0,INDEX('Surface DEET'!$Q$9:$W$38,COLUMN(AA357)-COLUMN($E$5),4),$E364),0)</f>
        <v>0</v>
      </c>
      <c r="AB364" s="250">
        <f>IF(AB$6=$C364,IF(INDEX('Surface DEET'!$Q$9:$W$38,COLUMN(AB357)-COLUMN($E$5),4)&gt;0,INDEX('Surface DEET'!$Q$9:$W$38,COLUMN(AB357)-COLUMN($E$5),4),$E364),0)</f>
        <v>0</v>
      </c>
      <c r="AC364" s="250">
        <f>IF(AC$6=$C364,IF(INDEX('Surface DEET'!$Q$9:$W$38,COLUMN(AC357)-COLUMN($E$5),4)&gt;0,INDEX('Surface DEET'!$Q$9:$W$38,COLUMN(AC357)-COLUMN($E$5),4),$E364),0)</f>
        <v>0</v>
      </c>
      <c r="AD364" s="250">
        <f>IF(AD$6=$C364,IF(INDEX('Surface DEET'!$Q$9:$W$38,COLUMN(AD357)-COLUMN($E$5),4)&gt;0,INDEX('Surface DEET'!$Q$9:$W$38,COLUMN(AD357)-COLUMN($E$5),4),$E364),0)</f>
        <v>0</v>
      </c>
      <c r="AE364" s="250">
        <f>IF(AE$6=$C364,IF(INDEX('Surface DEET'!$Q$9:$W$38,COLUMN(AE357)-COLUMN($E$5),4)&gt;0,INDEX('Surface DEET'!$Q$9:$W$38,COLUMN(AE357)-COLUMN($E$5),4),$E364),0)</f>
        <v>0</v>
      </c>
      <c r="AF364" s="250">
        <f>IF(AF$6=$C364,IF(INDEX('Surface DEET'!$Q$9:$W$38,COLUMN(AF357)-COLUMN($E$5),4)&gt;0,INDEX('Surface DEET'!$Q$9:$W$38,COLUMN(AF357)-COLUMN($E$5),4),$E364),0)</f>
        <v>0</v>
      </c>
      <c r="AG364" s="250">
        <f>IF(AG$6=$C364,IF(INDEX('Surface DEET'!$Q$9:$W$38,COLUMN(AG357)-COLUMN($E$5),4)&gt;0,INDEX('Surface DEET'!$Q$9:$W$38,COLUMN(AG357)-COLUMN($E$5),4),$E364),0)</f>
        <v>0</v>
      </c>
      <c r="AH364" s="250">
        <f>IF(AH$6=$C364,IF(INDEX('Surface DEET'!$Q$9:$W$38,COLUMN(AH357)-COLUMN($E$5),4)&gt;0,INDEX('Surface DEET'!$Q$9:$W$38,COLUMN(AH357)-COLUMN($E$5),4),$E364),0)</f>
        <v>0</v>
      </c>
      <c r="AI364" s="250">
        <f>IF(AI$6=$C364,INDEX('Surface DEET'!$Q$9:$W$38,COLUMN(AI357)-COLUMN($E$5),4),0)</f>
        <v>0</v>
      </c>
    </row>
    <row r="365" spans="2:35">
      <c r="B365" s="250" t="s">
        <v>543</v>
      </c>
      <c r="C365" s="250" t="s">
        <v>679</v>
      </c>
    </row>
    <row r="366" spans="2:35">
      <c r="B366" s="250" t="s">
        <v>533</v>
      </c>
      <c r="C366" s="250" t="s">
        <v>679</v>
      </c>
      <c r="D366" s="250" t="s">
        <v>533</v>
      </c>
      <c r="F366" s="250">
        <f>$E$360*($E$362*(F364/$E$364)+(1-$E$362)*(F363/$E$363))+0.28*$E$359*(F363-$E$363)/$E$363</f>
        <v>-18.48</v>
      </c>
      <c r="G366" s="250">
        <f t="shared" ref="G366:AI366" si="44">$E$360*($E$362*(G364/$E$364)+(1-$E$362)*(G363/$E$363))+0.28*$E$359*(G363-$E$363)/$E$363</f>
        <v>-18.48</v>
      </c>
      <c r="H366" s="250">
        <f t="shared" si="44"/>
        <v>-18.48</v>
      </c>
      <c r="I366" s="250">
        <f t="shared" si="44"/>
        <v>-18.48</v>
      </c>
      <c r="J366" s="250">
        <f t="shared" si="44"/>
        <v>-18.48</v>
      </c>
      <c r="K366" s="250">
        <f t="shared" si="44"/>
        <v>-18.48</v>
      </c>
      <c r="L366" s="250">
        <f t="shared" si="44"/>
        <v>-18.48</v>
      </c>
      <c r="M366" s="250">
        <f t="shared" si="44"/>
        <v>-18.48</v>
      </c>
      <c r="N366" s="250">
        <f t="shared" si="44"/>
        <v>-18.48</v>
      </c>
      <c r="O366" s="250">
        <f t="shared" si="44"/>
        <v>-18.48</v>
      </c>
      <c r="P366" s="250">
        <f t="shared" si="44"/>
        <v>-18.48</v>
      </c>
      <c r="Q366" s="250">
        <f t="shared" si="44"/>
        <v>-18.48</v>
      </c>
      <c r="R366" s="250">
        <f t="shared" si="44"/>
        <v>-18.48</v>
      </c>
      <c r="S366" s="250">
        <f t="shared" si="44"/>
        <v>-18.48</v>
      </c>
      <c r="T366" s="250">
        <f t="shared" si="44"/>
        <v>-18.48</v>
      </c>
      <c r="U366" s="250">
        <f t="shared" si="44"/>
        <v>-18.48</v>
      </c>
      <c r="V366" s="250">
        <f t="shared" si="44"/>
        <v>-18.48</v>
      </c>
      <c r="W366" s="250">
        <f t="shared" si="44"/>
        <v>-18.48</v>
      </c>
      <c r="X366" s="250">
        <f t="shared" si="44"/>
        <v>-18.48</v>
      </c>
      <c r="Y366" s="250">
        <f t="shared" si="44"/>
        <v>-18.48</v>
      </c>
      <c r="Z366" s="250">
        <f t="shared" si="44"/>
        <v>-18.48</v>
      </c>
      <c r="AA366" s="250">
        <f t="shared" si="44"/>
        <v>-18.48</v>
      </c>
      <c r="AB366" s="250">
        <f t="shared" si="44"/>
        <v>-18.48</v>
      </c>
      <c r="AC366" s="250">
        <f t="shared" si="44"/>
        <v>-18.48</v>
      </c>
      <c r="AD366" s="250">
        <f t="shared" si="44"/>
        <v>-18.48</v>
      </c>
      <c r="AE366" s="250">
        <f t="shared" si="44"/>
        <v>-18.48</v>
      </c>
      <c r="AF366" s="250">
        <f t="shared" si="44"/>
        <v>-18.48</v>
      </c>
      <c r="AG366" s="250">
        <f t="shared" si="44"/>
        <v>-18.48</v>
      </c>
      <c r="AH366" s="250">
        <f t="shared" si="44"/>
        <v>-18.48</v>
      </c>
      <c r="AI366" s="250">
        <f t="shared" si="44"/>
        <v>-18.48</v>
      </c>
    </row>
    <row r="367" spans="2:35">
      <c r="B367" s="88" t="s">
        <v>294</v>
      </c>
      <c r="C367" s="250" t="s">
        <v>680</v>
      </c>
      <c r="D367" s="88" t="s">
        <v>294</v>
      </c>
      <c r="E367" s="250">
        <f t="array" ref="E367">INDEX(CABS_CVC!$C$3:$O$894,MATCH(1, (CABS_CVC!$A$3:$A$894=Calculs_CABS!C367)*(CABS_CVC!$B$3:$B$894=Calculs_CABS!$D$2),0),MATCH(Calculs_CABS!$D$1,Liste_CABS!$B$3:$B$15,0))</f>
        <v>57</v>
      </c>
    </row>
    <row r="368" spans="2:35">
      <c r="B368" s="250" t="s">
        <v>534</v>
      </c>
      <c r="C368" s="250" t="s">
        <v>680</v>
      </c>
      <c r="D368" s="250" t="s">
        <v>534</v>
      </c>
      <c r="E368" s="250">
        <v>477</v>
      </c>
    </row>
    <row r="369" spans="2:35">
      <c r="B369" s="250" t="s">
        <v>535</v>
      </c>
      <c r="C369" s="250" t="s">
        <v>680</v>
      </c>
      <c r="D369" s="250" t="s">
        <v>535</v>
      </c>
      <c r="E369" s="250">
        <f>E367+E368</f>
        <v>534</v>
      </c>
    </row>
    <row r="370" spans="2:35">
      <c r="B370" s="250" t="s">
        <v>536</v>
      </c>
      <c r="C370" s="250" t="s">
        <v>680</v>
      </c>
      <c r="D370" s="250" t="s">
        <v>536</v>
      </c>
      <c r="E370" s="250">
        <v>0.95</v>
      </c>
    </row>
    <row r="371" spans="2:35">
      <c r="B371" s="250" t="s">
        <v>537</v>
      </c>
      <c r="C371" s="250" t="s">
        <v>680</v>
      </c>
      <c r="D371" s="250" t="s">
        <v>681</v>
      </c>
      <c r="E371" s="250">
        <v>3120</v>
      </c>
      <c r="F371" s="250">
        <f>IF(F$6=$C371,IF(INDEX('Surface DEET'!$Q$9:$W$38,COLUMN(F364)-COLUMN($E$5),1)&gt;0,INDEX('Surface DEET'!$Q$9:$W$38,COLUMN(F364)-COLUMN($E$5),1),$E371),0)</f>
        <v>0</v>
      </c>
      <c r="G371" s="250">
        <f>IF(G$6=$C371,IF(INDEX('Surface DEET'!$Q$9:$W$38,COLUMN(G364)-COLUMN($E$5),1)&gt;0,INDEX('Surface DEET'!$Q$9:$W$38,COLUMN(G364)-COLUMN($E$5),1),$E371),0)</f>
        <v>0</v>
      </c>
      <c r="H371" s="250">
        <f>IF(H$6=$C371,IF(INDEX('Surface DEET'!$Q$9:$W$38,COLUMN(H364)-COLUMN($E$5),1)&gt;0,INDEX('Surface DEET'!$Q$9:$W$38,COLUMN(H364)-COLUMN($E$5),1),$E371),0)</f>
        <v>0</v>
      </c>
      <c r="I371" s="250">
        <f>IF(I$6=$C371,IF(INDEX('Surface DEET'!$Q$9:$W$38,COLUMN(I364)-COLUMN($E$5),1)&gt;0,INDEX('Surface DEET'!$Q$9:$W$38,COLUMN(I364)-COLUMN($E$5),1),$E371),0)</f>
        <v>0</v>
      </c>
      <c r="J371" s="250">
        <f>IF(J$6=$C371,IF(INDEX('Surface DEET'!$Q$9:$W$38,COLUMN(J364)-COLUMN($E$5),1)&gt;0,INDEX('Surface DEET'!$Q$9:$W$38,COLUMN(J364)-COLUMN($E$5),1),$E371),0)</f>
        <v>0</v>
      </c>
      <c r="K371" s="250">
        <f>IF(K$6=$C371,IF(INDEX('Surface DEET'!$Q$9:$W$38,COLUMN(K364)-COLUMN($E$5),1)&gt;0,INDEX('Surface DEET'!$Q$9:$W$38,COLUMN(K364)-COLUMN($E$5),1),$E371),0)</f>
        <v>0</v>
      </c>
      <c r="L371" s="250">
        <f>IF(L$6=$C371,IF(INDEX('Surface DEET'!$Q$9:$W$38,COLUMN(L364)-COLUMN($E$5),1)&gt;0,INDEX('Surface DEET'!$Q$9:$W$38,COLUMN(L364)-COLUMN($E$5),1),$E371),0)</f>
        <v>0</v>
      </c>
      <c r="M371" s="250">
        <f>IF(M$6=$C371,IF(INDEX('Surface DEET'!$Q$9:$W$38,COLUMN(M364)-COLUMN($E$5),1)&gt;0,INDEX('Surface DEET'!$Q$9:$W$38,COLUMN(M364)-COLUMN($E$5),1),$E371),0)</f>
        <v>0</v>
      </c>
      <c r="N371" s="250">
        <f>IF(N$6=$C371,IF(INDEX('Surface DEET'!$Q$9:$W$38,COLUMN(N364)-COLUMN($E$5),1)&gt;0,INDEX('Surface DEET'!$Q$9:$W$38,COLUMN(N364)-COLUMN($E$5),1),$E371),0)</f>
        <v>0</v>
      </c>
      <c r="O371" s="250">
        <f>IF(O$6=$C371,IF(INDEX('Surface DEET'!$Q$9:$W$38,COLUMN(O364)-COLUMN($E$5),1)&gt;0,INDEX('Surface DEET'!$Q$9:$W$38,COLUMN(O364)-COLUMN($E$5),1),$E371),0)</f>
        <v>0</v>
      </c>
      <c r="P371" s="250">
        <f>IF(P$6=$C371,IF(INDEX('Surface DEET'!$Q$9:$W$38,COLUMN(P364)-COLUMN($E$5),1)&gt;0,INDEX('Surface DEET'!$Q$9:$W$38,COLUMN(P364)-COLUMN($E$5),1),$E371),0)</f>
        <v>0</v>
      </c>
      <c r="Q371" s="250">
        <f>IF(Q$6=$C371,IF(INDEX('Surface DEET'!$Q$9:$W$38,COLUMN(Q364)-COLUMN($E$5),1)&gt;0,INDEX('Surface DEET'!$Q$9:$W$38,COLUMN(Q364)-COLUMN($E$5),1),$E371),0)</f>
        <v>0</v>
      </c>
      <c r="R371" s="250">
        <f>IF(R$6=$C371,IF(INDEX('Surface DEET'!$Q$9:$W$38,COLUMN(R364)-COLUMN($E$5),1)&gt;0,INDEX('Surface DEET'!$Q$9:$W$38,COLUMN(R364)-COLUMN($E$5),1),$E371),0)</f>
        <v>0</v>
      </c>
      <c r="S371" s="250">
        <f>IF(S$6=$C371,IF(INDEX('Surface DEET'!$Q$9:$W$38,COLUMN(S364)-COLUMN($E$5),1)&gt;0,INDEX('Surface DEET'!$Q$9:$W$38,COLUMN(S364)-COLUMN($E$5),1),$E371),0)</f>
        <v>0</v>
      </c>
      <c r="T371" s="250">
        <f>IF(T$6=$C371,IF(INDEX('Surface DEET'!$Q$9:$W$38,COLUMN(T364)-COLUMN($E$5),1)&gt;0,INDEX('Surface DEET'!$Q$9:$W$38,COLUMN(T364)-COLUMN($E$5),1),$E371),0)</f>
        <v>0</v>
      </c>
      <c r="U371" s="250">
        <f>IF(U$6=$C371,IF(INDEX('Surface DEET'!$Q$9:$W$38,COLUMN(U364)-COLUMN($E$5),1)&gt;0,INDEX('Surface DEET'!$Q$9:$W$38,COLUMN(U364)-COLUMN($E$5),1),$E371),0)</f>
        <v>0</v>
      </c>
      <c r="V371" s="250">
        <f>IF(V$6=$C371,IF(INDEX('Surface DEET'!$Q$9:$W$38,COLUMN(V364)-COLUMN($E$5),1)&gt;0,INDEX('Surface DEET'!$Q$9:$W$38,COLUMN(V364)-COLUMN($E$5),1),$E371),0)</f>
        <v>0</v>
      </c>
      <c r="W371" s="250">
        <f>IF(W$6=$C371,IF(INDEX('Surface DEET'!$Q$9:$W$38,COLUMN(W364)-COLUMN($E$5),1)&gt;0,INDEX('Surface DEET'!$Q$9:$W$38,COLUMN(W364)-COLUMN($E$5),1),$E371),0)</f>
        <v>0</v>
      </c>
      <c r="X371" s="250">
        <f>IF(X$6=$C371,IF(INDEX('Surface DEET'!$Q$9:$W$38,COLUMN(X364)-COLUMN($E$5),1)&gt;0,INDEX('Surface DEET'!$Q$9:$W$38,COLUMN(X364)-COLUMN($E$5),1),$E371),0)</f>
        <v>0</v>
      </c>
      <c r="Y371" s="250">
        <f>IF(Y$6=$C371,IF(INDEX('Surface DEET'!$Q$9:$W$38,COLUMN(Y364)-COLUMN($E$5),1)&gt;0,INDEX('Surface DEET'!$Q$9:$W$38,COLUMN(Y364)-COLUMN($E$5),1),$E371),0)</f>
        <v>0</v>
      </c>
      <c r="Z371" s="250">
        <f>IF(Z$6=$C371,IF(INDEX('Surface DEET'!$Q$9:$W$38,COLUMN(Z364)-COLUMN($E$5),1)&gt;0,INDEX('Surface DEET'!$Q$9:$W$38,COLUMN(Z364)-COLUMN($E$5),1),$E371),0)</f>
        <v>0</v>
      </c>
      <c r="AA371" s="250">
        <f>IF(AA$6=$C371,IF(INDEX('Surface DEET'!$Q$9:$W$38,COLUMN(AA364)-COLUMN($E$5),1)&gt;0,INDEX('Surface DEET'!$Q$9:$W$38,COLUMN(AA364)-COLUMN($E$5),1),$E371),0)</f>
        <v>0</v>
      </c>
      <c r="AB371" s="250">
        <f>IF(AB$6=$C371,IF(INDEX('Surface DEET'!$Q$9:$W$38,COLUMN(AB364)-COLUMN($E$5),1)&gt;0,INDEX('Surface DEET'!$Q$9:$W$38,COLUMN(AB364)-COLUMN($E$5),1),$E371),0)</f>
        <v>0</v>
      </c>
      <c r="AC371" s="250">
        <f>IF(AC$6=$C371,IF(INDEX('Surface DEET'!$Q$9:$W$38,COLUMN(AC364)-COLUMN($E$5),1)&gt;0,INDEX('Surface DEET'!$Q$9:$W$38,COLUMN(AC364)-COLUMN($E$5),1),$E371),0)</f>
        <v>0</v>
      </c>
      <c r="AD371" s="250">
        <f>IF(AD$6=$C371,IF(INDEX('Surface DEET'!$Q$9:$W$38,COLUMN(AD364)-COLUMN($E$5),1)&gt;0,INDEX('Surface DEET'!$Q$9:$W$38,COLUMN(AD364)-COLUMN($E$5),1),$E371),0)</f>
        <v>0</v>
      </c>
      <c r="AE371" s="250">
        <f>IF(AE$6=$C371,IF(INDEX('Surface DEET'!$Q$9:$W$38,COLUMN(AE364)-COLUMN($E$5),1)&gt;0,INDEX('Surface DEET'!$Q$9:$W$38,COLUMN(AE364)-COLUMN($E$5),1),$E371),0)</f>
        <v>0</v>
      </c>
      <c r="AF371" s="250">
        <f>IF(AF$6=$C371,IF(INDEX('Surface DEET'!$Q$9:$W$38,COLUMN(AF364)-COLUMN($E$5),1)&gt;0,INDEX('Surface DEET'!$Q$9:$W$38,COLUMN(AF364)-COLUMN($E$5),1),$E371),0)</f>
        <v>0</v>
      </c>
      <c r="AG371" s="250">
        <f>IF(AG$6=$C371,IF(INDEX('Surface DEET'!$Q$9:$W$38,COLUMN(AG364)-COLUMN($E$5),1)&gt;0,INDEX('Surface DEET'!$Q$9:$W$38,COLUMN(AG364)-COLUMN($E$5),1),$E371),0)</f>
        <v>0</v>
      </c>
      <c r="AH371" s="250">
        <f>IF(AH$6=$C371,IF(INDEX('Surface DEET'!$Q$9:$W$38,COLUMN(AH364)-COLUMN($E$5),1)&gt;0,INDEX('Surface DEET'!$Q$9:$W$38,COLUMN(AH364)-COLUMN($E$5),1),$E371),0)</f>
        <v>0</v>
      </c>
      <c r="AI371" s="250">
        <f>IF(AI$6=$C371,INDEX('Surface DEET'!$Q$9:$W$38,COLUMN(AI364)-COLUMN($E$5),1),0)</f>
        <v>0</v>
      </c>
    </row>
    <row r="372" spans="2:35">
      <c r="B372" s="250" t="s">
        <v>540</v>
      </c>
      <c r="C372" s="250" t="s">
        <v>680</v>
      </c>
      <c r="D372" s="250" t="s">
        <v>682</v>
      </c>
      <c r="E372" s="250">
        <v>391</v>
      </c>
      <c r="F372" s="250">
        <f>IF(F$6=$C372,IF(INDEX('Surface DEET'!$Q$9:$W$38,COLUMN(F365)-COLUMN($E$5),4)&gt;0,INDEX('Surface DEET'!$Q$9:$W$38,COLUMN(F365)-COLUMN($E$5),4),$E372),0)</f>
        <v>0</v>
      </c>
      <c r="G372" s="250">
        <f>IF(G$6=$C372,IF(INDEX('Surface DEET'!$Q$9:$W$38,COLUMN(G365)-COLUMN($E$5),4)&gt;0,INDEX('Surface DEET'!$Q$9:$W$38,COLUMN(G365)-COLUMN($E$5),4),$E372),0)</f>
        <v>0</v>
      </c>
      <c r="H372" s="250">
        <f>IF(H$6=$C372,IF(INDEX('Surface DEET'!$Q$9:$W$38,COLUMN(H365)-COLUMN($E$5),4)&gt;0,INDEX('Surface DEET'!$Q$9:$W$38,COLUMN(H365)-COLUMN($E$5),4),$E372),0)</f>
        <v>0</v>
      </c>
      <c r="I372" s="250">
        <f>IF(I$6=$C372,IF(INDEX('Surface DEET'!$Q$9:$W$38,COLUMN(I365)-COLUMN($E$5),4)&gt;0,INDEX('Surface DEET'!$Q$9:$W$38,COLUMN(I365)-COLUMN($E$5),4),$E372),0)</f>
        <v>0</v>
      </c>
      <c r="J372" s="250">
        <f>IF(J$6=$C372,IF(INDEX('Surface DEET'!$Q$9:$W$38,COLUMN(J365)-COLUMN($E$5),4)&gt;0,INDEX('Surface DEET'!$Q$9:$W$38,COLUMN(J365)-COLUMN($E$5),4),$E372),0)</f>
        <v>0</v>
      </c>
      <c r="K372" s="250">
        <f>IF(K$6=$C372,IF(INDEX('Surface DEET'!$Q$9:$W$38,COLUMN(K365)-COLUMN($E$5),4)&gt;0,INDEX('Surface DEET'!$Q$9:$W$38,COLUMN(K365)-COLUMN($E$5),4),$E372),0)</f>
        <v>0</v>
      </c>
      <c r="L372" s="250">
        <f>IF(L$6=$C372,IF(INDEX('Surface DEET'!$Q$9:$W$38,COLUMN(L365)-COLUMN($E$5),4)&gt;0,INDEX('Surface DEET'!$Q$9:$W$38,COLUMN(L365)-COLUMN($E$5),4),$E372),0)</f>
        <v>0</v>
      </c>
      <c r="M372" s="250">
        <f>IF(M$6=$C372,IF(INDEX('Surface DEET'!$Q$9:$W$38,COLUMN(M365)-COLUMN($E$5),4)&gt;0,INDEX('Surface DEET'!$Q$9:$W$38,COLUMN(M365)-COLUMN($E$5),4),$E372),0)</f>
        <v>0</v>
      </c>
      <c r="N372" s="250">
        <f>IF(N$6=$C372,IF(INDEX('Surface DEET'!$Q$9:$W$38,COLUMN(N365)-COLUMN($E$5),4)&gt;0,INDEX('Surface DEET'!$Q$9:$W$38,COLUMN(N365)-COLUMN($E$5),4),$E372),0)</f>
        <v>0</v>
      </c>
      <c r="O372" s="250">
        <f>IF(O$6=$C372,IF(INDEX('Surface DEET'!$Q$9:$W$38,COLUMN(O365)-COLUMN($E$5),4)&gt;0,INDEX('Surface DEET'!$Q$9:$W$38,COLUMN(O365)-COLUMN($E$5),4),$E372),0)</f>
        <v>0</v>
      </c>
      <c r="P372" s="250">
        <f>IF(P$6=$C372,IF(INDEX('Surface DEET'!$Q$9:$W$38,COLUMN(P365)-COLUMN($E$5),4)&gt;0,INDEX('Surface DEET'!$Q$9:$W$38,COLUMN(P365)-COLUMN($E$5),4),$E372),0)</f>
        <v>0</v>
      </c>
      <c r="Q372" s="250">
        <f>IF(Q$6=$C372,IF(INDEX('Surface DEET'!$Q$9:$W$38,COLUMN(Q365)-COLUMN($E$5),4)&gt;0,INDEX('Surface DEET'!$Q$9:$W$38,COLUMN(Q365)-COLUMN($E$5),4),$E372),0)</f>
        <v>0</v>
      </c>
      <c r="R372" s="250">
        <f>IF(R$6=$C372,IF(INDEX('Surface DEET'!$Q$9:$W$38,COLUMN(R365)-COLUMN($E$5),4)&gt;0,INDEX('Surface DEET'!$Q$9:$W$38,COLUMN(R365)-COLUMN($E$5),4),$E372),0)</f>
        <v>0</v>
      </c>
      <c r="S372" s="250">
        <f>IF(S$6=$C372,IF(INDEX('Surface DEET'!$Q$9:$W$38,COLUMN(S365)-COLUMN($E$5),4)&gt;0,INDEX('Surface DEET'!$Q$9:$W$38,COLUMN(S365)-COLUMN($E$5),4),$E372),0)</f>
        <v>0</v>
      </c>
      <c r="T372" s="250">
        <f>IF(T$6=$C372,IF(INDEX('Surface DEET'!$Q$9:$W$38,COLUMN(T365)-COLUMN($E$5),4)&gt;0,INDEX('Surface DEET'!$Q$9:$W$38,COLUMN(T365)-COLUMN($E$5),4),$E372),0)</f>
        <v>0</v>
      </c>
      <c r="U372" s="250">
        <f>IF(U$6=$C372,IF(INDEX('Surface DEET'!$Q$9:$W$38,COLUMN(U365)-COLUMN($E$5),4)&gt;0,INDEX('Surface DEET'!$Q$9:$W$38,COLUMN(U365)-COLUMN($E$5),4),$E372),0)</f>
        <v>0</v>
      </c>
      <c r="V372" s="250">
        <f>IF(V$6=$C372,IF(INDEX('Surface DEET'!$Q$9:$W$38,COLUMN(V365)-COLUMN($E$5),4)&gt;0,INDEX('Surface DEET'!$Q$9:$W$38,COLUMN(V365)-COLUMN($E$5),4),$E372),0)</f>
        <v>0</v>
      </c>
      <c r="W372" s="250">
        <f>IF(W$6=$C372,IF(INDEX('Surface DEET'!$Q$9:$W$38,COLUMN(W365)-COLUMN($E$5),4)&gt;0,INDEX('Surface DEET'!$Q$9:$W$38,COLUMN(W365)-COLUMN($E$5),4),$E372),0)</f>
        <v>0</v>
      </c>
      <c r="X372" s="250">
        <f>IF(X$6=$C372,IF(INDEX('Surface DEET'!$Q$9:$W$38,COLUMN(X365)-COLUMN($E$5),4)&gt;0,INDEX('Surface DEET'!$Q$9:$W$38,COLUMN(X365)-COLUMN($E$5),4),$E372),0)</f>
        <v>0</v>
      </c>
      <c r="Y372" s="250">
        <f>IF(Y$6=$C372,IF(INDEX('Surface DEET'!$Q$9:$W$38,COLUMN(Y365)-COLUMN($E$5),4)&gt;0,INDEX('Surface DEET'!$Q$9:$W$38,COLUMN(Y365)-COLUMN($E$5),4),$E372),0)</f>
        <v>0</v>
      </c>
      <c r="Z372" s="250">
        <f>IF(Z$6=$C372,IF(INDEX('Surface DEET'!$Q$9:$W$38,COLUMN(Z365)-COLUMN($E$5),4)&gt;0,INDEX('Surface DEET'!$Q$9:$W$38,COLUMN(Z365)-COLUMN($E$5),4),$E372),0)</f>
        <v>0</v>
      </c>
      <c r="AA372" s="250">
        <f>IF(AA$6=$C372,IF(INDEX('Surface DEET'!$Q$9:$W$38,COLUMN(AA365)-COLUMN($E$5),4)&gt;0,INDEX('Surface DEET'!$Q$9:$W$38,COLUMN(AA365)-COLUMN($E$5),4),$E372),0)</f>
        <v>0</v>
      </c>
      <c r="AB372" s="250">
        <f>IF(AB$6=$C372,IF(INDEX('Surface DEET'!$Q$9:$W$38,COLUMN(AB365)-COLUMN($E$5),4)&gt;0,INDEX('Surface DEET'!$Q$9:$W$38,COLUMN(AB365)-COLUMN($E$5),4),$E372),0)</f>
        <v>0</v>
      </c>
      <c r="AC372" s="250">
        <f>IF(AC$6=$C372,IF(INDEX('Surface DEET'!$Q$9:$W$38,COLUMN(AC365)-COLUMN($E$5),4)&gt;0,INDEX('Surface DEET'!$Q$9:$W$38,COLUMN(AC365)-COLUMN($E$5),4),$E372),0)</f>
        <v>0</v>
      </c>
      <c r="AD372" s="250">
        <f>IF(AD$6=$C372,IF(INDEX('Surface DEET'!$Q$9:$W$38,COLUMN(AD365)-COLUMN($E$5),4)&gt;0,INDEX('Surface DEET'!$Q$9:$W$38,COLUMN(AD365)-COLUMN($E$5),4),$E372),0)</f>
        <v>0</v>
      </c>
      <c r="AE372" s="250">
        <f>IF(AE$6=$C372,IF(INDEX('Surface DEET'!$Q$9:$W$38,COLUMN(AE365)-COLUMN($E$5),4)&gt;0,INDEX('Surface DEET'!$Q$9:$W$38,COLUMN(AE365)-COLUMN($E$5),4),$E372),0)</f>
        <v>0</v>
      </c>
      <c r="AF372" s="250">
        <f>IF(AF$6=$C372,IF(INDEX('Surface DEET'!$Q$9:$W$38,COLUMN(AF365)-COLUMN($E$5),4)&gt;0,INDEX('Surface DEET'!$Q$9:$W$38,COLUMN(AF365)-COLUMN($E$5),4),$E372),0)</f>
        <v>0</v>
      </c>
      <c r="AG372" s="250">
        <f>IF(AG$6=$C372,IF(INDEX('Surface DEET'!$Q$9:$W$38,COLUMN(AG365)-COLUMN($E$5),4)&gt;0,INDEX('Surface DEET'!$Q$9:$W$38,COLUMN(AG365)-COLUMN($E$5),4),$E372),0)</f>
        <v>0</v>
      </c>
      <c r="AH372" s="250">
        <f>IF(AH$6=$C372,IF(INDEX('Surface DEET'!$Q$9:$W$38,COLUMN(AH365)-COLUMN($E$5),4)&gt;0,INDEX('Surface DEET'!$Q$9:$W$38,COLUMN(AH365)-COLUMN($E$5),4),$E372),0)</f>
        <v>0</v>
      </c>
      <c r="AI372" s="250">
        <f>IF(AI$6=$C372,INDEX('Surface DEET'!$Q$9:$W$38,COLUMN(AI365)-COLUMN($E$5),4),0)</f>
        <v>0</v>
      </c>
    </row>
    <row r="373" spans="2:35">
      <c r="B373" s="250" t="s">
        <v>543</v>
      </c>
      <c r="C373" s="250" t="s">
        <v>680</v>
      </c>
    </row>
    <row r="374" spans="2:35">
      <c r="B374" s="250" t="s">
        <v>533</v>
      </c>
      <c r="C374" s="250" t="s">
        <v>680</v>
      </c>
      <c r="D374" s="250" t="s">
        <v>533</v>
      </c>
      <c r="F374" s="250">
        <f>$E$368*($E$370*(F372/$E$372)+(1-$E$370)*(F371/$E$371))+0.28*$E$367*(F371-$E$371)/$E$371</f>
        <v>-15.96</v>
      </c>
      <c r="G374" s="250">
        <f t="shared" ref="G374:AI374" si="45">$E$368*($E$370*(G372/$E$372)+(1-$E$370)*(G371/$E$371))+0.28*$E$367*(G371-$E$371)/$E$371</f>
        <v>-15.96</v>
      </c>
      <c r="H374" s="250">
        <f t="shared" si="45"/>
        <v>-15.96</v>
      </c>
      <c r="I374" s="250">
        <f t="shared" si="45"/>
        <v>-15.96</v>
      </c>
      <c r="J374" s="250">
        <f t="shared" si="45"/>
        <v>-15.96</v>
      </c>
      <c r="K374" s="250">
        <f t="shared" si="45"/>
        <v>-15.96</v>
      </c>
      <c r="L374" s="250">
        <f t="shared" si="45"/>
        <v>-15.96</v>
      </c>
      <c r="M374" s="250">
        <f t="shared" si="45"/>
        <v>-15.96</v>
      </c>
      <c r="N374" s="250">
        <f t="shared" si="45"/>
        <v>-15.96</v>
      </c>
      <c r="O374" s="250">
        <f t="shared" si="45"/>
        <v>-15.96</v>
      </c>
      <c r="P374" s="250">
        <f t="shared" si="45"/>
        <v>-15.96</v>
      </c>
      <c r="Q374" s="250">
        <f t="shared" si="45"/>
        <v>-15.96</v>
      </c>
      <c r="R374" s="250">
        <f t="shared" si="45"/>
        <v>-15.96</v>
      </c>
      <c r="S374" s="250">
        <f t="shared" si="45"/>
        <v>-15.96</v>
      </c>
      <c r="T374" s="250">
        <f t="shared" si="45"/>
        <v>-15.96</v>
      </c>
      <c r="U374" s="250">
        <f t="shared" si="45"/>
        <v>-15.96</v>
      </c>
      <c r="V374" s="250">
        <f t="shared" si="45"/>
        <v>-15.96</v>
      </c>
      <c r="W374" s="250">
        <f t="shared" si="45"/>
        <v>-15.96</v>
      </c>
      <c r="X374" s="250">
        <f t="shared" si="45"/>
        <v>-15.96</v>
      </c>
      <c r="Y374" s="250">
        <f t="shared" si="45"/>
        <v>-15.96</v>
      </c>
      <c r="Z374" s="250">
        <f t="shared" si="45"/>
        <v>-15.96</v>
      </c>
      <c r="AA374" s="250">
        <f t="shared" si="45"/>
        <v>-15.96</v>
      </c>
      <c r="AB374" s="250">
        <f t="shared" si="45"/>
        <v>-15.96</v>
      </c>
      <c r="AC374" s="250">
        <f t="shared" si="45"/>
        <v>-15.96</v>
      </c>
      <c r="AD374" s="250">
        <f t="shared" si="45"/>
        <v>-15.96</v>
      </c>
      <c r="AE374" s="250">
        <f t="shared" si="45"/>
        <v>-15.96</v>
      </c>
      <c r="AF374" s="250">
        <f t="shared" si="45"/>
        <v>-15.96</v>
      </c>
      <c r="AG374" s="250">
        <f t="shared" si="45"/>
        <v>-15.96</v>
      </c>
      <c r="AH374" s="250">
        <f t="shared" si="45"/>
        <v>-15.96</v>
      </c>
      <c r="AI374" s="250">
        <f t="shared" si="45"/>
        <v>-15.96</v>
      </c>
    </row>
    <row r="375" spans="2:35">
      <c r="B375" s="88" t="s">
        <v>294</v>
      </c>
      <c r="C375" s="250" t="s">
        <v>683</v>
      </c>
      <c r="D375" s="88" t="s">
        <v>294</v>
      </c>
      <c r="E375" s="250">
        <f t="array" ref="E375">INDEX(CABS_CVC!$C$3:$O$894,MATCH(1, (CABS_CVC!$A$3:$A$894=Calculs_CABS!C375)*(CABS_CVC!$B$3:$B$894=Calculs_CABS!$D$2),0),MATCH(Calculs_CABS!$D$1,Liste_CABS!$B$3:$B$15,0))</f>
        <v>57</v>
      </c>
    </row>
    <row r="376" spans="2:35">
      <c r="B376" s="250" t="s">
        <v>534</v>
      </c>
      <c r="C376" s="250" t="s">
        <v>683</v>
      </c>
      <c r="D376" s="250" t="s">
        <v>534</v>
      </c>
      <c r="E376" s="250">
        <v>166</v>
      </c>
    </row>
    <row r="377" spans="2:35">
      <c r="B377" s="250" t="s">
        <v>535</v>
      </c>
      <c r="C377" s="250" t="s">
        <v>683</v>
      </c>
      <c r="D377" s="250" t="s">
        <v>535</v>
      </c>
      <c r="E377" s="250">
        <f>E375+E376</f>
        <v>223</v>
      </c>
    </row>
    <row r="378" spans="2:35">
      <c r="B378" s="250" t="s">
        <v>536</v>
      </c>
      <c r="C378" s="250" t="s">
        <v>683</v>
      </c>
      <c r="D378" s="250" t="s">
        <v>536</v>
      </c>
      <c r="E378" s="250">
        <v>0.85</v>
      </c>
    </row>
    <row r="379" spans="2:35">
      <c r="B379" s="250" t="s">
        <v>537</v>
      </c>
      <c r="C379" s="250" t="s">
        <v>683</v>
      </c>
      <c r="D379" s="250" t="s">
        <v>681</v>
      </c>
      <c r="E379" s="250">
        <v>3120</v>
      </c>
      <c r="F379" s="250">
        <f>IF(F$6=$C379,IF(INDEX('Surface DEET'!$Q$9:$W$38,COLUMN(F372)-COLUMN($E$5),1)&gt;0,INDEX('Surface DEET'!$Q$9:$W$38,COLUMN(F372)-COLUMN($E$5),1),$E379),0)</f>
        <v>0</v>
      </c>
      <c r="G379" s="250">
        <f>IF(G$6=$C379,IF(INDEX('Surface DEET'!$Q$9:$W$38,COLUMN(G372)-COLUMN($E$5),1)&gt;0,INDEX('Surface DEET'!$Q$9:$W$38,COLUMN(G372)-COLUMN($E$5),1),$E379),0)</f>
        <v>0</v>
      </c>
      <c r="H379" s="250">
        <f>IF(H$6=$C379,IF(INDEX('Surface DEET'!$Q$9:$W$38,COLUMN(H372)-COLUMN($E$5),1)&gt;0,INDEX('Surface DEET'!$Q$9:$W$38,COLUMN(H372)-COLUMN($E$5),1),$E379),0)</f>
        <v>0</v>
      </c>
      <c r="I379" s="250">
        <f>IF(I$6=$C379,IF(INDEX('Surface DEET'!$Q$9:$W$38,COLUMN(I372)-COLUMN($E$5),1)&gt;0,INDEX('Surface DEET'!$Q$9:$W$38,COLUMN(I372)-COLUMN($E$5),1),$E379),0)</f>
        <v>0</v>
      </c>
      <c r="J379" s="250">
        <f>IF(J$6=$C379,IF(INDEX('Surface DEET'!$Q$9:$W$38,COLUMN(J372)-COLUMN($E$5),1)&gt;0,INDEX('Surface DEET'!$Q$9:$W$38,COLUMN(J372)-COLUMN($E$5),1),$E379),0)</f>
        <v>0</v>
      </c>
      <c r="K379" s="250">
        <f>IF(K$6=$C379,IF(INDEX('Surface DEET'!$Q$9:$W$38,COLUMN(K372)-COLUMN($E$5),1)&gt;0,INDEX('Surface DEET'!$Q$9:$W$38,COLUMN(K372)-COLUMN($E$5),1),$E379),0)</f>
        <v>0</v>
      </c>
      <c r="L379" s="250">
        <f>IF(L$6=$C379,IF(INDEX('Surface DEET'!$Q$9:$W$38,COLUMN(L372)-COLUMN($E$5),1)&gt;0,INDEX('Surface DEET'!$Q$9:$W$38,COLUMN(L372)-COLUMN($E$5),1),$E379),0)</f>
        <v>0</v>
      </c>
      <c r="M379" s="250">
        <f>IF(M$6=$C379,IF(INDEX('Surface DEET'!$Q$9:$W$38,COLUMN(M372)-COLUMN($E$5),1)&gt;0,INDEX('Surface DEET'!$Q$9:$W$38,COLUMN(M372)-COLUMN($E$5),1),$E379),0)</f>
        <v>0</v>
      </c>
      <c r="N379" s="250">
        <f>IF(N$6=$C379,IF(INDEX('Surface DEET'!$Q$9:$W$38,COLUMN(N372)-COLUMN($E$5),1)&gt;0,INDEX('Surface DEET'!$Q$9:$W$38,COLUMN(N372)-COLUMN($E$5),1),$E379),0)</f>
        <v>0</v>
      </c>
      <c r="O379" s="250">
        <f>IF(O$6=$C379,IF(INDEX('Surface DEET'!$Q$9:$W$38,COLUMN(O372)-COLUMN($E$5),1)&gt;0,INDEX('Surface DEET'!$Q$9:$W$38,COLUMN(O372)-COLUMN($E$5),1),$E379),0)</f>
        <v>0</v>
      </c>
      <c r="P379" s="250">
        <f>IF(P$6=$C379,IF(INDEX('Surface DEET'!$Q$9:$W$38,COLUMN(P372)-COLUMN($E$5),1)&gt;0,INDEX('Surface DEET'!$Q$9:$W$38,COLUMN(P372)-COLUMN($E$5),1),$E379),0)</f>
        <v>0</v>
      </c>
      <c r="Q379" s="250">
        <f>IF(Q$6=$C379,IF(INDEX('Surface DEET'!$Q$9:$W$38,COLUMN(Q372)-COLUMN($E$5),1)&gt;0,INDEX('Surface DEET'!$Q$9:$W$38,COLUMN(Q372)-COLUMN($E$5),1),$E379),0)</f>
        <v>0</v>
      </c>
      <c r="R379" s="250">
        <f>IF(R$6=$C379,IF(INDEX('Surface DEET'!$Q$9:$W$38,COLUMN(R372)-COLUMN($E$5),1)&gt;0,INDEX('Surface DEET'!$Q$9:$W$38,COLUMN(R372)-COLUMN($E$5),1),$E379),0)</f>
        <v>0</v>
      </c>
      <c r="S379" s="250">
        <f>IF(S$6=$C379,IF(INDEX('Surface DEET'!$Q$9:$W$38,COLUMN(S372)-COLUMN($E$5),1)&gt;0,INDEX('Surface DEET'!$Q$9:$W$38,COLUMN(S372)-COLUMN($E$5),1),$E379),0)</f>
        <v>0</v>
      </c>
      <c r="T379" s="250">
        <f>IF(T$6=$C379,IF(INDEX('Surface DEET'!$Q$9:$W$38,COLUMN(T372)-COLUMN($E$5),1)&gt;0,INDEX('Surface DEET'!$Q$9:$W$38,COLUMN(T372)-COLUMN($E$5),1),$E379),0)</f>
        <v>0</v>
      </c>
      <c r="U379" s="250">
        <f>IF(U$6=$C379,IF(INDEX('Surface DEET'!$Q$9:$W$38,COLUMN(U372)-COLUMN($E$5),1)&gt;0,INDEX('Surface DEET'!$Q$9:$W$38,COLUMN(U372)-COLUMN($E$5),1),$E379),0)</f>
        <v>0</v>
      </c>
      <c r="V379" s="250">
        <f>IF(V$6=$C379,IF(INDEX('Surface DEET'!$Q$9:$W$38,COLUMN(V372)-COLUMN($E$5),1)&gt;0,INDEX('Surface DEET'!$Q$9:$W$38,COLUMN(V372)-COLUMN($E$5),1),$E379),0)</f>
        <v>0</v>
      </c>
      <c r="W379" s="250">
        <f>IF(W$6=$C379,IF(INDEX('Surface DEET'!$Q$9:$W$38,COLUMN(W372)-COLUMN($E$5),1)&gt;0,INDEX('Surface DEET'!$Q$9:$W$38,COLUMN(W372)-COLUMN($E$5),1),$E379),0)</f>
        <v>0</v>
      </c>
      <c r="X379" s="250">
        <f>IF(X$6=$C379,IF(INDEX('Surface DEET'!$Q$9:$W$38,COLUMN(X372)-COLUMN($E$5),1)&gt;0,INDEX('Surface DEET'!$Q$9:$W$38,COLUMN(X372)-COLUMN($E$5),1),$E379),0)</f>
        <v>0</v>
      </c>
      <c r="Y379" s="250">
        <f>IF(Y$6=$C379,IF(INDEX('Surface DEET'!$Q$9:$W$38,COLUMN(Y372)-COLUMN($E$5),1)&gt;0,INDEX('Surface DEET'!$Q$9:$W$38,COLUMN(Y372)-COLUMN($E$5),1),$E379),0)</f>
        <v>0</v>
      </c>
      <c r="Z379" s="250">
        <f>IF(Z$6=$C379,IF(INDEX('Surface DEET'!$Q$9:$W$38,COLUMN(Z372)-COLUMN($E$5),1)&gt;0,INDEX('Surface DEET'!$Q$9:$W$38,COLUMN(Z372)-COLUMN($E$5),1),$E379),0)</f>
        <v>0</v>
      </c>
      <c r="AA379" s="250">
        <f>IF(AA$6=$C379,IF(INDEX('Surface DEET'!$Q$9:$W$38,COLUMN(AA372)-COLUMN($E$5),1)&gt;0,INDEX('Surface DEET'!$Q$9:$W$38,COLUMN(AA372)-COLUMN($E$5),1),$E379),0)</f>
        <v>0</v>
      </c>
      <c r="AB379" s="250">
        <f>IF(AB$6=$C379,IF(INDEX('Surface DEET'!$Q$9:$W$38,COLUMN(AB372)-COLUMN($E$5),1)&gt;0,INDEX('Surface DEET'!$Q$9:$W$38,COLUMN(AB372)-COLUMN($E$5),1),$E379),0)</f>
        <v>0</v>
      </c>
      <c r="AC379" s="250">
        <f>IF(AC$6=$C379,IF(INDEX('Surface DEET'!$Q$9:$W$38,COLUMN(AC372)-COLUMN($E$5),1)&gt;0,INDEX('Surface DEET'!$Q$9:$W$38,COLUMN(AC372)-COLUMN($E$5),1),$E379),0)</f>
        <v>0</v>
      </c>
      <c r="AD379" s="250">
        <f>IF(AD$6=$C379,IF(INDEX('Surface DEET'!$Q$9:$W$38,COLUMN(AD372)-COLUMN($E$5),1)&gt;0,INDEX('Surface DEET'!$Q$9:$W$38,COLUMN(AD372)-COLUMN($E$5),1),$E379),0)</f>
        <v>0</v>
      </c>
      <c r="AE379" s="250">
        <f>IF(AE$6=$C379,IF(INDEX('Surface DEET'!$Q$9:$W$38,COLUMN(AE372)-COLUMN($E$5),1)&gt;0,INDEX('Surface DEET'!$Q$9:$W$38,COLUMN(AE372)-COLUMN($E$5),1),$E379),0)</f>
        <v>0</v>
      </c>
      <c r="AF379" s="250">
        <f>IF(AF$6=$C379,IF(INDEX('Surface DEET'!$Q$9:$W$38,COLUMN(AF372)-COLUMN($E$5),1)&gt;0,INDEX('Surface DEET'!$Q$9:$W$38,COLUMN(AF372)-COLUMN($E$5),1),$E379),0)</f>
        <v>0</v>
      </c>
      <c r="AG379" s="250">
        <f>IF(AG$6=$C379,IF(INDEX('Surface DEET'!$Q$9:$W$38,COLUMN(AG372)-COLUMN($E$5),1)&gt;0,INDEX('Surface DEET'!$Q$9:$W$38,COLUMN(AG372)-COLUMN($E$5),1),$E379),0)</f>
        <v>0</v>
      </c>
      <c r="AH379" s="250">
        <f>IF(AH$6=$C379,IF(INDEX('Surface DEET'!$Q$9:$W$38,COLUMN(AH372)-COLUMN($E$5),1)&gt;0,INDEX('Surface DEET'!$Q$9:$W$38,COLUMN(AH372)-COLUMN($E$5),1),$E379),0)</f>
        <v>0</v>
      </c>
      <c r="AI379" s="250">
        <f>IF(AI$6=$C379,INDEX('Surface DEET'!$Q$9:$W$38,COLUMN(AI372)-COLUMN($E$5),1),0)</f>
        <v>0</v>
      </c>
    </row>
    <row r="380" spans="2:35">
      <c r="B380" s="250" t="s">
        <v>540</v>
      </c>
      <c r="C380" s="250" t="s">
        <v>683</v>
      </c>
      <c r="D380" s="250" t="s">
        <v>682</v>
      </c>
      <c r="E380" s="250">
        <v>95</v>
      </c>
      <c r="F380" s="250">
        <f>IF(F$6=$C380,IF(INDEX('Surface DEET'!$Q$9:$W$38,COLUMN(F373)-COLUMN($E$5),4)&gt;0,INDEX('Surface DEET'!$Q$9:$W$38,COLUMN(F373)-COLUMN($E$5),4),$E380),0)</f>
        <v>0</v>
      </c>
      <c r="G380" s="250">
        <f>IF(G$6=$C380,IF(INDEX('Surface DEET'!$Q$9:$W$38,COLUMN(G373)-COLUMN($E$5),4)&gt;0,INDEX('Surface DEET'!$Q$9:$W$38,COLUMN(G373)-COLUMN($E$5),4),$E380),0)</f>
        <v>0</v>
      </c>
      <c r="H380" s="250">
        <f>IF(H$6=$C380,IF(INDEX('Surface DEET'!$Q$9:$W$38,COLUMN(H373)-COLUMN($E$5),4)&gt;0,INDEX('Surface DEET'!$Q$9:$W$38,COLUMN(H373)-COLUMN($E$5),4),$E380),0)</f>
        <v>0</v>
      </c>
      <c r="I380" s="250">
        <f>IF(I$6=$C380,IF(INDEX('Surface DEET'!$Q$9:$W$38,COLUMN(I373)-COLUMN($E$5),4)&gt;0,INDEX('Surface DEET'!$Q$9:$W$38,COLUMN(I373)-COLUMN($E$5),4),$E380),0)</f>
        <v>0</v>
      </c>
      <c r="J380" s="250">
        <f>IF(J$6=$C380,IF(INDEX('Surface DEET'!$Q$9:$W$38,COLUMN(J373)-COLUMN($E$5),4)&gt;0,INDEX('Surface DEET'!$Q$9:$W$38,COLUMN(J373)-COLUMN($E$5),4),$E380),0)</f>
        <v>0</v>
      </c>
      <c r="K380" s="250">
        <f>IF(K$6=$C380,IF(INDEX('Surface DEET'!$Q$9:$W$38,COLUMN(K373)-COLUMN($E$5),4)&gt;0,INDEX('Surface DEET'!$Q$9:$W$38,COLUMN(K373)-COLUMN($E$5),4),$E380),0)</f>
        <v>0</v>
      </c>
      <c r="L380" s="250">
        <f>IF(L$6=$C380,IF(INDEX('Surface DEET'!$Q$9:$W$38,COLUMN(L373)-COLUMN($E$5),4)&gt;0,INDEX('Surface DEET'!$Q$9:$W$38,COLUMN(L373)-COLUMN($E$5),4),$E380),0)</f>
        <v>0</v>
      </c>
      <c r="M380" s="250">
        <f>IF(M$6=$C380,IF(INDEX('Surface DEET'!$Q$9:$W$38,COLUMN(M373)-COLUMN($E$5),4)&gt;0,INDEX('Surface DEET'!$Q$9:$W$38,COLUMN(M373)-COLUMN($E$5),4),$E380),0)</f>
        <v>0</v>
      </c>
      <c r="N380" s="250">
        <f>IF(N$6=$C380,IF(INDEX('Surface DEET'!$Q$9:$W$38,COLUMN(N373)-COLUMN($E$5),4)&gt;0,INDEX('Surface DEET'!$Q$9:$W$38,COLUMN(N373)-COLUMN($E$5),4),$E380),0)</f>
        <v>0</v>
      </c>
      <c r="O380" s="250">
        <f>IF(O$6=$C380,IF(INDEX('Surface DEET'!$Q$9:$W$38,COLUMN(O373)-COLUMN($E$5),4)&gt;0,INDEX('Surface DEET'!$Q$9:$W$38,COLUMN(O373)-COLUMN($E$5),4),$E380),0)</f>
        <v>0</v>
      </c>
      <c r="P380" s="250">
        <f>IF(P$6=$C380,IF(INDEX('Surface DEET'!$Q$9:$W$38,COLUMN(P373)-COLUMN($E$5),4)&gt;0,INDEX('Surface DEET'!$Q$9:$W$38,COLUMN(P373)-COLUMN($E$5),4),$E380),0)</f>
        <v>0</v>
      </c>
      <c r="Q380" s="250">
        <f>IF(Q$6=$C380,IF(INDEX('Surface DEET'!$Q$9:$W$38,COLUMN(Q373)-COLUMN($E$5),4)&gt;0,INDEX('Surface DEET'!$Q$9:$W$38,COLUMN(Q373)-COLUMN($E$5),4),$E380),0)</f>
        <v>0</v>
      </c>
      <c r="R380" s="250">
        <f>IF(R$6=$C380,IF(INDEX('Surface DEET'!$Q$9:$W$38,COLUMN(R373)-COLUMN($E$5),4)&gt;0,INDEX('Surface DEET'!$Q$9:$W$38,COLUMN(R373)-COLUMN($E$5),4),$E380),0)</f>
        <v>0</v>
      </c>
      <c r="S380" s="250">
        <f>IF(S$6=$C380,IF(INDEX('Surface DEET'!$Q$9:$W$38,COLUMN(S373)-COLUMN($E$5),4)&gt;0,INDEX('Surface DEET'!$Q$9:$W$38,COLUMN(S373)-COLUMN($E$5),4),$E380),0)</f>
        <v>0</v>
      </c>
      <c r="T380" s="250">
        <f>IF(T$6=$C380,IF(INDEX('Surface DEET'!$Q$9:$W$38,COLUMN(T373)-COLUMN($E$5),4)&gt;0,INDEX('Surface DEET'!$Q$9:$W$38,COLUMN(T373)-COLUMN($E$5),4),$E380),0)</f>
        <v>0</v>
      </c>
      <c r="U380" s="250">
        <f>IF(U$6=$C380,IF(INDEX('Surface DEET'!$Q$9:$W$38,COLUMN(U373)-COLUMN($E$5),4)&gt;0,INDEX('Surface DEET'!$Q$9:$W$38,COLUMN(U373)-COLUMN($E$5),4),$E380),0)</f>
        <v>0</v>
      </c>
      <c r="V380" s="250">
        <f>IF(V$6=$C380,IF(INDEX('Surface DEET'!$Q$9:$W$38,COLUMN(V373)-COLUMN($E$5),4)&gt;0,INDEX('Surface DEET'!$Q$9:$W$38,COLUMN(V373)-COLUMN($E$5),4),$E380),0)</f>
        <v>0</v>
      </c>
      <c r="W380" s="250">
        <f>IF(W$6=$C380,IF(INDEX('Surface DEET'!$Q$9:$W$38,COLUMN(W373)-COLUMN($E$5),4)&gt;0,INDEX('Surface DEET'!$Q$9:$W$38,COLUMN(W373)-COLUMN($E$5),4),$E380),0)</f>
        <v>0</v>
      </c>
      <c r="X380" s="250">
        <f>IF(X$6=$C380,IF(INDEX('Surface DEET'!$Q$9:$W$38,COLUMN(X373)-COLUMN($E$5),4)&gt;0,INDEX('Surface DEET'!$Q$9:$W$38,COLUMN(X373)-COLUMN($E$5),4),$E380),0)</f>
        <v>0</v>
      </c>
      <c r="Y380" s="250">
        <f>IF(Y$6=$C380,IF(INDEX('Surface DEET'!$Q$9:$W$38,COLUMN(Y373)-COLUMN($E$5),4)&gt;0,INDEX('Surface DEET'!$Q$9:$W$38,COLUMN(Y373)-COLUMN($E$5),4),$E380),0)</f>
        <v>0</v>
      </c>
      <c r="Z380" s="250">
        <f>IF(Z$6=$C380,IF(INDEX('Surface DEET'!$Q$9:$W$38,COLUMN(Z373)-COLUMN($E$5),4)&gt;0,INDEX('Surface DEET'!$Q$9:$W$38,COLUMN(Z373)-COLUMN($E$5),4),$E380),0)</f>
        <v>0</v>
      </c>
      <c r="AA380" s="250">
        <f>IF(AA$6=$C380,IF(INDEX('Surface DEET'!$Q$9:$W$38,COLUMN(AA373)-COLUMN($E$5),4)&gt;0,INDEX('Surface DEET'!$Q$9:$W$38,COLUMN(AA373)-COLUMN($E$5),4),$E380),0)</f>
        <v>0</v>
      </c>
      <c r="AB380" s="250">
        <f>IF(AB$6=$C380,IF(INDEX('Surface DEET'!$Q$9:$W$38,COLUMN(AB373)-COLUMN($E$5),4)&gt;0,INDEX('Surface DEET'!$Q$9:$W$38,COLUMN(AB373)-COLUMN($E$5),4),$E380),0)</f>
        <v>0</v>
      </c>
      <c r="AC380" s="250">
        <f>IF(AC$6=$C380,IF(INDEX('Surface DEET'!$Q$9:$W$38,COLUMN(AC373)-COLUMN($E$5),4)&gt;0,INDEX('Surface DEET'!$Q$9:$W$38,COLUMN(AC373)-COLUMN($E$5),4),$E380),0)</f>
        <v>0</v>
      </c>
      <c r="AD380" s="250">
        <f>IF(AD$6=$C380,IF(INDEX('Surface DEET'!$Q$9:$W$38,COLUMN(AD373)-COLUMN($E$5),4)&gt;0,INDEX('Surface DEET'!$Q$9:$W$38,COLUMN(AD373)-COLUMN($E$5),4),$E380),0)</f>
        <v>0</v>
      </c>
      <c r="AE380" s="250">
        <f>IF(AE$6=$C380,IF(INDEX('Surface DEET'!$Q$9:$W$38,COLUMN(AE373)-COLUMN($E$5),4)&gt;0,INDEX('Surface DEET'!$Q$9:$W$38,COLUMN(AE373)-COLUMN($E$5),4),$E380),0)</f>
        <v>0</v>
      </c>
      <c r="AF380" s="250">
        <f>IF(AF$6=$C380,IF(INDEX('Surface DEET'!$Q$9:$W$38,COLUMN(AF373)-COLUMN($E$5),4)&gt;0,INDEX('Surface DEET'!$Q$9:$W$38,COLUMN(AF373)-COLUMN($E$5),4),$E380),0)</f>
        <v>0</v>
      </c>
      <c r="AG380" s="250">
        <f>IF(AG$6=$C380,IF(INDEX('Surface DEET'!$Q$9:$W$38,COLUMN(AG373)-COLUMN($E$5),4)&gt;0,INDEX('Surface DEET'!$Q$9:$W$38,COLUMN(AG373)-COLUMN($E$5),4),$E380),0)</f>
        <v>0</v>
      </c>
      <c r="AH380" s="250">
        <f>IF(AH$6=$C380,IF(INDEX('Surface DEET'!$Q$9:$W$38,COLUMN(AH373)-COLUMN($E$5),4)&gt;0,INDEX('Surface DEET'!$Q$9:$W$38,COLUMN(AH373)-COLUMN($E$5),4),$E380),0)</f>
        <v>0</v>
      </c>
      <c r="AI380" s="250">
        <f>IF(AI$6=$C380,INDEX('Surface DEET'!$Q$9:$W$38,COLUMN(AI373)-COLUMN($E$5),4),0)</f>
        <v>0</v>
      </c>
    </row>
    <row r="381" spans="2:35">
      <c r="B381" s="250" t="s">
        <v>543</v>
      </c>
      <c r="C381" s="250" t="s">
        <v>683</v>
      </c>
    </row>
    <row r="382" spans="2:35">
      <c r="B382" s="250" t="s">
        <v>533</v>
      </c>
      <c r="C382" s="250" t="s">
        <v>683</v>
      </c>
      <c r="D382" s="250" t="s">
        <v>533</v>
      </c>
      <c r="F382" s="250">
        <f>$E$376*($E$378*(F380/$E$380)+(1-$E$378)*(F379/$E$379))+0.28*$E$375*(F379-$E$379)/$E$379</f>
        <v>-15.96</v>
      </c>
      <c r="G382" s="250">
        <f t="shared" ref="G382:AI382" si="46">$E$376*($E$378*(G380/$E$380)+(1-$E$378)*(G379/$E$379))+0.28*$E$375*(G379-$E$379)/$E$379</f>
        <v>-15.96</v>
      </c>
      <c r="H382" s="250">
        <f t="shared" si="46"/>
        <v>-15.96</v>
      </c>
      <c r="I382" s="250">
        <f t="shared" si="46"/>
        <v>-15.96</v>
      </c>
      <c r="J382" s="250">
        <f t="shared" si="46"/>
        <v>-15.96</v>
      </c>
      <c r="K382" s="250">
        <f t="shared" si="46"/>
        <v>-15.96</v>
      </c>
      <c r="L382" s="250">
        <f t="shared" si="46"/>
        <v>-15.96</v>
      </c>
      <c r="M382" s="250">
        <f t="shared" si="46"/>
        <v>-15.96</v>
      </c>
      <c r="N382" s="250">
        <f t="shared" si="46"/>
        <v>-15.96</v>
      </c>
      <c r="O382" s="250">
        <f t="shared" si="46"/>
        <v>-15.96</v>
      </c>
      <c r="P382" s="250">
        <f t="shared" si="46"/>
        <v>-15.96</v>
      </c>
      <c r="Q382" s="250">
        <f t="shared" si="46"/>
        <v>-15.96</v>
      </c>
      <c r="R382" s="250">
        <f t="shared" si="46"/>
        <v>-15.96</v>
      </c>
      <c r="S382" s="250">
        <f t="shared" si="46"/>
        <v>-15.96</v>
      </c>
      <c r="T382" s="250">
        <f t="shared" si="46"/>
        <v>-15.96</v>
      </c>
      <c r="U382" s="250">
        <f t="shared" si="46"/>
        <v>-15.96</v>
      </c>
      <c r="V382" s="250">
        <f t="shared" si="46"/>
        <v>-15.96</v>
      </c>
      <c r="W382" s="250">
        <f t="shared" si="46"/>
        <v>-15.96</v>
      </c>
      <c r="X382" s="250">
        <f t="shared" si="46"/>
        <v>-15.96</v>
      </c>
      <c r="Y382" s="250">
        <f t="shared" si="46"/>
        <v>-15.96</v>
      </c>
      <c r="Z382" s="250">
        <f t="shared" si="46"/>
        <v>-15.96</v>
      </c>
      <c r="AA382" s="250">
        <f t="shared" si="46"/>
        <v>-15.96</v>
      </c>
      <c r="AB382" s="250">
        <f t="shared" si="46"/>
        <v>-15.96</v>
      </c>
      <c r="AC382" s="250">
        <f t="shared" si="46"/>
        <v>-15.96</v>
      </c>
      <c r="AD382" s="250">
        <f t="shared" si="46"/>
        <v>-15.96</v>
      </c>
      <c r="AE382" s="250">
        <f t="shared" si="46"/>
        <v>-15.96</v>
      </c>
      <c r="AF382" s="250">
        <f t="shared" si="46"/>
        <v>-15.96</v>
      </c>
      <c r="AG382" s="250">
        <f t="shared" si="46"/>
        <v>-15.96</v>
      </c>
      <c r="AH382" s="250">
        <f t="shared" si="46"/>
        <v>-15.96</v>
      </c>
      <c r="AI382" s="250">
        <f t="shared" si="46"/>
        <v>-15.96</v>
      </c>
    </row>
    <row r="383" spans="2:35">
      <c r="B383" s="88" t="s">
        <v>294</v>
      </c>
      <c r="C383" s="250" t="s">
        <v>684</v>
      </c>
      <c r="D383" s="88" t="s">
        <v>294</v>
      </c>
      <c r="E383" s="250">
        <f t="array" ref="E383">INDEX(CABS_CVC!$C$3:$O$894,MATCH(1, (CABS_CVC!$A$3:$A$894=Calculs_CABS!C383)*(CABS_CVC!$B$3:$B$894=Calculs_CABS!$D$2),0),MATCH(Calculs_CABS!$D$1,Liste_CABS!$B$3:$B$15,0))</f>
        <v>69</v>
      </c>
    </row>
    <row r="384" spans="2:35">
      <c r="B384" s="250" t="s">
        <v>534</v>
      </c>
      <c r="C384" s="250" t="s">
        <v>684</v>
      </c>
      <c r="D384" s="250" t="s">
        <v>534</v>
      </c>
      <c r="E384" s="250">
        <v>20</v>
      </c>
    </row>
    <row r="385" spans="2:35">
      <c r="B385" s="250" t="s">
        <v>535</v>
      </c>
      <c r="C385" s="250" t="s">
        <v>684</v>
      </c>
      <c r="D385" s="250" t="s">
        <v>535</v>
      </c>
      <c r="E385" s="250">
        <f>E383+E384</f>
        <v>89</v>
      </c>
    </row>
    <row r="386" spans="2:35">
      <c r="B386" s="250" t="s">
        <v>536</v>
      </c>
      <c r="C386" s="250" t="s">
        <v>684</v>
      </c>
      <c r="D386" s="250" t="s">
        <v>536</v>
      </c>
      <c r="E386" s="250">
        <v>0</v>
      </c>
    </row>
    <row r="387" spans="2:35">
      <c r="B387" s="250" t="s">
        <v>537</v>
      </c>
      <c r="C387" s="250" t="s">
        <v>684</v>
      </c>
      <c r="D387" s="250" t="s">
        <v>681</v>
      </c>
      <c r="E387" s="250">
        <v>1900</v>
      </c>
      <c r="F387" s="250">
        <f>IF(F$6=$C387,IF(INDEX('Surface DEET'!$Q$9:$W$38,COLUMN(F380)-COLUMN($E$5),1)&gt;0,INDEX('Surface DEET'!$Q$9:$W$38,COLUMN(F380)-COLUMN($E$5),1),$E387),0)</f>
        <v>0</v>
      </c>
      <c r="G387" s="250">
        <f>IF(G$6=$C387,IF(INDEX('Surface DEET'!$Q$9:$W$38,COLUMN(G380)-COLUMN($E$5),1)&gt;0,INDEX('Surface DEET'!$Q$9:$W$38,COLUMN(G380)-COLUMN($E$5),1),$E387),0)</f>
        <v>0</v>
      </c>
      <c r="H387" s="250">
        <f>IF(H$6=$C387,IF(INDEX('Surface DEET'!$Q$9:$W$38,COLUMN(H380)-COLUMN($E$5),1)&gt;0,INDEX('Surface DEET'!$Q$9:$W$38,COLUMN(H380)-COLUMN($E$5),1),$E387),0)</f>
        <v>0</v>
      </c>
      <c r="I387" s="250">
        <f>IF(I$6=$C387,IF(INDEX('Surface DEET'!$Q$9:$W$38,COLUMN(I380)-COLUMN($E$5),1)&gt;0,INDEX('Surface DEET'!$Q$9:$W$38,COLUMN(I380)-COLUMN($E$5),1),$E387),0)</f>
        <v>0</v>
      </c>
      <c r="J387" s="250">
        <f>IF(J$6=$C387,IF(INDEX('Surface DEET'!$Q$9:$W$38,COLUMN(J380)-COLUMN($E$5),1)&gt;0,INDEX('Surface DEET'!$Q$9:$W$38,COLUMN(J380)-COLUMN($E$5),1),$E387),0)</f>
        <v>0</v>
      </c>
      <c r="K387" s="250">
        <f>IF(K$6=$C387,IF(INDEX('Surface DEET'!$Q$9:$W$38,COLUMN(K380)-COLUMN($E$5),1)&gt;0,INDEX('Surface DEET'!$Q$9:$W$38,COLUMN(K380)-COLUMN($E$5),1),$E387),0)</f>
        <v>0</v>
      </c>
      <c r="L387" s="250">
        <f>IF(L$6=$C387,IF(INDEX('Surface DEET'!$Q$9:$W$38,COLUMN(L380)-COLUMN($E$5),1)&gt;0,INDEX('Surface DEET'!$Q$9:$W$38,COLUMN(L380)-COLUMN($E$5),1),$E387),0)</f>
        <v>0</v>
      </c>
      <c r="M387" s="250">
        <f>IF(M$6=$C387,IF(INDEX('Surface DEET'!$Q$9:$W$38,COLUMN(M380)-COLUMN($E$5),1)&gt;0,INDEX('Surface DEET'!$Q$9:$W$38,COLUMN(M380)-COLUMN($E$5),1),$E387),0)</f>
        <v>0</v>
      </c>
      <c r="N387" s="250">
        <f>IF(N$6=$C387,IF(INDEX('Surface DEET'!$Q$9:$W$38,COLUMN(N380)-COLUMN($E$5),1)&gt;0,INDEX('Surface DEET'!$Q$9:$W$38,COLUMN(N380)-COLUMN($E$5),1),$E387),0)</f>
        <v>0</v>
      </c>
      <c r="O387" s="250">
        <f>IF(O$6=$C387,IF(INDEX('Surface DEET'!$Q$9:$W$38,COLUMN(O380)-COLUMN($E$5),1)&gt;0,INDEX('Surface DEET'!$Q$9:$W$38,COLUMN(O380)-COLUMN($E$5),1),$E387),0)</f>
        <v>0</v>
      </c>
      <c r="P387" s="250">
        <f>IF(P$6=$C387,IF(INDEX('Surface DEET'!$Q$9:$W$38,COLUMN(P380)-COLUMN($E$5),1)&gt;0,INDEX('Surface DEET'!$Q$9:$W$38,COLUMN(P380)-COLUMN($E$5),1),$E387),0)</f>
        <v>0</v>
      </c>
      <c r="Q387" s="250">
        <f>IF(Q$6=$C387,IF(INDEX('Surface DEET'!$Q$9:$W$38,COLUMN(Q380)-COLUMN($E$5),1)&gt;0,INDEX('Surface DEET'!$Q$9:$W$38,COLUMN(Q380)-COLUMN($E$5),1),$E387),0)</f>
        <v>0</v>
      </c>
      <c r="R387" s="250">
        <f>IF(R$6=$C387,IF(INDEX('Surface DEET'!$Q$9:$W$38,COLUMN(R380)-COLUMN($E$5),1)&gt;0,INDEX('Surface DEET'!$Q$9:$W$38,COLUMN(R380)-COLUMN($E$5),1),$E387),0)</f>
        <v>0</v>
      </c>
      <c r="S387" s="250">
        <f>IF(S$6=$C387,IF(INDEX('Surface DEET'!$Q$9:$W$38,COLUMN(S380)-COLUMN($E$5),1)&gt;0,INDEX('Surface DEET'!$Q$9:$W$38,COLUMN(S380)-COLUMN($E$5),1),$E387),0)</f>
        <v>0</v>
      </c>
      <c r="T387" s="250">
        <f>IF(T$6=$C387,IF(INDEX('Surface DEET'!$Q$9:$W$38,COLUMN(T380)-COLUMN($E$5),1)&gt;0,INDEX('Surface DEET'!$Q$9:$W$38,COLUMN(T380)-COLUMN($E$5),1),$E387),0)</f>
        <v>0</v>
      </c>
      <c r="U387" s="250">
        <f>IF(U$6=$C387,IF(INDEX('Surface DEET'!$Q$9:$W$38,COLUMN(U380)-COLUMN($E$5),1)&gt;0,INDEX('Surface DEET'!$Q$9:$W$38,COLUMN(U380)-COLUMN($E$5),1),$E387),0)</f>
        <v>0</v>
      </c>
      <c r="V387" s="250">
        <f>IF(V$6=$C387,IF(INDEX('Surface DEET'!$Q$9:$W$38,COLUMN(V380)-COLUMN($E$5),1)&gt;0,INDEX('Surface DEET'!$Q$9:$W$38,COLUMN(V380)-COLUMN($E$5),1),$E387),0)</f>
        <v>0</v>
      </c>
      <c r="W387" s="250">
        <f>IF(W$6=$C387,IF(INDEX('Surface DEET'!$Q$9:$W$38,COLUMN(W380)-COLUMN($E$5),1)&gt;0,INDEX('Surface DEET'!$Q$9:$W$38,COLUMN(W380)-COLUMN($E$5),1),$E387),0)</f>
        <v>0</v>
      </c>
      <c r="X387" s="250">
        <f>IF(X$6=$C387,IF(INDEX('Surface DEET'!$Q$9:$W$38,COLUMN(X380)-COLUMN($E$5),1)&gt;0,INDEX('Surface DEET'!$Q$9:$W$38,COLUMN(X380)-COLUMN($E$5),1),$E387),0)</f>
        <v>0</v>
      </c>
      <c r="Y387" s="250">
        <f>IF(Y$6=$C387,IF(INDEX('Surface DEET'!$Q$9:$W$38,COLUMN(Y380)-COLUMN($E$5),1)&gt;0,INDEX('Surface DEET'!$Q$9:$W$38,COLUMN(Y380)-COLUMN($E$5),1),$E387),0)</f>
        <v>0</v>
      </c>
      <c r="Z387" s="250">
        <f>IF(Z$6=$C387,IF(INDEX('Surface DEET'!$Q$9:$W$38,COLUMN(Z380)-COLUMN($E$5),1)&gt;0,INDEX('Surface DEET'!$Q$9:$W$38,COLUMN(Z380)-COLUMN($E$5),1),$E387),0)</f>
        <v>0</v>
      </c>
      <c r="AA387" s="250">
        <f>IF(AA$6=$C387,IF(INDEX('Surface DEET'!$Q$9:$W$38,COLUMN(AA380)-COLUMN($E$5),1)&gt;0,INDEX('Surface DEET'!$Q$9:$W$38,COLUMN(AA380)-COLUMN($E$5),1),$E387),0)</f>
        <v>0</v>
      </c>
      <c r="AB387" s="250">
        <f>IF(AB$6=$C387,IF(INDEX('Surface DEET'!$Q$9:$W$38,COLUMN(AB380)-COLUMN($E$5),1)&gt;0,INDEX('Surface DEET'!$Q$9:$W$38,COLUMN(AB380)-COLUMN($E$5),1),$E387),0)</f>
        <v>0</v>
      </c>
      <c r="AC387" s="250">
        <f>IF(AC$6=$C387,IF(INDEX('Surface DEET'!$Q$9:$W$38,COLUMN(AC380)-COLUMN($E$5),1)&gt;0,INDEX('Surface DEET'!$Q$9:$W$38,COLUMN(AC380)-COLUMN($E$5),1),$E387),0)</f>
        <v>0</v>
      </c>
      <c r="AD387" s="250">
        <f>IF(AD$6=$C387,IF(INDEX('Surface DEET'!$Q$9:$W$38,COLUMN(AD380)-COLUMN($E$5),1)&gt;0,INDEX('Surface DEET'!$Q$9:$W$38,COLUMN(AD380)-COLUMN($E$5),1),$E387),0)</f>
        <v>0</v>
      </c>
      <c r="AE387" s="250">
        <f>IF(AE$6=$C387,IF(INDEX('Surface DEET'!$Q$9:$W$38,COLUMN(AE380)-COLUMN($E$5),1)&gt;0,INDEX('Surface DEET'!$Q$9:$W$38,COLUMN(AE380)-COLUMN($E$5),1),$E387),0)</f>
        <v>0</v>
      </c>
      <c r="AF387" s="250">
        <f>IF(AF$6=$C387,IF(INDEX('Surface DEET'!$Q$9:$W$38,COLUMN(AF380)-COLUMN($E$5),1)&gt;0,INDEX('Surface DEET'!$Q$9:$W$38,COLUMN(AF380)-COLUMN($E$5),1),$E387),0)</f>
        <v>0</v>
      </c>
      <c r="AG387" s="250">
        <f>IF(AG$6=$C387,IF(INDEX('Surface DEET'!$Q$9:$W$38,COLUMN(AG380)-COLUMN($E$5),1)&gt;0,INDEX('Surface DEET'!$Q$9:$W$38,COLUMN(AG380)-COLUMN($E$5),1),$E387),0)</f>
        <v>0</v>
      </c>
      <c r="AH387" s="250">
        <f>IF(AH$6=$C387,IF(INDEX('Surface DEET'!$Q$9:$W$38,COLUMN(AH380)-COLUMN($E$5),1)&gt;0,INDEX('Surface DEET'!$Q$9:$W$38,COLUMN(AH380)-COLUMN($E$5),1),$E387),0)</f>
        <v>0</v>
      </c>
      <c r="AI387" s="250">
        <f>IF(AI$6=$C387,IF(INDEX('Surface DEET'!$Q$9:$W$38,COLUMN(AI380)-COLUMN($E$5),1)&gt;0,INDEX('Surface DEET'!$Q$9:$W$38,COLUMN(AI380)-COLUMN($E$5),1),$E387),0)</f>
        <v>0</v>
      </c>
    </row>
    <row r="388" spans="2:35">
      <c r="B388" s="250" t="s">
        <v>533</v>
      </c>
      <c r="C388" s="250" t="s">
        <v>684</v>
      </c>
      <c r="D388" s="250" t="s">
        <v>533</v>
      </c>
      <c r="F388" s="250">
        <f>$E384*F387/$E387+0.28*$E383*(F387-$E387)/$E387</f>
        <v>-19.32</v>
      </c>
      <c r="G388" s="250">
        <f t="shared" ref="G388:AI388" si="47">$E384*G387/$E387+0.28*$E383*(G387-$E387)/$E387</f>
        <v>-19.32</v>
      </c>
      <c r="H388" s="250">
        <f t="shared" si="47"/>
        <v>-19.32</v>
      </c>
      <c r="I388" s="250">
        <f t="shared" si="47"/>
        <v>-19.32</v>
      </c>
      <c r="J388" s="250">
        <f t="shared" si="47"/>
        <v>-19.32</v>
      </c>
      <c r="K388" s="250">
        <f t="shared" si="47"/>
        <v>-19.32</v>
      </c>
      <c r="L388" s="250">
        <f t="shared" si="47"/>
        <v>-19.32</v>
      </c>
      <c r="M388" s="250">
        <f t="shared" si="47"/>
        <v>-19.32</v>
      </c>
      <c r="N388" s="250">
        <f t="shared" si="47"/>
        <v>-19.32</v>
      </c>
      <c r="O388" s="250">
        <f t="shared" si="47"/>
        <v>-19.32</v>
      </c>
      <c r="P388" s="250">
        <f t="shared" si="47"/>
        <v>-19.32</v>
      </c>
      <c r="Q388" s="250">
        <f t="shared" si="47"/>
        <v>-19.32</v>
      </c>
      <c r="R388" s="250">
        <f t="shared" si="47"/>
        <v>-19.32</v>
      </c>
      <c r="S388" s="250">
        <f t="shared" si="47"/>
        <v>-19.32</v>
      </c>
      <c r="T388" s="250">
        <f t="shared" si="47"/>
        <v>-19.32</v>
      </c>
      <c r="U388" s="250">
        <f t="shared" si="47"/>
        <v>-19.32</v>
      </c>
      <c r="V388" s="250">
        <f t="shared" si="47"/>
        <v>-19.32</v>
      </c>
      <c r="W388" s="250">
        <f t="shared" si="47"/>
        <v>-19.32</v>
      </c>
      <c r="X388" s="250">
        <f t="shared" si="47"/>
        <v>-19.32</v>
      </c>
      <c r="Y388" s="250">
        <f t="shared" si="47"/>
        <v>-19.32</v>
      </c>
      <c r="Z388" s="250">
        <f t="shared" si="47"/>
        <v>-19.32</v>
      </c>
      <c r="AA388" s="250">
        <f t="shared" si="47"/>
        <v>-19.32</v>
      </c>
      <c r="AB388" s="250">
        <f t="shared" si="47"/>
        <v>-19.32</v>
      </c>
      <c r="AC388" s="250">
        <f t="shared" si="47"/>
        <v>-19.32</v>
      </c>
      <c r="AD388" s="250">
        <f t="shared" si="47"/>
        <v>-19.32</v>
      </c>
      <c r="AE388" s="250">
        <f t="shared" si="47"/>
        <v>-19.32</v>
      </c>
      <c r="AF388" s="250">
        <f t="shared" si="47"/>
        <v>-19.32</v>
      </c>
      <c r="AG388" s="250">
        <f t="shared" si="47"/>
        <v>-19.32</v>
      </c>
      <c r="AH388" s="250">
        <f t="shared" si="47"/>
        <v>-19.32</v>
      </c>
      <c r="AI388" s="250">
        <f t="shared" si="47"/>
        <v>-19.32</v>
      </c>
    </row>
    <row r="389" spans="2:35">
      <c r="B389" s="88" t="s">
        <v>294</v>
      </c>
      <c r="C389" s="250" t="s">
        <v>685</v>
      </c>
      <c r="D389" s="88" t="s">
        <v>294</v>
      </c>
      <c r="E389" s="250">
        <f t="array" ref="E389">INDEX(CABS_CVC!$C$3:$O$894,MATCH(1, (CABS_CVC!$A$3:$A$894=Calculs_CABS!C389)*(CABS_CVC!$B$3:$B$894=Calculs_CABS!$D$2),0),MATCH(Calculs_CABS!$D$1,Liste_CABS!$B$3:$B$15,0))</f>
        <v>69</v>
      </c>
    </row>
    <row r="390" spans="2:35">
      <c r="B390" s="250" t="s">
        <v>534</v>
      </c>
      <c r="C390" s="250" t="s">
        <v>685</v>
      </c>
      <c r="D390" s="250" t="s">
        <v>534</v>
      </c>
      <c r="E390" s="250">
        <v>90</v>
      </c>
    </row>
    <row r="391" spans="2:35">
      <c r="B391" s="250" t="s">
        <v>535</v>
      </c>
      <c r="C391" s="250" t="s">
        <v>685</v>
      </c>
      <c r="D391" s="250" t="s">
        <v>535</v>
      </c>
      <c r="E391" s="250">
        <f>E389+E390</f>
        <v>159</v>
      </c>
    </row>
    <row r="392" spans="2:35">
      <c r="B392" s="250" t="s">
        <v>536</v>
      </c>
      <c r="C392" s="250" t="s">
        <v>685</v>
      </c>
      <c r="D392" s="250" t="s">
        <v>536</v>
      </c>
      <c r="E392" s="250">
        <v>0.89</v>
      </c>
    </row>
    <row r="393" spans="2:35">
      <c r="B393" s="250" t="s">
        <v>537</v>
      </c>
      <c r="C393" s="250" t="s">
        <v>685</v>
      </c>
      <c r="D393" s="250" t="s">
        <v>681</v>
      </c>
      <c r="E393" s="250">
        <v>1900</v>
      </c>
      <c r="F393" s="250">
        <f>IF(F$6=$C393,IF(INDEX('Surface DEET'!$Q$9:$W$38,COLUMN(F386)-COLUMN($E$5),1)&gt;0,INDEX('Surface DEET'!$Q$9:$W$38,COLUMN(F386)-COLUMN($E$5),1),$E393),0)</f>
        <v>0</v>
      </c>
      <c r="G393" s="250">
        <f>IF(G$6=$C393,IF(INDEX('Surface DEET'!$Q$9:$W$38,COLUMN(G386)-COLUMN($E$5),1)&gt;0,INDEX('Surface DEET'!$Q$9:$W$38,COLUMN(G386)-COLUMN($E$5),1),$E393),0)</f>
        <v>0</v>
      </c>
      <c r="H393" s="250">
        <f>IF(H$6=$C393,IF(INDEX('Surface DEET'!$Q$9:$W$38,COLUMN(H386)-COLUMN($E$5),1)&gt;0,INDEX('Surface DEET'!$Q$9:$W$38,COLUMN(H386)-COLUMN($E$5),1),$E393),0)</f>
        <v>0</v>
      </c>
      <c r="I393" s="250">
        <f>IF(I$6=$C393,IF(INDEX('Surface DEET'!$Q$9:$W$38,COLUMN(I386)-COLUMN($E$5),1)&gt;0,INDEX('Surface DEET'!$Q$9:$W$38,COLUMN(I386)-COLUMN($E$5),1),$E393),0)</f>
        <v>0</v>
      </c>
      <c r="J393" s="250">
        <f>IF(J$6=$C393,IF(INDEX('Surface DEET'!$Q$9:$W$38,COLUMN(J386)-COLUMN($E$5),1)&gt;0,INDEX('Surface DEET'!$Q$9:$W$38,COLUMN(J386)-COLUMN($E$5),1),$E393),0)</f>
        <v>0</v>
      </c>
      <c r="K393" s="250">
        <f>IF(K$6=$C393,IF(INDEX('Surface DEET'!$Q$9:$W$38,COLUMN(K386)-COLUMN($E$5),1)&gt;0,INDEX('Surface DEET'!$Q$9:$W$38,COLUMN(K386)-COLUMN($E$5),1),$E393),0)</f>
        <v>0</v>
      </c>
      <c r="L393" s="250">
        <f>IF(L$6=$C393,IF(INDEX('Surface DEET'!$Q$9:$W$38,COLUMN(L386)-COLUMN($E$5),1)&gt;0,INDEX('Surface DEET'!$Q$9:$W$38,COLUMN(L386)-COLUMN($E$5),1),$E393),0)</f>
        <v>0</v>
      </c>
      <c r="M393" s="250">
        <f>IF(M$6=$C393,IF(INDEX('Surface DEET'!$Q$9:$W$38,COLUMN(M386)-COLUMN($E$5),1)&gt;0,INDEX('Surface DEET'!$Q$9:$W$38,COLUMN(M386)-COLUMN($E$5),1),$E393),0)</f>
        <v>0</v>
      </c>
      <c r="N393" s="250">
        <f>IF(N$6=$C393,IF(INDEX('Surface DEET'!$Q$9:$W$38,COLUMN(N386)-COLUMN($E$5),1)&gt;0,INDEX('Surface DEET'!$Q$9:$W$38,COLUMN(N386)-COLUMN($E$5),1),$E393),0)</f>
        <v>0</v>
      </c>
      <c r="O393" s="250">
        <f>IF(O$6=$C393,IF(INDEX('Surface DEET'!$Q$9:$W$38,COLUMN(O386)-COLUMN($E$5),1)&gt;0,INDEX('Surface DEET'!$Q$9:$W$38,COLUMN(O386)-COLUMN($E$5),1),$E393),0)</f>
        <v>0</v>
      </c>
      <c r="P393" s="250">
        <f>IF(P$6=$C393,IF(INDEX('Surface DEET'!$Q$9:$W$38,COLUMN(P386)-COLUMN($E$5),1)&gt;0,INDEX('Surface DEET'!$Q$9:$W$38,COLUMN(P386)-COLUMN($E$5),1),$E393),0)</f>
        <v>0</v>
      </c>
      <c r="Q393" s="250">
        <f>IF(Q$6=$C393,IF(INDEX('Surface DEET'!$Q$9:$W$38,COLUMN(Q386)-COLUMN($E$5),1)&gt;0,INDEX('Surface DEET'!$Q$9:$W$38,COLUMN(Q386)-COLUMN($E$5),1),$E393),0)</f>
        <v>0</v>
      </c>
      <c r="R393" s="250">
        <f>IF(R$6=$C393,IF(INDEX('Surface DEET'!$Q$9:$W$38,COLUMN(R386)-COLUMN($E$5),1)&gt;0,INDEX('Surface DEET'!$Q$9:$W$38,COLUMN(R386)-COLUMN($E$5),1),$E393),0)</f>
        <v>0</v>
      </c>
      <c r="S393" s="250">
        <f>IF(S$6=$C393,IF(INDEX('Surface DEET'!$Q$9:$W$38,COLUMN(S386)-COLUMN($E$5),1)&gt;0,INDEX('Surface DEET'!$Q$9:$W$38,COLUMN(S386)-COLUMN($E$5),1),$E393),0)</f>
        <v>0</v>
      </c>
      <c r="T393" s="250">
        <f>IF(T$6=$C393,IF(INDEX('Surface DEET'!$Q$9:$W$38,COLUMN(T386)-COLUMN($E$5),1)&gt;0,INDEX('Surface DEET'!$Q$9:$W$38,COLUMN(T386)-COLUMN($E$5),1),$E393),0)</f>
        <v>0</v>
      </c>
      <c r="U393" s="250">
        <f>IF(U$6=$C393,IF(INDEX('Surface DEET'!$Q$9:$W$38,COLUMN(U386)-COLUMN($E$5),1)&gt;0,INDEX('Surface DEET'!$Q$9:$W$38,COLUMN(U386)-COLUMN($E$5),1),$E393),0)</f>
        <v>0</v>
      </c>
      <c r="V393" s="250">
        <f>IF(V$6=$C393,IF(INDEX('Surface DEET'!$Q$9:$W$38,COLUMN(V386)-COLUMN($E$5),1)&gt;0,INDEX('Surface DEET'!$Q$9:$W$38,COLUMN(V386)-COLUMN($E$5),1),$E393),0)</f>
        <v>0</v>
      </c>
      <c r="W393" s="250">
        <f>IF(W$6=$C393,IF(INDEX('Surface DEET'!$Q$9:$W$38,COLUMN(W386)-COLUMN($E$5),1)&gt;0,INDEX('Surface DEET'!$Q$9:$W$38,COLUMN(W386)-COLUMN($E$5),1),$E393),0)</f>
        <v>0</v>
      </c>
      <c r="X393" s="250">
        <f>IF(X$6=$C393,IF(INDEX('Surface DEET'!$Q$9:$W$38,COLUMN(X386)-COLUMN($E$5),1)&gt;0,INDEX('Surface DEET'!$Q$9:$W$38,COLUMN(X386)-COLUMN($E$5),1),$E393),0)</f>
        <v>0</v>
      </c>
      <c r="Y393" s="250">
        <f>IF(Y$6=$C393,IF(INDEX('Surface DEET'!$Q$9:$W$38,COLUMN(Y386)-COLUMN($E$5),1)&gt;0,INDEX('Surface DEET'!$Q$9:$W$38,COLUMN(Y386)-COLUMN($E$5),1),$E393),0)</f>
        <v>0</v>
      </c>
      <c r="Z393" s="250">
        <f>IF(Z$6=$C393,IF(INDEX('Surface DEET'!$Q$9:$W$38,COLUMN(Z386)-COLUMN($E$5),1)&gt;0,INDEX('Surface DEET'!$Q$9:$W$38,COLUMN(Z386)-COLUMN($E$5),1),$E393),0)</f>
        <v>0</v>
      </c>
      <c r="AA393" s="250">
        <f>IF(AA$6=$C393,IF(INDEX('Surface DEET'!$Q$9:$W$38,COLUMN(AA386)-COLUMN($E$5),1)&gt;0,INDEX('Surface DEET'!$Q$9:$W$38,COLUMN(AA386)-COLUMN($E$5),1),$E393),0)</f>
        <v>0</v>
      </c>
      <c r="AB393" s="250">
        <f>IF(AB$6=$C393,IF(INDEX('Surface DEET'!$Q$9:$W$38,COLUMN(AB386)-COLUMN($E$5),1)&gt;0,INDEX('Surface DEET'!$Q$9:$W$38,COLUMN(AB386)-COLUMN($E$5),1),$E393),0)</f>
        <v>0</v>
      </c>
      <c r="AC393" s="250">
        <f>IF(AC$6=$C393,IF(INDEX('Surface DEET'!$Q$9:$W$38,COLUMN(AC386)-COLUMN($E$5),1)&gt;0,INDEX('Surface DEET'!$Q$9:$W$38,COLUMN(AC386)-COLUMN($E$5),1),$E393),0)</f>
        <v>0</v>
      </c>
      <c r="AD393" s="250">
        <f>IF(AD$6=$C393,IF(INDEX('Surface DEET'!$Q$9:$W$38,COLUMN(AD386)-COLUMN($E$5),1)&gt;0,INDEX('Surface DEET'!$Q$9:$W$38,COLUMN(AD386)-COLUMN($E$5),1),$E393),0)</f>
        <v>0</v>
      </c>
      <c r="AE393" s="250">
        <f>IF(AE$6=$C393,IF(INDEX('Surface DEET'!$Q$9:$W$38,COLUMN(AE386)-COLUMN($E$5),1)&gt;0,INDEX('Surface DEET'!$Q$9:$W$38,COLUMN(AE386)-COLUMN($E$5),1),$E393),0)</f>
        <v>0</v>
      </c>
      <c r="AF393" s="250">
        <f>IF(AF$6=$C393,IF(INDEX('Surface DEET'!$Q$9:$W$38,COLUMN(AF386)-COLUMN($E$5),1)&gt;0,INDEX('Surface DEET'!$Q$9:$W$38,COLUMN(AF386)-COLUMN($E$5),1),$E393),0)</f>
        <v>0</v>
      </c>
      <c r="AG393" s="250">
        <f>IF(AG$6=$C393,IF(INDEX('Surface DEET'!$Q$9:$W$38,COLUMN(AG386)-COLUMN($E$5),1)&gt;0,INDEX('Surface DEET'!$Q$9:$W$38,COLUMN(AG386)-COLUMN($E$5),1),$E393),0)</f>
        <v>0</v>
      </c>
      <c r="AH393" s="250">
        <f>IF(AH$6=$C393,IF(INDEX('Surface DEET'!$Q$9:$W$38,COLUMN(AH386)-COLUMN($E$5),1)&gt;0,INDEX('Surface DEET'!$Q$9:$W$38,COLUMN(AH386)-COLUMN($E$5),1),$E393),0)</f>
        <v>0</v>
      </c>
      <c r="AI393" s="250">
        <f>IF(AI$6=$C393,INDEX('Surface DEET'!$Q$9:$W$38,COLUMN(AI386)-COLUMN($E$5),1),0)</f>
        <v>0</v>
      </c>
    </row>
    <row r="394" spans="2:35">
      <c r="B394" s="250" t="s">
        <v>540</v>
      </c>
      <c r="C394" s="250" t="s">
        <v>685</v>
      </c>
      <c r="D394" s="250" t="s">
        <v>682</v>
      </c>
      <c r="E394" s="250">
        <v>80</v>
      </c>
      <c r="F394" s="250">
        <f>IF(F$6=$C394,IF(INDEX('Surface DEET'!$Q$9:$W$38,COLUMN(F387)-COLUMN($E$5),4)&gt;0,INDEX('Surface DEET'!$Q$9:$W$38,COLUMN(F387)-COLUMN($E$5),4),$E394),0)</f>
        <v>0</v>
      </c>
      <c r="G394" s="250">
        <f>IF(G$6=$C394,IF(INDEX('Surface DEET'!$Q$9:$W$38,COLUMN(G387)-COLUMN($E$5),4)&gt;0,INDEX('Surface DEET'!$Q$9:$W$38,COLUMN(G387)-COLUMN($E$5),4),$E394),0)</f>
        <v>0</v>
      </c>
      <c r="H394" s="250">
        <f>IF(H$6=$C394,IF(INDEX('Surface DEET'!$Q$9:$W$38,COLUMN(H387)-COLUMN($E$5),4)&gt;0,INDEX('Surface DEET'!$Q$9:$W$38,COLUMN(H387)-COLUMN($E$5),4),$E394),0)</f>
        <v>0</v>
      </c>
      <c r="I394" s="250">
        <f>IF(I$6=$C394,IF(INDEX('Surface DEET'!$Q$9:$W$38,COLUMN(I387)-COLUMN($E$5),4)&gt;0,INDEX('Surface DEET'!$Q$9:$W$38,COLUMN(I387)-COLUMN($E$5),4),$E394),0)</f>
        <v>0</v>
      </c>
      <c r="J394" s="250">
        <f>IF(J$6=$C394,IF(INDEX('Surface DEET'!$Q$9:$W$38,COLUMN(J387)-COLUMN($E$5),4)&gt;0,INDEX('Surface DEET'!$Q$9:$W$38,COLUMN(J387)-COLUMN($E$5),4),$E394),0)</f>
        <v>0</v>
      </c>
      <c r="K394" s="250">
        <f>IF(K$6=$C394,IF(INDEX('Surface DEET'!$Q$9:$W$38,COLUMN(K387)-COLUMN($E$5),4)&gt;0,INDEX('Surface DEET'!$Q$9:$W$38,COLUMN(K387)-COLUMN($E$5),4),$E394),0)</f>
        <v>0</v>
      </c>
      <c r="L394" s="250">
        <f>IF(L$6=$C394,IF(INDEX('Surface DEET'!$Q$9:$W$38,COLUMN(L387)-COLUMN($E$5),4)&gt;0,INDEX('Surface DEET'!$Q$9:$W$38,COLUMN(L387)-COLUMN($E$5),4),$E394),0)</f>
        <v>0</v>
      </c>
      <c r="M394" s="250">
        <f>IF(M$6=$C394,IF(INDEX('Surface DEET'!$Q$9:$W$38,COLUMN(M387)-COLUMN($E$5),4)&gt;0,INDEX('Surface DEET'!$Q$9:$W$38,COLUMN(M387)-COLUMN($E$5),4),$E394),0)</f>
        <v>0</v>
      </c>
      <c r="N394" s="250">
        <f>IF(N$6=$C394,IF(INDEX('Surface DEET'!$Q$9:$W$38,COLUMN(N387)-COLUMN($E$5),4)&gt;0,INDEX('Surface DEET'!$Q$9:$W$38,COLUMN(N387)-COLUMN($E$5),4),$E394),0)</f>
        <v>0</v>
      </c>
      <c r="O394" s="250">
        <f>IF(O$6=$C394,IF(INDEX('Surface DEET'!$Q$9:$W$38,COLUMN(O387)-COLUMN($E$5),4)&gt;0,INDEX('Surface DEET'!$Q$9:$W$38,COLUMN(O387)-COLUMN($E$5),4),$E394),0)</f>
        <v>0</v>
      </c>
      <c r="P394" s="250">
        <f>IF(P$6=$C394,IF(INDEX('Surface DEET'!$Q$9:$W$38,COLUMN(P387)-COLUMN($E$5),4)&gt;0,INDEX('Surface DEET'!$Q$9:$W$38,COLUMN(P387)-COLUMN($E$5),4),$E394),0)</f>
        <v>0</v>
      </c>
      <c r="Q394" s="250">
        <f>IF(Q$6=$C394,IF(INDEX('Surface DEET'!$Q$9:$W$38,COLUMN(Q387)-COLUMN($E$5),4)&gt;0,INDEX('Surface DEET'!$Q$9:$W$38,COLUMN(Q387)-COLUMN($E$5),4),$E394),0)</f>
        <v>0</v>
      </c>
      <c r="R394" s="250">
        <f>IF(R$6=$C394,IF(INDEX('Surface DEET'!$Q$9:$W$38,COLUMN(R387)-COLUMN($E$5),4)&gt;0,INDEX('Surface DEET'!$Q$9:$W$38,COLUMN(R387)-COLUMN($E$5),4),$E394),0)</f>
        <v>0</v>
      </c>
      <c r="S394" s="250">
        <f>IF(S$6=$C394,IF(INDEX('Surface DEET'!$Q$9:$W$38,COLUMN(S387)-COLUMN($E$5),4)&gt;0,INDEX('Surface DEET'!$Q$9:$W$38,COLUMN(S387)-COLUMN($E$5),4),$E394),0)</f>
        <v>0</v>
      </c>
      <c r="T394" s="250">
        <f>IF(T$6=$C394,IF(INDEX('Surface DEET'!$Q$9:$W$38,COLUMN(T387)-COLUMN($E$5),4)&gt;0,INDEX('Surface DEET'!$Q$9:$W$38,COLUMN(T387)-COLUMN($E$5),4),$E394),0)</f>
        <v>0</v>
      </c>
      <c r="U394" s="250">
        <f>IF(U$6=$C394,IF(INDEX('Surface DEET'!$Q$9:$W$38,COLUMN(U387)-COLUMN($E$5),4)&gt;0,INDEX('Surface DEET'!$Q$9:$W$38,COLUMN(U387)-COLUMN($E$5),4),$E394),0)</f>
        <v>0</v>
      </c>
      <c r="V394" s="250">
        <f>IF(V$6=$C394,IF(INDEX('Surface DEET'!$Q$9:$W$38,COLUMN(V387)-COLUMN($E$5),4)&gt;0,INDEX('Surface DEET'!$Q$9:$W$38,COLUMN(V387)-COLUMN($E$5),4),$E394),0)</f>
        <v>0</v>
      </c>
      <c r="W394" s="250">
        <f>IF(W$6=$C394,IF(INDEX('Surface DEET'!$Q$9:$W$38,COLUMN(W387)-COLUMN($E$5),4)&gt;0,INDEX('Surface DEET'!$Q$9:$W$38,COLUMN(W387)-COLUMN($E$5),4),$E394),0)</f>
        <v>0</v>
      </c>
      <c r="X394" s="250">
        <f>IF(X$6=$C394,IF(INDEX('Surface DEET'!$Q$9:$W$38,COLUMN(X387)-COLUMN($E$5),4)&gt;0,INDEX('Surface DEET'!$Q$9:$W$38,COLUMN(X387)-COLUMN($E$5),4),$E394),0)</f>
        <v>0</v>
      </c>
      <c r="Y394" s="250">
        <f>IF(Y$6=$C394,IF(INDEX('Surface DEET'!$Q$9:$W$38,COLUMN(Y387)-COLUMN($E$5),4)&gt;0,INDEX('Surface DEET'!$Q$9:$W$38,COLUMN(Y387)-COLUMN($E$5),4),$E394),0)</f>
        <v>0</v>
      </c>
      <c r="Z394" s="250">
        <f>IF(Z$6=$C394,IF(INDEX('Surface DEET'!$Q$9:$W$38,COLUMN(Z387)-COLUMN($E$5),4)&gt;0,INDEX('Surface DEET'!$Q$9:$W$38,COLUMN(Z387)-COLUMN($E$5),4),$E394),0)</f>
        <v>0</v>
      </c>
      <c r="AA394" s="250">
        <f>IF(AA$6=$C394,IF(INDEX('Surface DEET'!$Q$9:$W$38,COLUMN(AA387)-COLUMN($E$5),4)&gt;0,INDEX('Surface DEET'!$Q$9:$W$38,COLUMN(AA387)-COLUMN($E$5),4),$E394),0)</f>
        <v>0</v>
      </c>
      <c r="AB394" s="250">
        <f>IF(AB$6=$C394,IF(INDEX('Surface DEET'!$Q$9:$W$38,COLUMN(AB387)-COLUMN($E$5),4)&gt;0,INDEX('Surface DEET'!$Q$9:$W$38,COLUMN(AB387)-COLUMN($E$5),4),$E394),0)</f>
        <v>0</v>
      </c>
      <c r="AC394" s="250">
        <f>IF(AC$6=$C394,IF(INDEX('Surface DEET'!$Q$9:$W$38,COLUMN(AC387)-COLUMN($E$5),4)&gt;0,INDEX('Surface DEET'!$Q$9:$W$38,COLUMN(AC387)-COLUMN($E$5),4),$E394),0)</f>
        <v>0</v>
      </c>
      <c r="AD394" s="250">
        <f>IF(AD$6=$C394,IF(INDEX('Surface DEET'!$Q$9:$W$38,COLUMN(AD387)-COLUMN($E$5),4)&gt;0,INDEX('Surface DEET'!$Q$9:$W$38,COLUMN(AD387)-COLUMN($E$5),4),$E394),0)</f>
        <v>0</v>
      </c>
      <c r="AE394" s="250">
        <f>IF(AE$6=$C394,IF(INDEX('Surface DEET'!$Q$9:$W$38,COLUMN(AE387)-COLUMN($E$5),4)&gt;0,INDEX('Surface DEET'!$Q$9:$W$38,COLUMN(AE387)-COLUMN($E$5),4),$E394),0)</f>
        <v>0</v>
      </c>
      <c r="AF394" s="250">
        <f>IF(AF$6=$C394,IF(INDEX('Surface DEET'!$Q$9:$W$38,COLUMN(AF387)-COLUMN($E$5),4)&gt;0,INDEX('Surface DEET'!$Q$9:$W$38,COLUMN(AF387)-COLUMN($E$5),4),$E394),0)</f>
        <v>0</v>
      </c>
      <c r="AG394" s="250">
        <f>IF(AG$6=$C394,IF(INDEX('Surface DEET'!$Q$9:$W$38,COLUMN(AG387)-COLUMN($E$5),4)&gt;0,INDEX('Surface DEET'!$Q$9:$W$38,COLUMN(AG387)-COLUMN($E$5),4),$E394),0)</f>
        <v>0</v>
      </c>
      <c r="AH394" s="250">
        <f>IF(AH$6=$C394,IF(INDEX('Surface DEET'!$Q$9:$W$38,COLUMN(AH387)-COLUMN($E$5),4)&gt;0,INDEX('Surface DEET'!$Q$9:$W$38,COLUMN(AH387)-COLUMN($E$5),4),$E394),0)</f>
        <v>0</v>
      </c>
      <c r="AI394" s="250">
        <f>IF(AI$6=$C394,INDEX('Surface DEET'!$Q$9:$W$38,COLUMN(AI387)-COLUMN($E$5),4),0)</f>
        <v>0</v>
      </c>
    </row>
    <row r="395" spans="2:35">
      <c r="B395" s="250" t="s">
        <v>533</v>
      </c>
      <c r="C395" s="250" t="s">
        <v>685</v>
      </c>
      <c r="D395" s="250" t="s">
        <v>533</v>
      </c>
      <c r="F395" s="250">
        <f>$E$390*($E$392*(F394/$E$394)+(1-$E$392)*(F393/$E$393))+0.28*$E$389*(F393-$E393)/$E$393</f>
        <v>-19.32</v>
      </c>
      <c r="G395" s="250">
        <f t="shared" ref="G395:AI395" si="48">$E$390*($E$392*(G394/$E$394)+(1-$E$392)*(G393/$E$393))+0.28*$E$389*(G393-$E393)/$E$393</f>
        <v>-19.32</v>
      </c>
      <c r="H395" s="250">
        <f t="shared" si="48"/>
        <v>-19.32</v>
      </c>
      <c r="I395" s="250">
        <f t="shared" si="48"/>
        <v>-19.32</v>
      </c>
      <c r="J395" s="250">
        <f t="shared" si="48"/>
        <v>-19.32</v>
      </c>
      <c r="K395" s="250">
        <f t="shared" si="48"/>
        <v>-19.32</v>
      </c>
      <c r="L395" s="250">
        <f t="shared" si="48"/>
        <v>-19.32</v>
      </c>
      <c r="M395" s="250">
        <f t="shared" si="48"/>
        <v>-19.32</v>
      </c>
      <c r="N395" s="250">
        <f t="shared" si="48"/>
        <v>-19.32</v>
      </c>
      <c r="O395" s="250">
        <f t="shared" si="48"/>
        <v>-19.32</v>
      </c>
      <c r="P395" s="250">
        <f t="shared" si="48"/>
        <v>-19.32</v>
      </c>
      <c r="Q395" s="250">
        <f t="shared" si="48"/>
        <v>-19.32</v>
      </c>
      <c r="R395" s="250">
        <f t="shared" si="48"/>
        <v>-19.32</v>
      </c>
      <c r="S395" s="250">
        <f t="shared" si="48"/>
        <v>-19.32</v>
      </c>
      <c r="T395" s="250">
        <f t="shared" si="48"/>
        <v>-19.32</v>
      </c>
      <c r="U395" s="250">
        <f t="shared" si="48"/>
        <v>-19.32</v>
      </c>
      <c r="V395" s="250">
        <f t="shared" si="48"/>
        <v>-19.32</v>
      </c>
      <c r="W395" s="250">
        <f t="shared" si="48"/>
        <v>-19.32</v>
      </c>
      <c r="X395" s="250">
        <f t="shared" si="48"/>
        <v>-19.32</v>
      </c>
      <c r="Y395" s="250">
        <f t="shared" si="48"/>
        <v>-19.32</v>
      </c>
      <c r="Z395" s="250">
        <f t="shared" si="48"/>
        <v>-19.32</v>
      </c>
      <c r="AA395" s="250">
        <f t="shared" si="48"/>
        <v>-19.32</v>
      </c>
      <c r="AB395" s="250">
        <f t="shared" si="48"/>
        <v>-19.32</v>
      </c>
      <c r="AC395" s="250">
        <f t="shared" si="48"/>
        <v>-19.32</v>
      </c>
      <c r="AD395" s="250">
        <f t="shared" si="48"/>
        <v>-19.32</v>
      </c>
      <c r="AE395" s="250">
        <f t="shared" si="48"/>
        <v>-19.32</v>
      </c>
      <c r="AF395" s="250">
        <f t="shared" si="48"/>
        <v>-19.32</v>
      </c>
      <c r="AG395" s="250">
        <f t="shared" si="48"/>
        <v>-19.32</v>
      </c>
      <c r="AH395" s="250">
        <f t="shared" si="48"/>
        <v>-19.32</v>
      </c>
      <c r="AI395" s="250">
        <f t="shared" si="48"/>
        <v>-19.32</v>
      </c>
    </row>
  </sheetData>
  <mergeCells count="20">
    <mergeCell ref="A96:A105"/>
    <mergeCell ref="A10:A16"/>
    <mergeCell ref="A17:A23"/>
    <mergeCell ref="A24:A30"/>
    <mergeCell ref="A31:A38"/>
    <mergeCell ref="A39:A46"/>
    <mergeCell ref="A47:A53"/>
    <mergeCell ref="A54:A60"/>
    <mergeCell ref="A61:A70"/>
    <mergeCell ref="A72:A77"/>
    <mergeCell ref="A78:A84"/>
    <mergeCell ref="A85:A95"/>
    <mergeCell ref="A149:A156"/>
    <mergeCell ref="A157:A164"/>
    <mergeCell ref="A106:A113"/>
    <mergeCell ref="A114:A120"/>
    <mergeCell ref="A121:A128"/>
    <mergeCell ref="A129:A136"/>
    <mergeCell ref="A137:A142"/>
    <mergeCell ref="A143:A14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theme="6"/>
  </sheetPr>
  <dimension ref="A1:K33"/>
  <sheetViews>
    <sheetView workbookViewId="0">
      <selection activeCell="K5" sqref="K5"/>
    </sheetView>
  </sheetViews>
  <sheetFormatPr baseColWidth="10" defaultColWidth="0" defaultRowHeight="15" customHeight="1" zeroHeight="1"/>
  <cols>
    <col min="1" max="11" width="11.36328125" customWidth="1"/>
    <col min="12" max="16384" width="11.36328125" hidden="1"/>
  </cols>
  <sheetData>
    <row r="1" spans="1:11" ht="14.5">
      <c r="A1" s="36"/>
      <c r="B1" s="36"/>
      <c r="C1" s="36"/>
      <c r="D1" s="36"/>
      <c r="E1" s="36"/>
      <c r="F1" s="36"/>
      <c r="G1" s="36"/>
      <c r="H1" s="36"/>
      <c r="I1" s="36"/>
      <c r="J1" s="36"/>
      <c r="K1" s="36"/>
    </row>
    <row r="2" spans="1:11" ht="14.5">
      <c r="A2" s="36"/>
      <c r="B2" s="36"/>
      <c r="C2" s="36"/>
      <c r="D2" s="36"/>
      <c r="E2" s="36"/>
      <c r="F2" s="36"/>
      <c r="G2" s="36"/>
      <c r="H2" s="36"/>
      <c r="I2" s="36"/>
      <c r="J2" s="36"/>
      <c r="K2" s="36"/>
    </row>
    <row r="3" spans="1:11" ht="14.5">
      <c r="A3" s="36"/>
      <c r="B3" s="102" t="s">
        <v>0</v>
      </c>
      <c r="C3" s="730">
        <f>Site!C2</f>
        <v>0</v>
      </c>
      <c r="D3" s="730"/>
      <c r="E3" s="730"/>
      <c r="F3" s="36"/>
      <c r="G3" s="36"/>
      <c r="H3" s="36"/>
      <c r="I3" s="36"/>
      <c r="J3" s="36"/>
      <c r="K3" s="36"/>
    </row>
    <row r="4" spans="1:11" ht="14.5">
      <c r="A4" s="36"/>
      <c r="B4" s="36"/>
      <c r="C4" s="36"/>
      <c r="D4" s="36"/>
      <c r="E4" s="36"/>
      <c r="F4" s="36"/>
      <c r="G4" s="36"/>
      <c r="H4" s="36"/>
      <c r="I4" s="36"/>
      <c r="J4" s="36"/>
      <c r="K4" s="36"/>
    </row>
    <row r="5" spans="1:11" ht="14.5">
      <c r="A5" s="36"/>
      <c r="B5" s="101"/>
      <c r="C5" s="101" t="s">
        <v>56</v>
      </c>
      <c r="D5" s="76">
        <f>DJU!A2</f>
        <v>0</v>
      </c>
      <c r="E5" s="36"/>
      <c r="F5" s="36"/>
      <c r="G5" s="36"/>
      <c r="H5" s="36"/>
      <c r="I5" s="36"/>
      <c r="J5" s="36"/>
      <c r="K5" s="36"/>
    </row>
    <row r="6" spans="1:11" ht="14.5">
      <c r="A6" s="36"/>
      <c r="B6" s="36"/>
      <c r="C6" s="36"/>
      <c r="D6" s="36"/>
      <c r="E6" s="36"/>
      <c r="F6" s="36"/>
      <c r="G6" s="36"/>
      <c r="H6" s="36"/>
      <c r="I6" s="36"/>
      <c r="J6" s="36"/>
      <c r="K6" s="36"/>
    </row>
    <row r="7" spans="1:11" ht="14.5">
      <c r="A7" s="36"/>
      <c r="B7" s="36"/>
      <c r="C7" s="36"/>
      <c r="D7" s="36"/>
      <c r="E7" s="36"/>
      <c r="F7" s="36"/>
      <c r="G7" s="36"/>
      <c r="H7" s="36"/>
      <c r="I7" s="36"/>
      <c r="J7" s="36"/>
      <c r="K7" s="36"/>
    </row>
    <row r="8" spans="1:11" ht="14.5">
      <c r="A8" s="36"/>
      <c r="B8" s="36"/>
      <c r="C8" s="36"/>
      <c r="D8" s="36"/>
      <c r="E8" s="36"/>
      <c r="F8" s="36"/>
      <c r="G8" s="36"/>
      <c r="H8" s="36"/>
      <c r="I8" s="36"/>
      <c r="J8" s="36"/>
      <c r="K8" s="36"/>
    </row>
    <row r="9" spans="1:11" ht="14.5">
      <c r="A9" s="36"/>
      <c r="B9" s="36"/>
      <c r="C9" s="36"/>
      <c r="D9" s="36"/>
      <c r="E9" s="36"/>
      <c r="F9" s="36"/>
      <c r="G9" s="36"/>
      <c r="H9" s="36"/>
      <c r="I9" s="36"/>
      <c r="J9" s="36"/>
      <c r="K9" s="36"/>
    </row>
    <row r="10" spans="1:11" ht="14.5">
      <c r="A10" s="36"/>
      <c r="B10" s="36"/>
      <c r="C10" s="36"/>
      <c r="D10" s="36"/>
      <c r="E10" s="36"/>
      <c r="F10" s="36"/>
      <c r="G10" s="36"/>
      <c r="H10" s="36"/>
      <c r="I10" s="36"/>
      <c r="J10" s="36"/>
      <c r="K10" s="36"/>
    </row>
    <row r="11" spans="1:11" ht="14.5">
      <c r="A11" s="36"/>
      <c r="B11" s="36"/>
      <c r="C11" s="36"/>
      <c r="D11" s="36"/>
      <c r="E11" s="36"/>
      <c r="F11" s="36"/>
      <c r="G11" s="36"/>
      <c r="H11" s="36"/>
      <c r="I11" s="36"/>
      <c r="J11" s="36"/>
      <c r="K11" s="36"/>
    </row>
    <row r="12" spans="1:11" ht="14.5">
      <c r="A12" s="36"/>
      <c r="B12" s="36"/>
      <c r="C12" s="36"/>
      <c r="D12" s="36"/>
      <c r="E12" s="36"/>
      <c r="F12" s="36"/>
      <c r="G12" s="36"/>
      <c r="H12" s="36"/>
      <c r="I12" s="36"/>
      <c r="J12" s="36"/>
      <c r="K12" s="36"/>
    </row>
    <row r="13" spans="1:11" ht="14.5">
      <c r="A13" s="36"/>
      <c r="B13" s="36"/>
      <c r="C13" s="36"/>
      <c r="D13" s="36"/>
      <c r="E13" s="36"/>
      <c r="F13" s="36"/>
      <c r="G13" s="36"/>
      <c r="H13" s="36"/>
      <c r="I13" s="36"/>
      <c r="J13" s="36"/>
      <c r="K13" s="36"/>
    </row>
    <row r="14" spans="1:11" ht="14.5">
      <c r="A14" s="36"/>
      <c r="B14" s="36"/>
      <c r="C14" s="36"/>
      <c r="D14" s="36"/>
      <c r="E14" s="36"/>
      <c r="F14" s="36"/>
      <c r="G14" s="36"/>
      <c r="H14" s="36"/>
      <c r="I14" s="36"/>
      <c r="J14" s="36"/>
      <c r="K14" s="36"/>
    </row>
    <row r="15" spans="1:11" ht="14.5">
      <c r="A15" s="36"/>
      <c r="B15" s="36"/>
      <c r="C15" s="36"/>
      <c r="D15" s="36"/>
      <c r="E15" s="36"/>
      <c r="F15" s="36"/>
      <c r="G15" s="36"/>
      <c r="H15" s="36"/>
      <c r="I15" s="36"/>
      <c r="J15" s="36"/>
      <c r="K15" s="36"/>
    </row>
    <row r="16" spans="1:11" ht="14.5">
      <c r="A16" s="36"/>
      <c r="B16" s="36"/>
      <c r="C16" s="36"/>
      <c r="D16" s="36"/>
      <c r="E16" s="36"/>
      <c r="F16" s="36"/>
      <c r="G16" s="36"/>
      <c r="H16" s="36"/>
      <c r="I16" s="36"/>
      <c r="J16" s="36"/>
      <c r="K16" s="36"/>
    </row>
    <row r="17" spans="1:11" ht="14.5">
      <c r="A17" s="36"/>
      <c r="B17" s="36"/>
      <c r="C17" s="36"/>
      <c r="D17" s="36"/>
      <c r="E17" s="36"/>
      <c r="F17" s="36"/>
      <c r="G17" s="36"/>
      <c r="H17" s="36"/>
      <c r="I17" s="36"/>
      <c r="J17" s="36"/>
      <c r="K17" s="36"/>
    </row>
    <row r="18" spans="1:11" ht="14.5">
      <c r="A18" s="36"/>
      <c r="B18" s="36"/>
      <c r="C18" s="36"/>
      <c r="D18" s="36"/>
      <c r="E18" s="36"/>
      <c r="F18" s="36"/>
      <c r="G18" s="36"/>
      <c r="H18" s="36"/>
      <c r="I18" s="36"/>
      <c r="J18" s="36"/>
      <c r="K18" s="36"/>
    </row>
    <row r="19" spans="1:11" ht="14.5">
      <c r="A19" s="36"/>
      <c r="B19" s="36"/>
      <c r="C19" s="36"/>
      <c r="D19" s="36"/>
      <c r="E19" s="36"/>
      <c r="F19" s="36"/>
      <c r="G19" s="36"/>
      <c r="H19" s="36"/>
      <c r="I19" s="36"/>
      <c r="J19" s="36"/>
      <c r="K19" s="36"/>
    </row>
    <row r="20" spans="1:11" ht="14.5">
      <c r="A20" s="36"/>
      <c r="B20" s="36"/>
      <c r="C20" s="36"/>
      <c r="D20" s="36"/>
      <c r="E20" s="36"/>
      <c r="F20" s="36"/>
      <c r="G20" s="36"/>
      <c r="H20" s="36"/>
      <c r="I20" s="36"/>
      <c r="J20" s="36"/>
      <c r="K20" s="36"/>
    </row>
    <row r="21" spans="1:11" ht="14.5">
      <c r="A21" s="36"/>
      <c r="B21" s="36"/>
      <c r="C21" s="36"/>
      <c r="D21" s="36"/>
      <c r="E21" s="36"/>
      <c r="F21" s="36"/>
      <c r="G21" s="36"/>
      <c r="H21" s="36"/>
      <c r="I21" s="36"/>
      <c r="J21" s="36"/>
      <c r="K21" s="36"/>
    </row>
    <row r="22" spans="1:11" ht="14.5">
      <c r="A22" s="36"/>
      <c r="B22" s="36"/>
      <c r="C22" s="36"/>
      <c r="D22" s="36"/>
      <c r="E22" s="36"/>
      <c r="F22" s="36"/>
      <c r="G22" s="36"/>
      <c r="H22" s="36"/>
      <c r="I22" s="36"/>
      <c r="J22" s="36"/>
      <c r="K22" s="36"/>
    </row>
    <row r="23" spans="1:11" ht="14.5">
      <c r="A23" s="36"/>
      <c r="B23" s="36"/>
      <c r="C23" s="36"/>
      <c r="D23" s="36"/>
      <c r="E23" s="36"/>
      <c r="F23" s="36"/>
      <c r="G23" s="36"/>
      <c r="H23" s="36"/>
      <c r="I23" s="36"/>
      <c r="J23" s="36"/>
      <c r="K23" s="36"/>
    </row>
    <row r="24" spans="1:11" ht="14.5">
      <c r="A24" s="36"/>
      <c r="B24" s="36"/>
      <c r="C24" s="36"/>
      <c r="D24" s="36"/>
      <c r="E24" s="36"/>
      <c r="F24" s="36"/>
      <c r="G24" s="36"/>
      <c r="H24" s="36"/>
      <c r="I24" s="36"/>
      <c r="J24" s="36"/>
      <c r="K24" s="36"/>
    </row>
    <row r="25" spans="1:11" ht="14.5">
      <c r="A25" s="36"/>
      <c r="B25" s="36"/>
      <c r="C25" s="36"/>
      <c r="D25" s="36"/>
      <c r="E25" s="36"/>
      <c r="F25" s="36"/>
      <c r="G25" s="36"/>
      <c r="H25" s="36"/>
      <c r="I25" s="36"/>
      <c r="J25" s="36"/>
      <c r="K25" s="36"/>
    </row>
    <row r="26" spans="1:11" ht="14.5">
      <c r="A26" s="36"/>
      <c r="B26" s="36"/>
      <c r="C26" s="36"/>
      <c r="D26" s="36"/>
      <c r="E26" s="36"/>
      <c r="F26" s="36"/>
      <c r="G26" s="36"/>
      <c r="H26" s="36"/>
      <c r="I26" s="36"/>
      <c r="J26" s="36"/>
      <c r="K26" s="36"/>
    </row>
    <row r="27" spans="1:11" ht="14.5">
      <c r="A27" s="36"/>
      <c r="B27" s="36"/>
      <c r="C27" s="36"/>
      <c r="D27" s="36"/>
      <c r="E27" s="36"/>
      <c r="F27" s="36"/>
      <c r="G27" s="36"/>
      <c r="H27" s="36"/>
      <c r="I27" s="36"/>
      <c r="J27" s="36"/>
      <c r="K27" s="36"/>
    </row>
    <row r="28" spans="1:11" ht="14.5">
      <c r="A28" s="36"/>
      <c r="B28" s="36"/>
      <c r="C28" s="36"/>
      <c r="D28" s="36"/>
      <c r="E28" s="36"/>
      <c r="F28" s="36"/>
      <c r="G28" s="36"/>
      <c r="H28" s="36"/>
      <c r="I28" s="36"/>
      <c r="J28" s="36"/>
      <c r="K28" s="36"/>
    </row>
    <row r="29" spans="1:11" ht="14.5">
      <c r="A29" s="36"/>
      <c r="B29" s="36"/>
      <c r="C29" s="36"/>
      <c r="D29" s="36"/>
      <c r="E29" s="36"/>
      <c r="F29" s="36"/>
      <c r="G29" s="36"/>
      <c r="H29" s="36"/>
      <c r="I29" s="36"/>
      <c r="J29" s="36"/>
      <c r="K29" s="36"/>
    </row>
    <row r="30" spans="1:11" ht="14.5">
      <c r="A30" s="36"/>
      <c r="B30" s="36"/>
      <c r="C30" s="36"/>
      <c r="D30" s="36"/>
      <c r="E30" s="36"/>
      <c r="F30" s="36"/>
      <c r="G30" s="36"/>
      <c r="H30" s="36"/>
      <c r="I30" s="36"/>
      <c r="J30" s="36"/>
      <c r="K30" s="36"/>
    </row>
    <row r="31" spans="1:11" ht="14.5">
      <c r="A31" s="36"/>
      <c r="B31" s="36"/>
      <c r="C31" s="36"/>
      <c r="D31" s="36"/>
      <c r="E31" s="36"/>
      <c r="F31" s="36"/>
      <c r="G31" s="36"/>
      <c r="H31" s="36"/>
      <c r="I31" s="36"/>
      <c r="J31" s="36"/>
      <c r="K31" s="36"/>
    </row>
    <row r="32" spans="1:11" ht="14.5">
      <c r="A32" s="36"/>
      <c r="B32" s="36"/>
      <c r="C32" s="36"/>
      <c r="D32" s="36"/>
      <c r="E32" s="36"/>
      <c r="F32" s="36"/>
      <c r="G32" s="36"/>
      <c r="H32" s="36"/>
      <c r="I32" s="36"/>
      <c r="J32" s="36"/>
      <c r="K32" s="36"/>
    </row>
    <row r="33" spans="1:11" ht="14.5">
      <c r="A33" s="36"/>
      <c r="B33" s="36"/>
      <c r="C33" s="36"/>
      <c r="D33" s="36"/>
      <c r="E33" s="36"/>
      <c r="F33" s="36"/>
      <c r="G33" s="36" t="s">
        <v>57</v>
      </c>
      <c r="H33" s="36"/>
      <c r="I33" s="36"/>
      <c r="J33" s="36"/>
      <c r="K33" s="36"/>
    </row>
  </sheetData>
  <protectedRanges>
    <protectedRange sqref="C3:E3" name="Plage1"/>
  </protectedRanges>
  <mergeCells count="1">
    <mergeCell ref="C3:E3"/>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theme="5"/>
  </sheetPr>
  <dimension ref="A1:K33"/>
  <sheetViews>
    <sheetView zoomScale="115" zoomScaleNormal="115" workbookViewId="0">
      <selection activeCell="I2" sqref="I2"/>
    </sheetView>
  </sheetViews>
  <sheetFormatPr baseColWidth="10" defaultColWidth="0" defaultRowHeight="14.5" zeroHeight="1"/>
  <cols>
    <col min="1" max="1" width="10.36328125" customWidth="1"/>
    <col min="2" max="8" width="11.36328125" customWidth="1"/>
    <col min="9" max="9" width="12.6328125" customWidth="1"/>
    <col min="10" max="11" width="11.36328125" customWidth="1"/>
    <col min="12" max="16384" width="11.36328125" hidden="1"/>
  </cols>
  <sheetData>
    <row r="1" spans="1:11">
      <c r="A1" s="36"/>
      <c r="B1" s="36"/>
      <c r="C1" s="36"/>
      <c r="D1" s="36"/>
      <c r="E1" s="36"/>
      <c r="F1" s="36"/>
      <c r="G1" s="36"/>
      <c r="H1" s="36"/>
      <c r="I1" s="36"/>
      <c r="J1" s="36"/>
      <c r="K1" s="36"/>
    </row>
    <row r="2" spans="1:11">
      <c r="A2" s="36"/>
      <c r="B2" s="36"/>
      <c r="C2" s="36"/>
      <c r="D2" s="36"/>
      <c r="E2" s="36"/>
      <c r="F2" s="36"/>
      <c r="G2" s="36"/>
      <c r="H2" s="36"/>
      <c r="I2" s="36"/>
      <c r="J2" s="36"/>
      <c r="K2" s="36"/>
    </row>
    <row r="3" spans="1:11">
      <c r="A3" s="36"/>
      <c r="B3" s="102" t="s">
        <v>0</v>
      </c>
      <c r="C3" s="730">
        <f>Site!C2</f>
        <v>0</v>
      </c>
      <c r="D3" s="730"/>
      <c r="E3" s="730"/>
      <c r="F3" s="36"/>
      <c r="G3" s="101" t="s">
        <v>58</v>
      </c>
      <c r="H3" s="76">
        <f>'CALCUL DEET'!R14</f>
        <v>2025</v>
      </c>
      <c r="I3" s="438">
        <f>IFERROR(IF(VLOOKUP('Suivi DEET'!H3,DJU!$O$14:$Q$44,2,0)=12,0,"/!\ DJU Incomplets"),"/!\ DJU Incomplets")</f>
        <v>0</v>
      </c>
      <c r="J3" s="36"/>
      <c r="K3" s="36"/>
    </row>
    <row r="4" spans="1:11">
      <c r="A4" s="36"/>
      <c r="B4" s="36"/>
      <c r="C4" s="101" t="s">
        <v>56</v>
      </c>
      <c r="D4" s="76">
        <f>DJU!A2</f>
        <v>0</v>
      </c>
      <c r="E4" s="36"/>
      <c r="F4" s="36"/>
      <c r="G4" s="101" t="s">
        <v>59</v>
      </c>
      <c r="H4" s="76" t="str">
        <f>'CALCUL DEET'!C7</f>
        <v>Année</v>
      </c>
      <c r="I4" s="36"/>
      <c r="J4" s="36"/>
      <c r="K4" s="36"/>
    </row>
    <row r="5" spans="1:11">
      <c r="A5" s="36"/>
      <c r="B5" s="36"/>
      <c r="E5" s="36"/>
      <c r="F5" s="36"/>
      <c r="G5" s="36"/>
      <c r="H5" s="36"/>
      <c r="I5" s="36"/>
      <c r="J5" s="36"/>
      <c r="K5" s="36"/>
    </row>
    <row r="6" spans="1:11">
      <c r="A6" s="36"/>
      <c r="B6" s="36"/>
      <c r="E6" s="36"/>
      <c r="F6" s="36"/>
      <c r="G6" s="36"/>
      <c r="H6" s="36"/>
      <c r="I6" s="36"/>
      <c r="J6" s="36"/>
      <c r="K6" s="36"/>
    </row>
    <row r="7" spans="1:11">
      <c r="A7" s="36"/>
      <c r="B7" s="36"/>
      <c r="C7" s="36"/>
      <c r="D7" s="36"/>
      <c r="E7" s="36"/>
      <c r="F7" s="36"/>
      <c r="G7" s="36"/>
      <c r="H7" s="36"/>
      <c r="I7" s="36"/>
      <c r="J7" s="36"/>
      <c r="K7" s="36"/>
    </row>
    <row r="8" spans="1:11">
      <c r="A8" s="36"/>
      <c r="B8" s="36"/>
      <c r="C8" s="36"/>
      <c r="D8" s="36"/>
      <c r="E8" s="36"/>
      <c r="F8" s="36"/>
      <c r="G8" s="36"/>
      <c r="H8" s="36"/>
      <c r="I8" s="36"/>
      <c r="J8" s="36"/>
      <c r="K8" s="36"/>
    </row>
    <row r="9" spans="1:11">
      <c r="A9" s="36"/>
      <c r="B9" s="36"/>
      <c r="C9" s="36"/>
      <c r="D9" s="36"/>
      <c r="E9" s="36"/>
      <c r="F9" s="36"/>
      <c r="G9" s="36"/>
      <c r="H9" s="36"/>
      <c r="I9" s="36"/>
      <c r="J9" s="36"/>
      <c r="K9" s="36"/>
    </row>
    <row r="10" spans="1:11">
      <c r="A10" s="36"/>
      <c r="B10" s="36"/>
      <c r="C10" s="36"/>
      <c r="D10" s="36"/>
      <c r="E10" s="36"/>
      <c r="F10" s="36"/>
      <c r="G10" s="36"/>
      <c r="H10" s="36"/>
      <c r="I10" s="36"/>
      <c r="J10" s="36"/>
      <c r="K10" s="36"/>
    </row>
    <row r="11" spans="1:11">
      <c r="A11" s="36"/>
      <c r="B11" s="36"/>
      <c r="C11" s="36"/>
      <c r="D11" s="36"/>
      <c r="E11" s="36"/>
      <c r="F11" s="36"/>
      <c r="G11" s="36"/>
      <c r="H11" s="36"/>
      <c r="I11" s="36"/>
      <c r="J11" s="36"/>
      <c r="K11" s="36"/>
    </row>
    <row r="12" spans="1:11">
      <c r="A12" s="36"/>
      <c r="B12" s="36"/>
      <c r="C12" s="36"/>
      <c r="D12" s="36"/>
      <c r="E12" s="36"/>
      <c r="F12" s="36"/>
      <c r="G12" s="36"/>
      <c r="H12" s="36"/>
      <c r="I12" s="36"/>
      <c r="J12" s="36"/>
      <c r="K12" s="36"/>
    </row>
    <row r="13" spans="1:11">
      <c r="A13" s="36"/>
      <c r="B13" s="36"/>
      <c r="C13" s="36"/>
      <c r="D13" s="36"/>
      <c r="E13" s="36"/>
      <c r="F13" s="36"/>
      <c r="G13" s="36"/>
      <c r="H13" s="36"/>
      <c r="I13" s="36"/>
      <c r="J13" s="36"/>
      <c r="K13" s="36"/>
    </row>
    <row r="14" spans="1:11">
      <c r="A14" s="36"/>
      <c r="B14" s="36"/>
      <c r="C14" s="36"/>
      <c r="D14" s="36"/>
      <c r="E14" s="36"/>
      <c r="F14" s="36"/>
      <c r="G14" s="36"/>
      <c r="H14" s="36"/>
      <c r="I14" s="36"/>
      <c r="J14" s="36"/>
      <c r="K14" s="36"/>
    </row>
    <row r="15" spans="1:11">
      <c r="A15" s="36"/>
      <c r="B15" s="36"/>
      <c r="C15" s="36"/>
      <c r="D15" s="36"/>
      <c r="E15" s="36"/>
      <c r="F15" s="36"/>
      <c r="G15" s="36"/>
      <c r="H15" s="36"/>
      <c r="I15" s="36"/>
      <c r="J15" s="36"/>
      <c r="K15" s="36"/>
    </row>
    <row r="16" spans="1:11">
      <c r="A16" s="36"/>
      <c r="B16" s="36"/>
      <c r="C16" s="36"/>
      <c r="D16" s="36"/>
      <c r="E16" s="36"/>
      <c r="F16" s="36"/>
      <c r="G16" s="36"/>
      <c r="H16" s="36"/>
      <c r="I16" s="36"/>
      <c r="J16" s="36"/>
      <c r="K16" s="36"/>
    </row>
    <row r="17" spans="1:11">
      <c r="A17" s="36"/>
      <c r="B17" s="36"/>
      <c r="C17" s="36"/>
      <c r="D17" s="36"/>
      <c r="E17" s="36"/>
      <c r="F17" s="36"/>
      <c r="G17" s="36"/>
      <c r="H17" s="36"/>
      <c r="I17" s="36"/>
      <c r="J17" s="36"/>
      <c r="K17" s="36"/>
    </row>
    <row r="18" spans="1:11">
      <c r="A18" s="36"/>
      <c r="B18" s="36"/>
      <c r="C18" s="36"/>
      <c r="D18" s="36"/>
      <c r="E18" s="36"/>
      <c r="F18" s="36"/>
      <c r="G18" s="36"/>
      <c r="H18" s="36"/>
      <c r="I18" s="36"/>
      <c r="J18" s="36"/>
      <c r="K18" s="36"/>
    </row>
    <row r="19" spans="1:11">
      <c r="A19" s="36"/>
      <c r="B19" s="36"/>
      <c r="C19" s="36"/>
      <c r="D19" s="36"/>
      <c r="E19" s="36"/>
      <c r="F19" s="36"/>
      <c r="G19" s="36"/>
      <c r="H19" s="36"/>
      <c r="I19" s="36"/>
      <c r="J19" s="36"/>
      <c r="K19" s="36"/>
    </row>
    <row r="20" spans="1:11">
      <c r="A20" s="36"/>
      <c r="B20" s="36"/>
      <c r="C20" s="36"/>
      <c r="D20" s="36"/>
      <c r="E20" s="36"/>
      <c r="F20" s="36"/>
      <c r="G20" s="36"/>
      <c r="H20" s="36"/>
      <c r="I20" s="36"/>
      <c r="J20" s="36"/>
      <c r="K20" s="36"/>
    </row>
    <row r="21" spans="1:11">
      <c r="A21" s="36"/>
      <c r="B21" s="36"/>
      <c r="C21" s="36"/>
      <c r="D21" s="36"/>
      <c r="E21" s="36"/>
      <c r="F21" s="36"/>
      <c r="G21" s="36"/>
      <c r="H21" s="36"/>
      <c r="I21" s="36"/>
      <c r="J21" s="36"/>
      <c r="K21" s="36"/>
    </row>
    <row r="22" spans="1:11">
      <c r="A22" s="36"/>
      <c r="B22" s="36"/>
      <c r="C22" s="36"/>
      <c r="D22" s="36"/>
      <c r="E22" s="36"/>
      <c r="F22" s="36"/>
      <c r="G22" s="36"/>
      <c r="H22" s="36"/>
      <c r="I22" s="36"/>
      <c r="J22" s="36"/>
      <c r="K22" s="36"/>
    </row>
    <row r="23" spans="1:11">
      <c r="A23" s="36"/>
      <c r="B23" s="36"/>
      <c r="C23" s="36"/>
      <c r="D23" s="36"/>
      <c r="E23" s="36"/>
      <c r="F23" s="36"/>
      <c r="G23" s="36"/>
      <c r="H23" s="36"/>
      <c r="I23" s="36"/>
      <c r="J23" s="36"/>
      <c r="K23" s="36"/>
    </row>
    <row r="24" spans="1:11">
      <c r="A24" s="36"/>
      <c r="B24" s="36"/>
      <c r="C24" s="36"/>
      <c r="D24" s="36"/>
      <c r="E24" s="36"/>
      <c r="F24" s="36"/>
      <c r="G24" s="36"/>
      <c r="H24" s="36"/>
      <c r="I24" s="36"/>
      <c r="J24" s="36"/>
      <c r="K24" s="36"/>
    </row>
    <row r="25" spans="1:11">
      <c r="A25" s="36"/>
      <c r="B25" s="36"/>
      <c r="C25" s="36"/>
      <c r="D25" s="36"/>
      <c r="E25" s="36"/>
      <c r="F25" s="36"/>
      <c r="G25" s="36"/>
      <c r="H25" s="36"/>
      <c r="I25" s="36"/>
      <c r="J25" s="36"/>
      <c r="K25" s="36"/>
    </row>
    <row r="26" spans="1:11">
      <c r="A26" s="36"/>
      <c r="B26" s="36"/>
      <c r="C26" s="36"/>
      <c r="D26" s="36"/>
      <c r="E26" s="36"/>
      <c r="F26" s="36"/>
      <c r="G26" s="36"/>
      <c r="H26" s="36"/>
      <c r="I26" s="36"/>
      <c r="J26" s="36"/>
      <c r="K26" s="36"/>
    </row>
    <row r="27" spans="1:11">
      <c r="A27" s="36"/>
      <c r="B27" s="36"/>
      <c r="C27" s="36"/>
      <c r="D27" s="36"/>
      <c r="E27" s="36"/>
      <c r="F27" s="36"/>
      <c r="G27" s="36"/>
      <c r="H27" s="36"/>
      <c r="I27" s="36"/>
      <c r="J27" s="36"/>
      <c r="K27" s="36"/>
    </row>
    <row r="28" spans="1:11">
      <c r="A28" s="36"/>
      <c r="B28" s="36"/>
      <c r="C28" s="36"/>
      <c r="D28" s="36"/>
      <c r="E28" s="36"/>
      <c r="F28" s="36"/>
      <c r="G28" s="36"/>
      <c r="H28" s="36"/>
      <c r="I28" s="36"/>
      <c r="J28" s="36"/>
      <c r="K28" s="36"/>
    </row>
    <row r="29" spans="1:11">
      <c r="A29" s="36"/>
      <c r="B29" s="36"/>
      <c r="C29" s="36"/>
      <c r="D29" s="36"/>
      <c r="E29" s="36"/>
      <c r="F29" s="36"/>
      <c r="G29" s="36"/>
      <c r="H29" s="36"/>
      <c r="I29" s="36"/>
      <c r="J29" s="36"/>
      <c r="K29" s="36"/>
    </row>
    <row r="30" spans="1:11">
      <c r="A30" s="36"/>
      <c r="B30" s="36"/>
      <c r="C30" s="36"/>
      <c r="D30" s="36"/>
      <c r="E30" s="36"/>
      <c r="F30" s="36"/>
      <c r="G30" s="36"/>
      <c r="H30" s="36"/>
      <c r="I30" s="36"/>
      <c r="J30" s="36"/>
      <c r="K30" s="36"/>
    </row>
    <row r="31" spans="1:11">
      <c r="A31" s="36"/>
      <c r="B31" s="36"/>
      <c r="C31" s="36"/>
      <c r="D31" s="36"/>
      <c r="E31" s="36"/>
      <c r="F31" s="36"/>
      <c r="G31" s="36"/>
      <c r="H31" s="36"/>
      <c r="I31" s="36"/>
      <c r="J31" s="36"/>
      <c r="K31" s="36"/>
    </row>
    <row r="32" spans="1:11">
      <c r="A32" s="36"/>
      <c r="B32" s="36"/>
      <c r="C32" s="36"/>
      <c r="D32" s="36"/>
      <c r="E32" s="36"/>
      <c r="F32" s="36"/>
      <c r="G32" s="36"/>
      <c r="H32" s="36"/>
      <c r="I32" s="36"/>
      <c r="J32" s="36"/>
      <c r="K32" s="36"/>
    </row>
    <row r="33" spans="1:11">
      <c r="A33" s="36"/>
      <c r="B33" s="36"/>
      <c r="C33" s="36"/>
      <c r="D33" s="36"/>
      <c r="E33" s="36"/>
      <c r="F33" s="36"/>
      <c r="G33" s="36"/>
      <c r="H33" s="36"/>
      <c r="I33" s="36"/>
      <c r="J33" s="36"/>
      <c r="K33" s="36"/>
    </row>
  </sheetData>
  <protectedRanges>
    <protectedRange sqref="C3:E3" name="Plage1"/>
  </protectedRanges>
  <mergeCells count="1">
    <mergeCell ref="C3:E3"/>
  </mergeCells>
  <conditionalFormatting sqref="I3">
    <cfRule type="cellIs" dxfId="154" priority="1" operator="notEqual">
      <formula>"/!\ DJU Incomplets"</formula>
    </cfRule>
    <cfRule type="cellIs" dxfId="153" priority="2" operator="equal">
      <formula>"/!\ DJU Incomplets"</formula>
    </cfRule>
  </conditionalFormatting>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1"/>
  <dimension ref="B2:W91"/>
  <sheetViews>
    <sheetView topLeftCell="A22" zoomScale="70" zoomScaleNormal="70" workbookViewId="0">
      <selection activeCell="I35" sqref="I35:I38"/>
    </sheetView>
  </sheetViews>
  <sheetFormatPr baseColWidth="10" defaultColWidth="11.36328125" defaultRowHeight="14.5"/>
  <cols>
    <col min="2" max="2" width="18.81640625" customWidth="1"/>
    <col min="3" max="3" width="15.36328125" customWidth="1"/>
    <col min="4" max="4" width="12.7265625" bestFit="1" customWidth="1"/>
    <col min="5" max="5" width="14.7265625" customWidth="1"/>
    <col min="9" max="9" width="13" customWidth="1"/>
    <col min="15" max="15" width="11.36328125" customWidth="1"/>
    <col min="18" max="18" width="24.81640625" customWidth="1"/>
  </cols>
  <sheetData>
    <row r="2" spans="2:23">
      <c r="G2" t="s">
        <v>339</v>
      </c>
      <c r="H2" t="s">
        <v>340</v>
      </c>
    </row>
    <row r="3" spans="2:23">
      <c r="B3" t="s">
        <v>341</v>
      </c>
      <c r="F3" t="s">
        <v>72</v>
      </c>
      <c r="G3">
        <f>'CALCUL DEET'!V7</f>
        <v>2327.9</v>
      </c>
      <c r="H3">
        <f>'CALCUL DEET'!W7</f>
        <v>160.19999999999999</v>
      </c>
    </row>
    <row r="4" spans="2:23">
      <c r="B4" t="s">
        <v>342</v>
      </c>
    </row>
    <row r="5" spans="2:23">
      <c r="B5" t="s">
        <v>343</v>
      </c>
    </row>
    <row r="6" spans="2:23">
      <c r="B6" t="s">
        <v>344</v>
      </c>
      <c r="U6" s="349" t="s">
        <v>709</v>
      </c>
    </row>
    <row r="7" spans="2:23">
      <c r="B7" t="s">
        <v>345</v>
      </c>
      <c r="C7" t="str">
        <f>INDEX(Site!$B$7:$B$20,'CALCUL DEET'!$D$7,1)</f>
        <v>Année</v>
      </c>
      <c r="D7">
        <v>1</v>
      </c>
      <c r="Q7" t="s">
        <v>346</v>
      </c>
      <c r="U7" t="s">
        <v>706</v>
      </c>
      <c r="V7">
        <f>AVERAGE(V8:V27)</f>
        <v>2327.9</v>
      </c>
      <c r="W7" s="250">
        <f>AVERAGE(W8:W27)</f>
        <v>160.19999999999999</v>
      </c>
    </row>
    <row r="8" spans="2:23">
      <c r="Q8" t="s">
        <v>347</v>
      </c>
      <c r="R8" s="135">
        <f>ROUND(D39,1)</f>
        <v>0</v>
      </c>
      <c r="U8">
        <v>2001</v>
      </c>
      <c r="V8">
        <f>IFERROR(GETPIVOTDATA("DJU(chauffagiste)",DJU!$H$13,"annee",U8),"")</f>
        <v>2408</v>
      </c>
      <c r="W8">
        <f>IFERROR(GETPIVOTDATA("DJU(climaticien)",DJU!$L$13,"annee",U8),"")</f>
        <v>158</v>
      </c>
    </row>
    <row r="9" spans="2:23">
      <c r="D9" s="112">
        <f>IF(D10="",0,-30%)</f>
        <v>0</v>
      </c>
      <c r="E9" s="112">
        <f>IF(E10="",0,30%)</f>
        <v>0</v>
      </c>
      <c r="F9" s="112">
        <f>IF(F10="",0,-20%)</f>
        <v>0</v>
      </c>
      <c r="G9" s="112">
        <f>IF(G10="",0,20%)</f>
        <v>0</v>
      </c>
      <c r="H9" s="112">
        <f>IF(H10="",0,-30%)</f>
        <v>0</v>
      </c>
      <c r="I9" s="112">
        <f>IF(I10="",0,30%)</f>
        <v>0</v>
      </c>
      <c r="J9" s="112">
        <f>IF(J10="",0,-20%)</f>
        <v>0</v>
      </c>
      <c r="K9" s="112">
        <f>IF(K10="",0,20%)</f>
        <v>0</v>
      </c>
      <c r="L9" s="112">
        <f>IF(L10="",0,-30%)</f>
        <v>0</v>
      </c>
      <c r="M9" s="112">
        <f>IF(M10="",0,30%)</f>
        <v>0</v>
      </c>
      <c r="N9" s="112">
        <f>IF(N10="",0,-20%)</f>
        <v>0</v>
      </c>
      <c r="O9" s="112">
        <f>IF(O10="",0,20%)</f>
        <v>0</v>
      </c>
      <c r="Q9" t="s">
        <v>348</v>
      </c>
      <c r="R9">
        <f>R8*0.6</f>
        <v>0</v>
      </c>
      <c r="U9">
        <v>2002</v>
      </c>
      <c r="V9" s="347">
        <f>IFERROR(GETPIVOTDATA("DJU(chauffagiste)",DJU!$H$13,"annee",U9),"")</f>
        <v>2164</v>
      </c>
      <c r="W9" s="347">
        <f>IFERROR(GETPIVOTDATA("DJU(climaticien)",DJU!$L$13,"annee",U9),"")</f>
        <v>100</v>
      </c>
    </row>
    <row r="10" spans="2:23">
      <c r="E10" t="str">
        <f>IF(VLOOKUP('CALCUL DEET'!E11,Site!$B$8:$M$28,8,0)=0,"",VLOOKUP('CALCUL DEET'!E11,Site!$B$8:$M$28,8,0))</f>
        <v/>
      </c>
      <c r="F10" s="414" t="str">
        <f>IF(VLOOKUP('CALCUL DEET'!F11,Site!$B$8:$M$28,8,0)=0,"",VLOOKUP('CALCUL DEET'!F11,Site!$B$8:$M$28,8,0))</f>
        <v/>
      </c>
      <c r="G10" s="414" t="str">
        <f>IF(VLOOKUP('CALCUL DEET'!G11,Site!$B$8:$M$28,8,0)=0,"",VLOOKUP('CALCUL DEET'!G11,Site!$B$8:$M$28,8,0))</f>
        <v/>
      </c>
      <c r="H10" s="414" t="str">
        <f>IF(VLOOKUP('CALCUL DEET'!H11,Site!$B$8:$M$28,8,0)=0,"",VLOOKUP('CALCUL DEET'!H11,Site!$B$8:$M$28,8,0))</f>
        <v/>
      </c>
      <c r="I10" s="414" t="str">
        <f>IF(VLOOKUP('CALCUL DEET'!I11,Site!$B$8:$M$28,8,0)=0,"",VLOOKUP('CALCUL DEET'!I11,Site!$B$8:$M$28,8,0))</f>
        <v/>
      </c>
      <c r="J10" s="414" t="str">
        <f>IF(VLOOKUP('CALCUL DEET'!J11,Site!$B$8:$M$28,8,0)=0,"",VLOOKUP('CALCUL DEET'!J11,Site!$B$8:$M$28,8,0))</f>
        <v/>
      </c>
      <c r="K10" s="414" t="str">
        <f>IF(VLOOKUP('CALCUL DEET'!K11,Site!$B$8:$M$28,8,0)=0,"",VLOOKUP('CALCUL DEET'!K11,Site!$B$8:$M$28,8,0))</f>
        <v/>
      </c>
      <c r="L10" s="414" t="str">
        <f>IF(VLOOKUP('CALCUL DEET'!L11,Site!$B$8:$M$28,8,0)=0,"",VLOOKUP('CALCUL DEET'!L11,Site!$B$8:$M$28,8,0))</f>
        <v/>
      </c>
      <c r="M10" s="414" t="str">
        <f>IF(VLOOKUP('CALCUL DEET'!M11,Site!$B$8:$M$28,8,0)=0,"",VLOOKUP('CALCUL DEET'!M11,Site!$B$8:$M$28,8,0))</f>
        <v/>
      </c>
      <c r="N10" s="414" t="str">
        <f>IF(VLOOKUP('CALCUL DEET'!N11,Site!$B$8:$M$28,8,0)=0,"",VLOOKUP('CALCUL DEET'!N11,Site!$B$8:$M$28,8,0))</f>
        <v/>
      </c>
      <c r="O10" s="414" t="str">
        <f>IF(VLOOKUP('CALCUL DEET'!O11,Site!$B$8:$M$28,8,0)=0,"",VLOOKUP('CALCUL DEET'!O11,Site!$B$8:$M$28,8,0))</f>
        <v/>
      </c>
      <c r="Q10" t="s">
        <v>349</v>
      </c>
      <c r="R10">
        <f>R8*0.5</f>
        <v>0</v>
      </c>
      <c r="U10" s="347">
        <v>2003</v>
      </c>
      <c r="V10" s="347">
        <f>IFERROR(GETPIVOTDATA("DJU(chauffagiste)",DJU!$H$13,"annee",U10),"")</f>
        <v>2339</v>
      </c>
      <c r="W10" s="347">
        <f>IFERROR(GETPIVOTDATA("DJU(climaticien)",DJU!$L$13,"annee",U10),"")</f>
        <v>262</v>
      </c>
    </row>
    <row r="11" spans="2:23">
      <c r="B11" s="29" t="s">
        <v>7</v>
      </c>
      <c r="D11" t="str">
        <f>C7</f>
        <v>Année</v>
      </c>
      <c r="E11">
        <v>2020</v>
      </c>
      <c r="F11">
        <v>2021</v>
      </c>
      <c r="G11">
        <v>2022</v>
      </c>
      <c r="H11">
        <v>2023</v>
      </c>
      <c r="I11">
        <v>2024</v>
      </c>
      <c r="J11">
        <v>2025</v>
      </c>
      <c r="K11">
        <v>2026</v>
      </c>
      <c r="L11">
        <v>2027</v>
      </c>
      <c r="M11">
        <v>2028</v>
      </c>
      <c r="N11">
        <v>2029</v>
      </c>
      <c r="O11">
        <v>2030</v>
      </c>
      <c r="Q11" t="s">
        <v>350</v>
      </c>
      <c r="R11">
        <f>R8*0.4</f>
        <v>0</v>
      </c>
      <c r="U11" s="347">
        <v>2004</v>
      </c>
      <c r="V11" s="347">
        <f>IFERROR(GETPIVOTDATA("DJU(chauffagiste)",DJU!$H$13,"annee",U11),"")</f>
        <v>2408</v>
      </c>
      <c r="W11" s="347">
        <f>IFERROR(GETPIVOTDATA("DJU(climaticien)",DJU!$L$13,"annee",U11),"")</f>
        <v>147</v>
      </c>
    </row>
    <row r="12" spans="2:23">
      <c r="B12" s="731" t="s">
        <v>27</v>
      </c>
      <c r="C12" t="s">
        <v>28</v>
      </c>
      <c r="D12">
        <f>IFERROR(GETPIVOTDATA("[Measures].[Somme de Conso_kWh_DEET]",TCD_Conso!$B$3,"[Tab_concat].[Type]","[Tab_concat].[Type].&amp;[Consommation]","[Tab_concat].[Detail usage]","[Tab_concat].[Detail usage].&amp;["&amp;$C12&amp;"]","[Tab_concat].[Annee]","[Tab_concat].[Annee].&amp;["&amp;D$11&amp;"]"),0)</f>
        <v>0</v>
      </c>
      <c r="E12" s="399">
        <f>IFERROR(GETPIVOTDATA("[Measures].[Somme de Conso_kWh_DEET]",TCD_Conso!$B$3,"[Tab_concat].[Type]","[Tab_concat].[Type].&amp;[Consommation]","[Tab_concat].[Detail usage]","[Tab_concat].[Detail usage].&amp;["&amp;$C12&amp;"]","[Tab_concat].[Annee]","[Tab_concat].[Annee].&amp;["&amp;E$11&amp;"]"),0)</f>
        <v>13205.347107438012</v>
      </c>
      <c r="F12" s="399">
        <f>IFERROR(GETPIVOTDATA("[Measures].[Somme de Conso_kWh_DEET]",TCD_Conso!$B$3,"[Tab_concat].[Type]","[Tab_concat].[Type].&amp;[Consommation]","[Tab_concat].[Detail usage]","[Tab_concat].[Detail usage].&amp;["&amp;$C12&amp;"]","[Tab_concat].[Annee]","[Tab_concat].[Annee].&amp;["&amp;F$11&amp;"]"),0)</f>
        <v>11671.265795787756</v>
      </c>
      <c r="G12" s="399">
        <f>IFERROR(GETPIVOTDATA("[Measures].[Somme de Conso_kWh_DEET]",TCD_Conso!$B$3,"[Tab_concat].[Type]","[Tab_concat].[Type].&amp;[Consommation]","[Tab_concat].[Detail usage]","[Tab_concat].[Detail usage].&amp;["&amp;$C12&amp;"]","[Tab_concat].[Annee]","[Tab_concat].[Annee].&amp;["&amp;G$11&amp;"]"),0)</f>
        <v>13221.903225806447</v>
      </c>
      <c r="H12" s="399">
        <f>IFERROR(GETPIVOTDATA("[Measures].[Somme de Conso_kWh_DEET]",TCD_Conso!$B$3,"[Tab_concat].[Type]","[Tab_concat].[Type].&amp;[Consommation]","[Tab_concat].[Detail usage]","[Tab_concat].[Detail usage].&amp;["&amp;$C12&amp;"]","[Tab_concat].[Annee]","[Tab_concat].[Annee].&amp;["&amp;H$11&amp;"]"),0)</f>
        <v>12561.419354838688</v>
      </c>
      <c r="I12" s="399">
        <f>IFERROR(GETPIVOTDATA("[Measures].[Somme de Conso_kWh_DEET]",TCD_Conso!$B$3,"[Tab_concat].[Type]","[Tab_concat].[Type].&amp;[Consommation]","[Tab_concat].[Detail usage]","[Tab_concat].[Detail usage].&amp;["&amp;$C12&amp;"]","[Tab_concat].[Annee]","[Tab_concat].[Annee].&amp;["&amp;I$11&amp;"]"),0)</f>
        <v>13234.539925965066</v>
      </c>
      <c r="J12" s="399">
        <f>IFERROR(GETPIVOTDATA("[Measures].[Somme de Conso_kWh_DEET]",TCD_Conso!$B$3,"[Tab_concat].[Type]","[Tab_concat].[Type].&amp;[Consommation]","[Tab_concat].[Detail usage]","[Tab_concat].[Detail usage].&amp;["&amp;$C12&amp;"]","[Tab_concat].[Annee]","[Tab_concat].[Annee].&amp;["&amp;J$11&amp;"]"),0)</f>
        <v>13798.524590163939</v>
      </c>
      <c r="K12" s="399">
        <f>IFERROR(GETPIVOTDATA("[Measures].[Somme de Conso_kWh_DEET]",TCD_Conso!$B$3,"[Tab_concat].[Type]","[Tab_concat].[Type].&amp;[Consommation]","[Tab_concat].[Detail usage]","[Tab_concat].[Detail usage].&amp;["&amp;$C12&amp;"]","[Tab_concat].[Annee]","[Tab_concat].[Annee].&amp;["&amp;K$11&amp;"]"),0)</f>
        <v>0</v>
      </c>
      <c r="L12" s="399">
        <f>IFERROR(GETPIVOTDATA("[Measures].[Somme de Conso_kWh_DEET]",TCD_Conso!$B$3,"[Tab_concat].[Type]","[Tab_concat].[Type].&amp;[Consommation]","[Tab_concat].[Detail usage]","[Tab_concat].[Detail usage].&amp;["&amp;$C12&amp;"]","[Tab_concat].[Annee]","[Tab_concat].[Annee].&amp;["&amp;L$11&amp;"]"),0)</f>
        <v>0</v>
      </c>
      <c r="M12" s="399">
        <f>IFERROR(GETPIVOTDATA("[Measures].[Somme de Conso_kWh_DEET]",TCD_Conso!$B$3,"[Tab_concat].[Type]","[Tab_concat].[Type].&amp;[Consommation]","[Tab_concat].[Detail usage]","[Tab_concat].[Detail usage].&amp;["&amp;$C12&amp;"]","[Tab_concat].[Annee]","[Tab_concat].[Annee].&amp;["&amp;M$11&amp;"]"),0)</f>
        <v>0</v>
      </c>
      <c r="N12" s="399">
        <f>IFERROR(GETPIVOTDATA("[Measures].[Somme de Conso_kWh_DEET]",TCD_Conso!$B$3,"[Tab_concat].[Type]","[Tab_concat].[Type].&amp;[Consommation]","[Tab_concat].[Detail usage]","[Tab_concat].[Detail usage].&amp;["&amp;$C12&amp;"]","[Tab_concat].[Annee]","[Tab_concat].[Annee].&amp;["&amp;N$11&amp;"]"),0)</f>
        <v>0</v>
      </c>
      <c r="O12" s="399">
        <f>IFERROR(GETPIVOTDATA("[Measures].[Somme de Conso_kWh_DEET]",TCD_Conso!$B$3,"[Tab_concat].[Type]","[Tab_concat].[Type].&amp;[Consommation]","[Tab_concat].[Detail usage]","[Tab_concat].[Detail usage].&amp;["&amp;$C12&amp;"]","[Tab_concat].[Annee]","[Tab_concat].[Annee].&amp;["&amp;O$11&amp;"]"),0)</f>
        <v>0</v>
      </c>
      <c r="U12" s="347">
        <v>2005</v>
      </c>
      <c r="V12" s="347">
        <f>IFERROR(GETPIVOTDATA("DJU(chauffagiste)",DJU!$H$13,"annee",U12),"")</f>
        <v>2347</v>
      </c>
      <c r="W12" s="347">
        <f>IFERROR(GETPIVOTDATA("DJU(climaticien)",DJU!$L$13,"annee",U12),"")</f>
        <v>196</v>
      </c>
    </row>
    <row r="13" spans="2:23">
      <c r="B13" s="732"/>
      <c r="C13" t="s">
        <v>152</v>
      </c>
      <c r="D13" s="399">
        <f>IFERROR(GETPIVOTDATA("[Measures].[Somme de Conso_kWh_DEET]",TCD_Conso!$B$3,"[Tab_concat].[Type]","[Tab_concat].[Type].&amp;[Consommation]","[Tab_concat].[Detail usage]","[Tab_concat].[Detail usage].&amp;["&amp;$C13&amp;"]","[Tab_concat].[Annee]","[Tab_concat].[Annee].&amp;["&amp;D$11&amp;"]"),0)</f>
        <v>0</v>
      </c>
      <c r="E13" s="399">
        <f>IFERROR(GETPIVOTDATA("[Measures].[Somme de Conso_kWh_DEET]",TCD_Conso!$B$3,"[Tab_concat].[Type]","[Tab_concat].[Type].&amp;[Consommation]","[Tab_concat].[Detail usage]","[Tab_concat].[Detail usage].&amp;["&amp;$C13&amp;"]","[Tab_concat].[Annee]","[Tab_concat].[Annee].&amp;["&amp;E$11&amp;"]"),0)</f>
        <v>0</v>
      </c>
      <c r="F13" s="399">
        <f>IFERROR(GETPIVOTDATA("[Measures].[Somme de Conso_kWh_DEET]",TCD_Conso!$B$3,"[Tab_concat].[Type]","[Tab_concat].[Type].&amp;[Consommation]","[Tab_concat].[Detail usage]","[Tab_concat].[Detail usage].&amp;["&amp;$C13&amp;"]","[Tab_concat].[Annee]","[Tab_concat].[Annee].&amp;["&amp;F$11&amp;"]"),0)</f>
        <v>0</v>
      </c>
      <c r="G13" s="399">
        <f>IFERROR(GETPIVOTDATA("[Measures].[Somme de Conso_kWh_DEET]",TCD_Conso!$B$3,"[Tab_concat].[Type]","[Tab_concat].[Type].&amp;[Consommation]","[Tab_concat].[Detail usage]","[Tab_concat].[Detail usage].&amp;["&amp;$C13&amp;"]","[Tab_concat].[Annee]","[Tab_concat].[Annee].&amp;["&amp;G$11&amp;"]"),0)</f>
        <v>0</v>
      </c>
      <c r="H13" s="399">
        <f>IFERROR(GETPIVOTDATA("[Measures].[Somme de Conso_kWh_DEET]",TCD_Conso!$B$3,"[Tab_concat].[Type]","[Tab_concat].[Type].&amp;[Consommation]","[Tab_concat].[Detail usage]","[Tab_concat].[Detail usage].&amp;["&amp;$C13&amp;"]","[Tab_concat].[Annee]","[Tab_concat].[Annee].&amp;["&amp;H$11&amp;"]"),0)</f>
        <v>0</v>
      </c>
      <c r="I13" s="399">
        <f>IFERROR(GETPIVOTDATA("[Measures].[Somme de Conso_kWh_DEET]",TCD_Conso!$B$3,"[Tab_concat].[Type]","[Tab_concat].[Type].&amp;[Consommation]","[Tab_concat].[Detail usage]","[Tab_concat].[Detail usage].&amp;["&amp;$C13&amp;"]","[Tab_concat].[Annee]","[Tab_concat].[Annee].&amp;["&amp;I$11&amp;"]"),0)</f>
        <v>0</v>
      </c>
      <c r="J13" s="399">
        <f>IFERROR(GETPIVOTDATA("[Measures].[Somme de Conso_kWh_DEET]",TCD_Conso!$B$3,"[Tab_concat].[Type]","[Tab_concat].[Type].&amp;[Consommation]","[Tab_concat].[Detail usage]","[Tab_concat].[Detail usage].&amp;["&amp;$C13&amp;"]","[Tab_concat].[Annee]","[Tab_concat].[Annee].&amp;["&amp;J$11&amp;"]"),0)</f>
        <v>0</v>
      </c>
      <c r="K13" s="399">
        <f>IFERROR(GETPIVOTDATA("[Measures].[Somme de Conso_kWh_DEET]",TCD_Conso!$B$3,"[Tab_concat].[Type]","[Tab_concat].[Type].&amp;[Consommation]","[Tab_concat].[Detail usage]","[Tab_concat].[Detail usage].&amp;["&amp;$C13&amp;"]","[Tab_concat].[Annee]","[Tab_concat].[Annee].&amp;["&amp;K$11&amp;"]"),0)</f>
        <v>0</v>
      </c>
      <c r="L13" s="399">
        <f>IFERROR(GETPIVOTDATA("[Measures].[Somme de Conso_kWh_DEET]",TCD_Conso!$B$3,"[Tab_concat].[Type]","[Tab_concat].[Type].&amp;[Consommation]","[Tab_concat].[Detail usage]","[Tab_concat].[Detail usage].&amp;["&amp;$C13&amp;"]","[Tab_concat].[Annee]","[Tab_concat].[Annee].&amp;["&amp;L$11&amp;"]"),0)</f>
        <v>0</v>
      </c>
      <c r="M13" s="399">
        <f>IFERROR(GETPIVOTDATA("[Measures].[Somme de Conso_kWh_DEET]",TCD_Conso!$B$3,"[Tab_concat].[Type]","[Tab_concat].[Type].&amp;[Consommation]","[Tab_concat].[Detail usage]","[Tab_concat].[Detail usage].&amp;["&amp;$C13&amp;"]","[Tab_concat].[Annee]","[Tab_concat].[Annee].&amp;["&amp;M$11&amp;"]"),0)</f>
        <v>0</v>
      </c>
      <c r="N13" s="399">
        <f>IFERROR(GETPIVOTDATA("[Measures].[Somme de Conso_kWh_DEET]",TCD_Conso!$B$3,"[Tab_concat].[Type]","[Tab_concat].[Type].&amp;[Consommation]","[Tab_concat].[Detail usage]","[Tab_concat].[Detail usage].&amp;["&amp;$C13&amp;"]","[Tab_concat].[Annee]","[Tab_concat].[Annee].&amp;["&amp;N$11&amp;"]"),0)</f>
        <v>0</v>
      </c>
      <c r="O13" s="399">
        <f>IFERROR(GETPIVOTDATA("[Measures].[Somme de Conso_kWh_DEET]",TCD_Conso!$B$3,"[Tab_concat].[Type]","[Tab_concat].[Type].&amp;[Consommation]","[Tab_concat].[Detail usage]","[Tab_concat].[Detail usage].&amp;["&amp;$C13&amp;"]","[Tab_concat].[Annee]","[Tab_concat].[Annee].&amp;["&amp;O$11&amp;"]"),0)</f>
        <v>0</v>
      </c>
      <c r="Q13" t="s">
        <v>351</v>
      </c>
      <c r="R13">
        <v>6</v>
      </c>
      <c r="U13" s="347">
        <v>2006</v>
      </c>
      <c r="V13" s="347">
        <f>IFERROR(GETPIVOTDATA("DJU(chauffagiste)",DJU!$H$13,"annee",U13),"")</f>
        <v>2289</v>
      </c>
      <c r="W13" s="347">
        <f>IFERROR(GETPIVOTDATA("DJU(climaticien)",DJU!$L$13,"annee",U13),"")</f>
        <v>227</v>
      </c>
    </row>
    <row r="14" spans="2:23">
      <c r="B14" s="732"/>
      <c r="C14" s="30" t="s">
        <v>352</v>
      </c>
      <c r="D14">
        <f>IFERROR(D12-D13,"")</f>
        <v>0</v>
      </c>
      <c r="E14">
        <f t="shared" ref="E14:O14" si="0">IFERROR(E12-E13,"")</f>
        <v>13205.347107438012</v>
      </c>
      <c r="F14">
        <f t="shared" si="0"/>
        <v>11671.265795787756</v>
      </c>
      <c r="G14">
        <f t="shared" si="0"/>
        <v>13221.903225806447</v>
      </c>
      <c r="H14">
        <f t="shared" si="0"/>
        <v>12561.419354838688</v>
      </c>
      <c r="I14">
        <f t="shared" si="0"/>
        <v>13234.539925965066</v>
      </c>
      <c r="J14">
        <f t="shared" si="0"/>
        <v>13798.524590163939</v>
      </c>
      <c r="K14">
        <f t="shared" si="0"/>
        <v>0</v>
      </c>
      <c r="L14">
        <f t="shared" si="0"/>
        <v>0</v>
      </c>
      <c r="M14">
        <f t="shared" si="0"/>
        <v>0</v>
      </c>
      <c r="N14">
        <f t="shared" si="0"/>
        <v>0</v>
      </c>
      <c r="O14">
        <f t="shared" si="0"/>
        <v>0</v>
      </c>
      <c r="Q14" t="s">
        <v>353</v>
      </c>
      <c r="R14">
        <f>INDEX(E11:J11,1,R13)</f>
        <v>2025</v>
      </c>
      <c r="U14" s="347">
        <v>2007</v>
      </c>
      <c r="V14" s="347">
        <f>IFERROR(GETPIVOTDATA("DJU(chauffagiste)",DJU!$H$13,"annee",U14),"")</f>
        <v>2237</v>
      </c>
      <c r="W14" s="347">
        <f>IFERROR(GETPIVOTDATA("DJU(climaticien)",DJU!$L$13,"annee",U14),"")</f>
        <v>101</v>
      </c>
    </row>
    <row r="15" spans="2:23" ht="15" customHeight="1">
      <c r="B15" s="733" t="s">
        <v>354</v>
      </c>
      <c r="C15" s="30" t="s">
        <v>355</v>
      </c>
      <c r="D15" t="e">
        <f>ROUND(GETPIVOTDATA("Somme de DJU(chauffagiste)",DJU!$H$13,"annee",D11),0)</f>
        <v>#REF!</v>
      </c>
      <c r="E15">
        <f>ROUND(GETPIVOTDATA("Somme de DJU(chauffagiste)",DJU!$H$13,"annee",E11),0)</f>
        <v>2107</v>
      </c>
      <c r="F15">
        <f>ROUND(GETPIVOTDATA("Somme de DJU(chauffagiste)",DJU!$H$13,"annee",F11),0)</f>
        <v>2397</v>
      </c>
      <c r="G15">
        <f>ROUND(GETPIVOTDATA("Somme de DJU(chauffagiste)",DJU!$H$13,"annee",G11),0)</f>
        <v>2087</v>
      </c>
      <c r="H15">
        <f>ROUND(GETPIVOTDATA("Somme de DJU(chauffagiste)",DJU!$H$13,"annee",H11),0)</f>
        <v>2027</v>
      </c>
      <c r="I15">
        <f>ROUND(GETPIVOTDATA("Somme de DJU(chauffagiste)",DJU!$H$13,"annee",I11),0)</f>
        <v>2164</v>
      </c>
      <c r="J15">
        <f>ROUND(GETPIVOTDATA("Somme de DJU(chauffagiste)",DJU!$H$13,"annee",J11),0)</f>
        <v>2155</v>
      </c>
      <c r="K15">
        <f>ROUND(GETPIVOTDATA("Somme de DJU(chauffagiste)",DJU!$H$13,"annee",K11),0)</f>
        <v>1089</v>
      </c>
      <c r="L15" t="e">
        <f>ROUND(GETPIVOTDATA("Somme de DJU(chauffagiste)",DJU!$H$13,"annee",L11),0)</f>
        <v>#REF!</v>
      </c>
      <c r="M15" t="e">
        <f>ROUND(GETPIVOTDATA("Somme de DJU(chauffagiste)",DJU!$H$13,"annee",M11),0)</f>
        <v>#REF!</v>
      </c>
      <c r="N15" t="e">
        <f>ROUND(GETPIVOTDATA("Somme de DJU(chauffagiste)",DJU!$H$13,"annee",N11),0)</f>
        <v>#REF!</v>
      </c>
      <c r="O15" t="e">
        <f>ROUND(GETPIVOTDATA("Somme de DJU(chauffagiste)",DJU!$H$13,"annee",O11),0)</f>
        <v>#REF!</v>
      </c>
      <c r="Q15" t="s">
        <v>356</v>
      </c>
      <c r="R15">
        <f>INDEX($E$11:$J$47,22,$R$13)</f>
        <v>0</v>
      </c>
      <c r="U15" s="347">
        <v>2008</v>
      </c>
      <c r="V15" s="347">
        <f>IFERROR(GETPIVOTDATA("DJU(chauffagiste)",DJU!$H$13,"annee",U15),"")</f>
        <v>2432</v>
      </c>
      <c r="W15" s="347">
        <f>IFERROR(GETPIVOTDATA("DJU(climaticien)",DJU!$L$13,"annee",U15),"")</f>
        <v>113</v>
      </c>
    </row>
    <row r="16" spans="2:23" ht="15" customHeight="1">
      <c r="B16" s="733"/>
      <c r="C16" s="30" t="s">
        <v>13</v>
      </c>
      <c r="D16" t="e">
        <f>VLOOKUP(D11,Site!$B$8:$H$23,7,FALSE)</f>
        <v>#N/A</v>
      </c>
      <c r="E16" t="str">
        <f>VLOOKUP(E11,Site!$B$8:$H$23,7,FALSE)</f>
        <v/>
      </c>
      <c r="F16" t="str">
        <f>VLOOKUP(F11,Site!$B$8:$H$23,7,FALSE)</f>
        <v/>
      </c>
      <c r="G16" t="str">
        <f>VLOOKUP(G11,Site!$B$8:$H$23,7,FALSE)</f>
        <v/>
      </c>
      <c r="H16" t="str">
        <f>VLOOKUP(H11,Site!$B$8:$H$23,7,FALSE)</f>
        <v/>
      </c>
      <c r="I16" t="str">
        <f>VLOOKUP(I11,Site!$B$8:$H$23,7,FALSE)</f>
        <v/>
      </c>
      <c r="J16" t="str">
        <f>VLOOKUP(J11,Site!$B$8:$H$23,7,FALSE)</f>
        <v/>
      </c>
      <c r="K16" t="e">
        <f>VLOOKUP(K11,Site!$B$8:$H$23,7,FALSE)</f>
        <v>#N/A</v>
      </c>
      <c r="L16" t="e">
        <f>VLOOKUP(L11,Site!$B$8:$H$23,7,FALSE)</f>
        <v>#N/A</v>
      </c>
      <c r="M16" t="e">
        <f>VLOOKUP(M11,Site!$B$8:$H$23,7,FALSE)</f>
        <v>#N/A</v>
      </c>
      <c r="N16" t="e">
        <f>VLOOKUP(N11,Site!$B$8:$H$23,7,FALSE)</f>
        <v>#N/A</v>
      </c>
      <c r="O16" t="e">
        <f>VLOOKUP(O11,Site!$B$8:$H$23,7,FALSE)</f>
        <v>#N/A</v>
      </c>
      <c r="U16" s="347">
        <v>2009</v>
      </c>
      <c r="V16" s="347">
        <f>IFERROR(GETPIVOTDATA("DJU(chauffagiste)",DJU!$H$13,"annee",U16),"")</f>
        <v>2451</v>
      </c>
      <c r="W16" s="347">
        <f>IFERROR(GETPIVOTDATA("DJU(climaticien)",DJU!$L$13,"annee",U16),"")</f>
        <v>132</v>
      </c>
    </row>
    <row r="17" spans="2:23" ht="15" customHeight="1">
      <c r="B17" s="733"/>
      <c r="C17" s="30" t="s">
        <v>357</v>
      </c>
      <c r="D17">
        <f>Controle_des_données!$B$34</f>
        <v>2.4699999999999999E-4</v>
      </c>
      <c r="E17">
        <f>Controle_des_données!$B$34</f>
        <v>2.4699999999999999E-4</v>
      </c>
      <c r="F17">
        <f>Controle_des_données!$B$34</f>
        <v>2.4699999999999999E-4</v>
      </c>
      <c r="G17">
        <f>Controle_des_données!$B$34</f>
        <v>2.4699999999999999E-4</v>
      </c>
      <c r="H17">
        <f>Controle_des_données!$B$34</f>
        <v>2.4699999999999999E-4</v>
      </c>
      <c r="I17">
        <f>Controle_des_données!$B$34</f>
        <v>2.4699999999999999E-4</v>
      </c>
      <c r="J17">
        <f>Controle_des_données!$B$34</f>
        <v>2.4699999999999999E-4</v>
      </c>
      <c r="K17">
        <f>Controle_des_données!$B$34</f>
        <v>2.4699999999999999E-4</v>
      </c>
      <c r="L17">
        <f>Controle_des_données!$B$34</f>
        <v>2.4699999999999999E-4</v>
      </c>
      <c r="M17">
        <f>Controle_des_données!$B$34</f>
        <v>2.4699999999999999E-4</v>
      </c>
      <c r="N17">
        <f>Controle_des_données!$B$34</f>
        <v>2.4699999999999999E-4</v>
      </c>
      <c r="O17">
        <f>Controle_des_données!$B$34</f>
        <v>2.4699999999999999E-4</v>
      </c>
      <c r="U17" s="347">
        <v>2010</v>
      </c>
      <c r="V17" s="347">
        <f>IFERROR(GETPIVOTDATA("DJU(chauffagiste)",DJU!$H$13,"annee",U17),"")</f>
        <v>2737</v>
      </c>
      <c r="W17" s="347">
        <f>IFERROR(GETPIVOTDATA("DJU(climaticien)",DJU!$L$13,"annee",U17),"")</f>
        <v>131</v>
      </c>
    </row>
    <row r="18" spans="2:23" ht="16.5" customHeight="1">
      <c r="B18" s="733"/>
      <c r="C18" s="30" t="s">
        <v>358</v>
      </c>
      <c r="D18" t="e">
        <f>VLOOKUP(D11,Site!$B$8:$E$28,3,FALSE)</f>
        <v>#N/A</v>
      </c>
      <c r="E18" s="418">
        <f>VLOOKUP(E11,Site!$B$8:$E$28,3,FALSE)</f>
        <v>0</v>
      </c>
      <c r="F18" s="418">
        <f>VLOOKUP(F11,Site!$B$8:$E$28,3,FALSE)</f>
        <v>0</v>
      </c>
      <c r="G18" s="418">
        <f>VLOOKUP(G11,Site!$B$8:$E$28,3,FALSE)</f>
        <v>0</v>
      </c>
      <c r="H18" s="418">
        <f>VLOOKUP(H11,Site!$B$8:$E$28,3,FALSE)</f>
        <v>0</v>
      </c>
      <c r="I18" s="418">
        <f>VLOOKUP(I11,Site!$B$8:$E$28,3,FALSE)</f>
        <v>0</v>
      </c>
      <c r="J18" s="418">
        <f>VLOOKUP(J11,Site!$B$8:$E$28,3,FALSE)</f>
        <v>0</v>
      </c>
      <c r="K18" s="418">
        <f>VLOOKUP(K11,Site!$B$8:$E$28,3,FALSE)</f>
        <v>0</v>
      </c>
      <c r="L18" s="418">
        <f>VLOOKUP(L11,Site!$B$8:$E$28,3,FALSE)</f>
        <v>0</v>
      </c>
      <c r="M18" s="418">
        <f>VLOOKUP(M11,Site!$B$8:$E$28,3,FALSE)</f>
        <v>0</v>
      </c>
      <c r="N18" s="418">
        <f>VLOOKUP(N11,Site!$B$8:$E$28,3,FALSE)</f>
        <v>0</v>
      </c>
      <c r="O18" s="418">
        <f>VLOOKUP(O11,Site!$B$8:$E$28,3,FALSE)</f>
        <v>0</v>
      </c>
      <c r="Q18" t="s">
        <v>359</v>
      </c>
      <c r="R18" s="50" t="e">
        <f>INDEX($E$11:$J$47,27,$R$13)</f>
        <v>#DIV/0!</v>
      </c>
      <c r="U18" s="347">
        <v>2011</v>
      </c>
      <c r="V18" s="347">
        <f>IFERROR(GETPIVOTDATA("DJU(chauffagiste)",DJU!$H$13,"annee",U18),"")</f>
        <v>2132</v>
      </c>
      <c r="W18" s="347">
        <f>IFERROR(GETPIVOTDATA("DJU(climaticien)",DJU!$L$13,"annee",U18),"")</f>
        <v>150</v>
      </c>
    </row>
    <row r="19" spans="2:23">
      <c r="B19" s="733"/>
      <c r="C19" s="30" t="s">
        <v>360</v>
      </c>
      <c r="D19">
        <f>IFERROR(IF(D27&gt;0,D27*MAX(-0.5,MIN(($G$3-D15)/D15,1)),D18/D32*MIN(D17*D15,1)*(D14+D30)*MAX(-0.5,MIN(($G$3-D15)/D15,1))),0)</f>
        <v>0</v>
      </c>
      <c r="E19">
        <f t="shared" ref="E19:O19" si="1">IFERROR(IF(E27&gt;0,E27*MAX(-0.5,MIN(($G$3-E15)/E15,1)),E18/E32*MIN(E17*E15,1)*(E14+E30)*MAX(-0.5,MIN(($G$3-E15)/E15,1))),0)</f>
        <v>0</v>
      </c>
      <c r="F19">
        <f t="shared" si="1"/>
        <v>0</v>
      </c>
      <c r="G19">
        <f t="shared" si="1"/>
        <v>0</v>
      </c>
      <c r="H19">
        <f t="shared" si="1"/>
        <v>0</v>
      </c>
      <c r="I19">
        <f t="shared" si="1"/>
        <v>0</v>
      </c>
      <c r="J19">
        <f t="shared" si="1"/>
        <v>0</v>
      </c>
      <c r="K19">
        <f t="shared" si="1"/>
        <v>0</v>
      </c>
      <c r="L19">
        <f t="shared" si="1"/>
        <v>0</v>
      </c>
      <c r="M19">
        <f t="shared" si="1"/>
        <v>0</v>
      </c>
      <c r="N19">
        <f t="shared" si="1"/>
        <v>0</v>
      </c>
      <c r="O19">
        <f t="shared" si="1"/>
        <v>0</v>
      </c>
      <c r="Q19" t="s">
        <v>361</v>
      </c>
      <c r="R19" s="50" t="e">
        <f>INDEX($E$11:$J$47,28,$R$13)</f>
        <v>#DIV/0!</v>
      </c>
      <c r="U19" s="347">
        <v>2012</v>
      </c>
      <c r="V19" s="347">
        <f>IFERROR(GETPIVOTDATA("DJU(chauffagiste)",DJU!$H$13,"annee",U19),"")</f>
        <v>2468</v>
      </c>
      <c r="W19" s="347">
        <f>IFERROR(GETPIVOTDATA("DJU(climaticien)",DJU!$L$13,"annee",U19),"")</f>
        <v>125</v>
      </c>
    </row>
    <row r="20" spans="2:23">
      <c r="B20" s="733" t="s">
        <v>362</v>
      </c>
      <c r="C20" t="s">
        <v>169</v>
      </c>
      <c r="D20" s="400">
        <f>IFERROR(GETPIVOTDATA("[Measures].[Somme de Conso_kWh_DEET]",TCD_Conso!$B$3,"[Tab_concat].[Type]","[Tab_concat].[Type].&amp;[Consommation]","[Tab_concat].[Detail usage]","[Tab_concat].[Detail usage].&amp;["&amp;$C20&amp;"]","[Tab_concat].[Annee]","[Tab_concat].[Annee].&amp;["&amp;D$11&amp;"]"),0)</f>
        <v>0</v>
      </c>
      <c r="E20" s="400">
        <f>IFERROR(GETPIVOTDATA("[Measures].[Somme de Conso_kWh_DEET]",TCD_Conso!$B$3,"[Tab_concat].[Type]","[Tab_concat].[Type].&amp;[Consommation]","[Tab_concat].[Detail usage]","[Tab_concat].[Detail usage].&amp;["&amp;$C20&amp;"]","[Tab_concat].[Annee]","[Tab_concat].[Annee].&amp;["&amp;E$11&amp;"]"),0)</f>
        <v>0</v>
      </c>
      <c r="F20" s="400">
        <f>IFERROR(GETPIVOTDATA("[Measures].[Somme de Conso_kWh_DEET]",TCD_Conso!$B$3,"[Tab_concat].[Type]","[Tab_concat].[Type].&amp;[Consommation]","[Tab_concat].[Detail usage]","[Tab_concat].[Detail usage].&amp;["&amp;$C20&amp;"]","[Tab_concat].[Annee]","[Tab_concat].[Annee].&amp;["&amp;F$11&amp;"]"),0)</f>
        <v>0</v>
      </c>
      <c r="G20" s="400">
        <f>IFERROR(GETPIVOTDATA("[Measures].[Somme de Conso_kWh_DEET]",TCD_Conso!$B$3,"[Tab_concat].[Type]","[Tab_concat].[Type].&amp;[Consommation]","[Tab_concat].[Detail usage]","[Tab_concat].[Detail usage].&amp;["&amp;$C20&amp;"]","[Tab_concat].[Annee]","[Tab_concat].[Annee].&amp;["&amp;G$11&amp;"]"),0)</f>
        <v>0</v>
      </c>
      <c r="H20" s="400">
        <f>IFERROR(GETPIVOTDATA("[Measures].[Somme de Conso_kWh_DEET]",TCD_Conso!$B$3,"[Tab_concat].[Type]","[Tab_concat].[Type].&amp;[Consommation]","[Tab_concat].[Detail usage]","[Tab_concat].[Detail usage].&amp;["&amp;$C20&amp;"]","[Tab_concat].[Annee]","[Tab_concat].[Annee].&amp;["&amp;H$11&amp;"]"),0)</f>
        <v>0</v>
      </c>
      <c r="I20" s="400">
        <f>IFERROR(GETPIVOTDATA("[Measures].[Somme de Conso_kWh_DEET]",TCD_Conso!$B$3,"[Tab_concat].[Type]","[Tab_concat].[Type].&amp;[Consommation]","[Tab_concat].[Detail usage]","[Tab_concat].[Detail usage].&amp;["&amp;$C20&amp;"]","[Tab_concat].[Annee]","[Tab_concat].[Annee].&amp;["&amp;I$11&amp;"]"),0)</f>
        <v>0</v>
      </c>
      <c r="J20" s="400">
        <f>IFERROR(GETPIVOTDATA("[Measures].[Somme de Conso_kWh_DEET]",TCD_Conso!$B$3,"[Tab_concat].[Type]","[Tab_concat].[Type].&amp;[Consommation]","[Tab_concat].[Detail usage]","[Tab_concat].[Detail usage].&amp;["&amp;$C20&amp;"]","[Tab_concat].[Annee]","[Tab_concat].[Annee].&amp;["&amp;J$11&amp;"]"),0)</f>
        <v>0</v>
      </c>
      <c r="K20" s="400">
        <f>IFERROR(GETPIVOTDATA("[Measures].[Somme de Conso_kWh_DEET]",TCD_Conso!$B$3,"[Tab_concat].[Type]","[Tab_concat].[Type].&amp;[Consommation]","[Tab_concat].[Detail usage]","[Tab_concat].[Detail usage].&amp;["&amp;$C20&amp;"]","[Tab_concat].[Annee]","[Tab_concat].[Annee].&amp;["&amp;K$11&amp;"]"),0)</f>
        <v>0</v>
      </c>
      <c r="L20" s="400">
        <f>IFERROR(GETPIVOTDATA("[Measures].[Somme de Conso_kWh_DEET]",TCD_Conso!$B$3,"[Tab_concat].[Type]","[Tab_concat].[Type].&amp;[Consommation]","[Tab_concat].[Detail usage]","[Tab_concat].[Detail usage].&amp;["&amp;$C20&amp;"]","[Tab_concat].[Annee]","[Tab_concat].[Annee].&amp;["&amp;L$11&amp;"]"),0)</f>
        <v>0</v>
      </c>
      <c r="M20" s="400">
        <f>IFERROR(GETPIVOTDATA("[Measures].[Somme de Conso_kWh_DEET]",TCD_Conso!$B$3,"[Tab_concat].[Type]","[Tab_concat].[Type].&amp;[Consommation]","[Tab_concat].[Detail usage]","[Tab_concat].[Detail usage].&amp;["&amp;$C20&amp;"]","[Tab_concat].[Annee]","[Tab_concat].[Annee].&amp;["&amp;M$11&amp;"]"),0)</f>
        <v>0</v>
      </c>
      <c r="N20" s="400">
        <f>IFERROR(GETPIVOTDATA("[Measures].[Somme de Conso_kWh_DEET]",TCD_Conso!$B$3,"[Tab_concat].[Type]","[Tab_concat].[Type].&amp;[Consommation]","[Tab_concat].[Detail usage]","[Tab_concat].[Detail usage].&amp;["&amp;$C20&amp;"]","[Tab_concat].[Annee]","[Tab_concat].[Annee].&amp;["&amp;N$11&amp;"]"),0)</f>
        <v>0</v>
      </c>
      <c r="O20" s="400">
        <f>IFERROR(GETPIVOTDATA("[Measures].[Somme de Conso_kWh_DEET]",TCD_Conso!$B$3,"[Tab_concat].[Type]","[Tab_concat].[Type].&amp;[Consommation]","[Tab_concat].[Detail usage]","[Tab_concat].[Detail usage].&amp;["&amp;$C20&amp;"]","[Tab_concat].[Annee]","[Tab_concat].[Annee].&amp;["&amp;O$11&amp;"]"),0)</f>
        <v>0</v>
      </c>
      <c r="Q20" t="s">
        <v>363</v>
      </c>
      <c r="R20" s="135" t="e">
        <f>INDEX($E$11:$J$47,29,$R$13)</f>
        <v>#DIV/0!</v>
      </c>
      <c r="U20" s="347">
        <v>2013</v>
      </c>
      <c r="V20" s="347">
        <f>IFERROR(GETPIVOTDATA("DJU(chauffagiste)",DJU!$H$13,"annee",U20),"")</f>
        <v>2532</v>
      </c>
      <c r="W20" s="347">
        <f>IFERROR(GETPIVOTDATA("DJU(climaticien)",DJU!$L$13,"annee",U20),"")</f>
        <v>168</v>
      </c>
    </row>
    <row r="21" spans="2:23" ht="15" customHeight="1">
      <c r="B21" s="733"/>
      <c r="C21" s="30" t="s">
        <v>364</v>
      </c>
      <c r="D21" t="e">
        <f>GETPIVOTDATA("DJU(climaticien)",DJU!$L$13,"annee",D11)</f>
        <v>#REF!</v>
      </c>
      <c r="E21">
        <f>GETPIVOTDATA("DJU(climaticien)",DJU!$L$13,"annee",E11)</f>
        <v>182</v>
      </c>
      <c r="F21">
        <f>GETPIVOTDATA("DJU(climaticien)",DJU!$L$13,"annee",F11)</f>
        <v>133</v>
      </c>
      <c r="G21">
        <f>GETPIVOTDATA("DJU(climaticien)",DJU!$L$13,"annee",G11)</f>
        <v>264</v>
      </c>
      <c r="H21">
        <f>GETPIVOTDATA("DJU(climaticien)",DJU!$L$13,"annee",H11)</f>
        <v>230</v>
      </c>
      <c r="I21">
        <f>GETPIVOTDATA("DJU(climaticien)",DJU!$L$13,"annee",I11)</f>
        <v>134</v>
      </c>
      <c r="J21">
        <f>GETPIVOTDATA("DJU(climaticien)",DJU!$L$13,"annee",J11)</f>
        <v>226</v>
      </c>
      <c r="K21">
        <f>GETPIVOTDATA("DJU(climaticien)",DJU!$L$13,"annee",K11)</f>
        <v>61</v>
      </c>
      <c r="L21" t="e">
        <f>GETPIVOTDATA("DJU(climaticien)",DJU!$L$13,"annee",L11)</f>
        <v>#REF!</v>
      </c>
      <c r="M21" t="e">
        <f>GETPIVOTDATA("DJU(climaticien)",DJU!$L$13,"annee",M11)</f>
        <v>#REF!</v>
      </c>
      <c r="N21" t="e">
        <f>GETPIVOTDATA("DJU(climaticien)",DJU!$L$13,"annee",N11)</f>
        <v>#REF!</v>
      </c>
      <c r="O21" t="e">
        <f>GETPIVOTDATA("DJU(climaticien)",DJU!$L$13,"annee",O11)</f>
        <v>#REF!</v>
      </c>
      <c r="Q21" t="s">
        <v>365</v>
      </c>
      <c r="R21" s="51" t="e">
        <f>(R20-R8)/R8</f>
        <v>#DIV/0!</v>
      </c>
      <c r="U21" s="347">
        <v>2014</v>
      </c>
      <c r="V21" s="347">
        <f>IFERROR(GETPIVOTDATA("DJU(chauffagiste)",DJU!$H$13,"annee",U21),"")</f>
        <v>2096</v>
      </c>
      <c r="W21" s="347">
        <f>IFERROR(GETPIVOTDATA("DJU(climaticien)",DJU!$L$13,"annee",U21),"")</f>
        <v>154</v>
      </c>
    </row>
    <row r="22" spans="2:23" ht="15" customHeight="1">
      <c r="B22" s="733"/>
      <c r="C22" s="30" t="s">
        <v>366</v>
      </c>
      <c r="D22">
        <f>Controle_des_données!$B$35</f>
        <v>5.3499999999999999E-5</v>
      </c>
      <c r="E22">
        <f>Controle_des_données!$B$35</f>
        <v>5.3499999999999999E-5</v>
      </c>
      <c r="F22">
        <f>Controle_des_données!$B$35</f>
        <v>5.3499999999999999E-5</v>
      </c>
      <c r="G22">
        <f>Controle_des_données!$B$35</f>
        <v>5.3499999999999999E-5</v>
      </c>
      <c r="H22">
        <f>Controle_des_données!$B$35</f>
        <v>5.3499999999999999E-5</v>
      </c>
      <c r="I22">
        <f>Controle_des_données!$B$35</f>
        <v>5.3499999999999999E-5</v>
      </c>
      <c r="J22">
        <f>Controle_des_données!$B$35</f>
        <v>5.3499999999999999E-5</v>
      </c>
      <c r="K22">
        <f>Controle_des_données!$B$35</f>
        <v>5.3499999999999999E-5</v>
      </c>
      <c r="L22">
        <f>Controle_des_données!$B$35</f>
        <v>5.3499999999999999E-5</v>
      </c>
      <c r="M22">
        <f>Controle_des_données!$B$35</f>
        <v>5.3499999999999999E-5</v>
      </c>
      <c r="N22">
        <f>Controle_des_données!$B$35</f>
        <v>5.3499999999999999E-5</v>
      </c>
      <c r="O22">
        <f>Controle_des_données!$B$35</f>
        <v>5.3499999999999999E-5</v>
      </c>
      <c r="R22" s="51"/>
      <c r="U22" s="347">
        <v>2015</v>
      </c>
      <c r="V22" s="347">
        <f>IFERROR(GETPIVOTDATA("DJU(chauffagiste)",DJU!$H$13,"annee",U22),"")</f>
        <v>2206</v>
      </c>
      <c r="W22" s="347">
        <f>IFERROR(GETPIVOTDATA("DJU(climaticien)",DJU!$L$13,"annee",U22),"")</f>
        <v>143</v>
      </c>
    </row>
    <row r="23" spans="2:23">
      <c r="B23" s="733"/>
      <c r="C23" s="30" t="s">
        <v>367</v>
      </c>
      <c r="D23" t="e">
        <f>VLOOKUP(D11,Site!$B$8:$E$23,4,FALSE)</f>
        <v>#N/A</v>
      </c>
      <c r="E23">
        <f>VLOOKUP(E11,Site!$B$8:$E$23,4,FALSE)</f>
        <v>0</v>
      </c>
      <c r="F23">
        <f>VLOOKUP(F11,Site!$B$8:$E$23,4,FALSE)</f>
        <v>0</v>
      </c>
      <c r="G23">
        <f>VLOOKUP(G11,Site!$B$8:$E$23,4,FALSE)</f>
        <v>0</v>
      </c>
      <c r="H23">
        <f>VLOOKUP(H11,Site!$B$8:$E$23,4,FALSE)</f>
        <v>0</v>
      </c>
      <c r="I23">
        <f>VLOOKUP(I11,Site!$B$8:$E$23,4,FALSE)</f>
        <v>0</v>
      </c>
      <c r="J23">
        <f>VLOOKUP(J11,Site!$B$8:$E$23,4,FALSE)</f>
        <v>0</v>
      </c>
      <c r="U23" s="347">
        <v>2016</v>
      </c>
      <c r="V23" s="347">
        <f>IFERROR(GETPIVOTDATA("DJU(chauffagiste)",DJU!$H$13,"annee",U23),"")</f>
        <v>2423</v>
      </c>
      <c r="W23" s="347">
        <f>IFERROR(GETPIVOTDATA("DJU(climaticien)",DJU!$L$13,"annee",U23),"")</f>
        <v>179</v>
      </c>
    </row>
    <row r="24" spans="2:23">
      <c r="B24" s="733"/>
      <c r="C24" s="30" t="s">
        <v>368</v>
      </c>
      <c r="D24">
        <f>IFERROR(IF(D20&gt;0,D20*MAX(-0.5,MIN(($H$3-D21)/D21,1)),D23/D32*MIN(D22*D21,1)*(D14+D30)*MAX(-0.5,MIN(($H$3-D21)/D21,1))),0)</f>
        <v>0</v>
      </c>
      <c r="E24">
        <f t="shared" ref="E24:O24" si="2">IFERROR(IF(E20&gt;0,E20*MAX(-0.5,MIN(($H$3-E21)/E21,1)),E23/E32*MIN(E22*E21,1)*(E14+E30)*MAX(-0.5,MIN(($H$3-E21)/E21,1))),0)</f>
        <v>0</v>
      </c>
      <c r="F24">
        <f t="shared" si="2"/>
        <v>0</v>
      </c>
      <c r="G24">
        <f t="shared" si="2"/>
        <v>0</v>
      </c>
      <c r="H24">
        <f t="shared" si="2"/>
        <v>0</v>
      </c>
      <c r="I24">
        <f t="shared" si="2"/>
        <v>0</v>
      </c>
      <c r="J24">
        <f t="shared" si="2"/>
        <v>0</v>
      </c>
      <c r="K24">
        <f t="shared" si="2"/>
        <v>0</v>
      </c>
      <c r="L24">
        <f t="shared" si="2"/>
        <v>0</v>
      </c>
      <c r="M24">
        <f t="shared" si="2"/>
        <v>0</v>
      </c>
      <c r="N24">
        <f t="shared" si="2"/>
        <v>0</v>
      </c>
      <c r="O24">
        <f t="shared" si="2"/>
        <v>0</v>
      </c>
      <c r="U24" s="347">
        <v>2017</v>
      </c>
      <c r="V24" s="347">
        <f>IFERROR(GETPIVOTDATA("DJU(chauffagiste)",DJU!$H$13,"annee",U24),"")</f>
        <v>2247</v>
      </c>
      <c r="W24" s="347">
        <f>IFERROR(GETPIVOTDATA("DJU(climaticien)",DJU!$L$13,"annee",U24),"")</f>
        <v>169</v>
      </c>
    </row>
    <row r="25" spans="2:23">
      <c r="B25" s="45"/>
      <c r="C25" s="30" t="s">
        <v>185</v>
      </c>
      <c r="D25" s="399">
        <f>IFERROR(GETPIVOTDATA("[Measures].[Somme de Conso_kWh_DEET]",TCD_Conso!$B$3,"[Tab_concat].[Type]","[Tab_concat].[Type].&amp;[Consommation]","[Tab_concat].[Detail usage]","[Tab_concat].[Detail usage].&amp;["&amp;$C25&amp;"]","[Tab_concat].[Annee]","[Tab_concat].[Annee].&amp;["&amp;D$11&amp;"]"),0)</f>
        <v>0</v>
      </c>
      <c r="E25" s="399">
        <f>IFERROR(GETPIVOTDATA("[Measures].[Somme de Conso_kWh_DEET]",TCD_Conso!$B$3,"[Tab_concat].[Type]","[Tab_concat].[Type].&amp;[Consommation]","[Tab_concat].[Detail usage]","[Tab_concat].[Detail usage].&amp;["&amp;$C25&amp;"]","[Tab_concat].[Annee]","[Tab_concat].[Annee].&amp;["&amp;E$11&amp;"]"),0)</f>
        <v>0</v>
      </c>
      <c r="F25" s="399">
        <f>IFERROR(GETPIVOTDATA("[Measures].[Somme de Conso_kWh_DEET]",TCD_Conso!$B$3,"[Tab_concat].[Type]","[Tab_concat].[Type].&amp;[Consommation]","[Tab_concat].[Detail usage]","[Tab_concat].[Detail usage].&amp;["&amp;$C25&amp;"]","[Tab_concat].[Annee]","[Tab_concat].[Annee].&amp;["&amp;F$11&amp;"]"),0)</f>
        <v>0</v>
      </c>
      <c r="G25" s="399">
        <f>IFERROR(GETPIVOTDATA("[Measures].[Somme de Conso_kWh_DEET]",TCD_Conso!$B$3,"[Tab_concat].[Type]","[Tab_concat].[Type].&amp;[Consommation]","[Tab_concat].[Detail usage]","[Tab_concat].[Detail usage].&amp;["&amp;$C25&amp;"]","[Tab_concat].[Annee]","[Tab_concat].[Annee].&amp;["&amp;G$11&amp;"]"),0)</f>
        <v>0</v>
      </c>
      <c r="H25" s="399">
        <f>IFERROR(GETPIVOTDATA("[Measures].[Somme de Conso_kWh_DEET]",TCD_Conso!$B$3,"[Tab_concat].[Type]","[Tab_concat].[Type].&amp;[Consommation]","[Tab_concat].[Detail usage]","[Tab_concat].[Detail usage].&amp;["&amp;$C25&amp;"]","[Tab_concat].[Annee]","[Tab_concat].[Annee].&amp;["&amp;H$11&amp;"]"),0)</f>
        <v>0</v>
      </c>
      <c r="I25" s="399">
        <f>IFERROR(GETPIVOTDATA("[Measures].[Somme de Conso_kWh_DEET]",TCD_Conso!$B$3,"[Tab_concat].[Type]","[Tab_concat].[Type].&amp;[Consommation]","[Tab_concat].[Detail usage]","[Tab_concat].[Detail usage].&amp;["&amp;$C25&amp;"]","[Tab_concat].[Annee]","[Tab_concat].[Annee].&amp;["&amp;I$11&amp;"]"),0)</f>
        <v>0</v>
      </c>
      <c r="J25" s="399">
        <f>IFERROR(GETPIVOTDATA("[Measures].[Somme de Conso_kWh_DEET]",TCD_Conso!$B$3,"[Tab_concat].[Type]","[Tab_concat].[Type].&amp;[Consommation]","[Tab_concat].[Detail usage]","[Tab_concat].[Detail usage].&amp;["&amp;$C25&amp;"]","[Tab_concat].[Annee]","[Tab_concat].[Annee].&amp;["&amp;J$11&amp;"]"),0)</f>
        <v>0</v>
      </c>
      <c r="K25" s="399">
        <f>IFERROR(GETPIVOTDATA("[Measures].[Somme de Conso_kWh_DEET]",TCD_Conso!$B$3,"[Tab_concat].[Type]","[Tab_concat].[Type].&amp;[Consommation]","[Tab_concat].[Detail usage]","[Tab_concat].[Detail usage].&amp;["&amp;$C25&amp;"]","[Tab_concat].[Annee]","[Tab_concat].[Annee].&amp;["&amp;K$11&amp;"]"),0)</f>
        <v>0</v>
      </c>
      <c r="L25" s="399">
        <f>IFERROR(GETPIVOTDATA("[Measures].[Somme de Conso_kWh_DEET]",TCD_Conso!$B$3,"[Tab_concat].[Type]","[Tab_concat].[Type].&amp;[Consommation]","[Tab_concat].[Detail usage]","[Tab_concat].[Detail usage].&amp;["&amp;$C25&amp;"]","[Tab_concat].[Annee]","[Tab_concat].[Annee].&amp;["&amp;L$11&amp;"]"),0)</f>
        <v>0</v>
      </c>
      <c r="M25" s="399">
        <f>IFERROR(GETPIVOTDATA("[Measures].[Somme de Conso_kWh_DEET]",TCD_Conso!$B$3,"[Tab_concat].[Type]","[Tab_concat].[Type].&amp;[Consommation]","[Tab_concat].[Detail usage]","[Tab_concat].[Detail usage].&amp;["&amp;$C25&amp;"]","[Tab_concat].[Annee]","[Tab_concat].[Annee].&amp;["&amp;M$11&amp;"]"),0)</f>
        <v>0</v>
      </c>
      <c r="N25" s="399">
        <f>IFERROR(GETPIVOTDATA("[Measures].[Somme de Conso_kWh_DEET]",TCD_Conso!$B$3,"[Tab_concat].[Type]","[Tab_concat].[Type].&amp;[Consommation]","[Tab_concat].[Detail usage]","[Tab_concat].[Detail usage].&amp;["&amp;$C25&amp;"]","[Tab_concat].[Annee]","[Tab_concat].[Annee].&amp;["&amp;N$11&amp;"]"),0)</f>
        <v>0</v>
      </c>
      <c r="O25" s="399">
        <f>IFERROR(GETPIVOTDATA("[Measures].[Somme de Conso_kWh_DEET]",TCD_Conso!$B$3,"[Tab_concat].[Type]","[Tab_concat].[Type].&amp;[Consommation]","[Tab_concat].[Detail usage]","[Tab_concat].[Detail usage].&amp;["&amp;$C25&amp;"]","[Tab_concat].[Annee]","[Tab_concat].[Annee].&amp;["&amp;O$11&amp;"]"),0)</f>
        <v>0</v>
      </c>
      <c r="U25" s="347">
        <v>2018</v>
      </c>
      <c r="V25" s="347">
        <f>IFERROR(GETPIVOTDATA("DJU(chauffagiste)",DJU!$H$13,"annee",U25),"")</f>
        <v>2265</v>
      </c>
      <c r="W25" s="347">
        <f>IFERROR(GETPIVOTDATA("DJU(climaticien)",DJU!$L$13,"annee",U25),"")</f>
        <v>188</v>
      </c>
    </row>
    <row r="26" spans="2:23">
      <c r="B26" s="732" t="s">
        <v>369</v>
      </c>
      <c r="C26" s="30" t="s">
        <v>145</v>
      </c>
      <c r="D26" s="399">
        <f>IFERROR(GETPIVOTDATA("[Measures].[Somme de Conso_kWh_DEET]",TCD_Conso!$B$3,"[Tab_concat].[Type]","[Tab_concat].[Type].&amp;[Consommation]","[Tab_concat].[Detail usage]","[Tab_concat].[Detail usage].&amp;["&amp;$C26&amp;"]","[Tab_concat].[Annee]","[Tab_concat].[Annee].&amp;["&amp;D$11&amp;"]"),0)</f>
        <v>0</v>
      </c>
      <c r="E26" s="399">
        <f>IFERROR(GETPIVOTDATA("[Measures].[Somme de Conso_kWh_DEET]",TCD_Conso!$B$3,"[Tab_concat].[Type]","[Tab_concat].[Type].&amp;[Consommation]","[Tab_concat].[Detail usage]","[Tab_concat].[Detail usage].&amp;["&amp;$C26&amp;"]","[Tab_concat].[Annee]","[Tab_concat].[Annee].&amp;["&amp;E$11&amp;"]"),0)</f>
        <v>0</v>
      </c>
      <c r="F26" s="399">
        <f>IFERROR(GETPIVOTDATA("[Measures].[Somme de Conso_kWh_DEET]",TCD_Conso!$B$3,"[Tab_concat].[Type]","[Tab_concat].[Type].&amp;[Consommation]","[Tab_concat].[Detail usage]","[Tab_concat].[Detail usage].&amp;["&amp;$C26&amp;"]","[Tab_concat].[Annee]","[Tab_concat].[Annee].&amp;["&amp;F$11&amp;"]"),0)</f>
        <v>0</v>
      </c>
      <c r="G26" s="399">
        <f>IFERROR(GETPIVOTDATA("[Measures].[Somme de Conso_kWh_DEET]",TCD_Conso!$B$3,"[Tab_concat].[Type]","[Tab_concat].[Type].&amp;[Consommation]","[Tab_concat].[Detail usage]","[Tab_concat].[Detail usage].&amp;["&amp;$C26&amp;"]","[Tab_concat].[Annee]","[Tab_concat].[Annee].&amp;["&amp;G$11&amp;"]"),0)</f>
        <v>0</v>
      </c>
      <c r="H26" s="399">
        <f>IFERROR(GETPIVOTDATA("[Measures].[Somme de Conso_kWh_DEET]",TCD_Conso!$B$3,"[Tab_concat].[Type]","[Tab_concat].[Type].&amp;[Consommation]","[Tab_concat].[Detail usage]","[Tab_concat].[Detail usage].&amp;["&amp;$C26&amp;"]","[Tab_concat].[Annee]","[Tab_concat].[Annee].&amp;["&amp;H$11&amp;"]"),0)</f>
        <v>0</v>
      </c>
      <c r="I26" s="399">
        <f>IFERROR(GETPIVOTDATA("[Measures].[Somme de Conso_kWh_DEET]",TCD_Conso!$B$3,"[Tab_concat].[Type]","[Tab_concat].[Type].&amp;[Consommation]","[Tab_concat].[Detail usage]","[Tab_concat].[Detail usage].&amp;["&amp;$C26&amp;"]","[Tab_concat].[Annee]","[Tab_concat].[Annee].&amp;["&amp;I$11&amp;"]"),0)</f>
        <v>0</v>
      </c>
      <c r="J26" s="399">
        <f>IFERROR(GETPIVOTDATA("[Measures].[Somme de Conso_kWh_DEET]",TCD_Conso!$B$3,"[Tab_concat].[Type]","[Tab_concat].[Type].&amp;[Consommation]","[Tab_concat].[Detail usage]","[Tab_concat].[Detail usage].&amp;["&amp;$C26&amp;"]","[Tab_concat].[Annee]","[Tab_concat].[Annee].&amp;["&amp;J$11&amp;"]"),0)</f>
        <v>0</v>
      </c>
      <c r="K26" s="399">
        <f>IFERROR(GETPIVOTDATA("[Measures].[Somme de Conso_kWh_DEET]",TCD_Conso!$B$3,"[Tab_concat].[Type]","[Tab_concat].[Type].&amp;[Consommation]","[Tab_concat].[Detail usage]","[Tab_concat].[Detail usage].&amp;["&amp;$C26&amp;"]","[Tab_concat].[Annee]","[Tab_concat].[Annee].&amp;["&amp;K$11&amp;"]"),0)</f>
        <v>0</v>
      </c>
      <c r="L26" s="399">
        <f>IFERROR(GETPIVOTDATA("[Measures].[Somme de Conso_kWh_DEET]",TCD_Conso!$B$3,"[Tab_concat].[Type]","[Tab_concat].[Type].&amp;[Consommation]","[Tab_concat].[Detail usage]","[Tab_concat].[Detail usage].&amp;["&amp;$C26&amp;"]","[Tab_concat].[Annee]","[Tab_concat].[Annee].&amp;["&amp;L$11&amp;"]"),0)</f>
        <v>0</v>
      </c>
      <c r="M26" s="399">
        <f>IFERROR(GETPIVOTDATA("[Measures].[Somme de Conso_kWh_DEET]",TCD_Conso!$B$3,"[Tab_concat].[Type]","[Tab_concat].[Type].&amp;[Consommation]","[Tab_concat].[Detail usage]","[Tab_concat].[Detail usage].&amp;["&amp;$C26&amp;"]","[Tab_concat].[Annee]","[Tab_concat].[Annee].&amp;["&amp;M$11&amp;"]"),0)</f>
        <v>0</v>
      </c>
      <c r="N26" s="399">
        <f>IFERROR(GETPIVOTDATA("[Measures].[Somme de Conso_kWh_DEET]",TCD_Conso!$B$3,"[Tab_concat].[Type]","[Tab_concat].[Type].&amp;[Consommation]","[Tab_concat].[Detail usage]","[Tab_concat].[Detail usage].&amp;["&amp;$C26&amp;"]","[Tab_concat].[Annee]","[Tab_concat].[Annee].&amp;["&amp;N$11&amp;"]"),0)</f>
        <v>0</v>
      </c>
      <c r="O26" s="399">
        <f>IFERROR(GETPIVOTDATA("[Measures].[Somme de Conso_kWh_DEET]",TCD_Conso!$B$3,"[Tab_concat].[Type]","[Tab_concat].[Type].&amp;[Consommation]","[Tab_concat].[Detail usage]","[Tab_concat].[Detail usage].&amp;["&amp;$C26&amp;"]","[Tab_concat].[Annee]","[Tab_concat].[Annee].&amp;["&amp;O$11&amp;"]"),0)</f>
        <v>0</v>
      </c>
      <c r="U26" s="347">
        <v>2019</v>
      </c>
      <c r="V26" s="347">
        <f>IFERROR(GETPIVOTDATA("DJU(chauffagiste)",DJU!$H$13,"annee",U26),"")</f>
        <v>2270</v>
      </c>
      <c r="W26" s="347">
        <f>IFERROR(GETPIVOTDATA("DJU(climaticien)",DJU!$L$13,"annee",U26),"")</f>
        <v>179</v>
      </c>
    </row>
    <row r="27" spans="2:23">
      <c r="B27" s="732"/>
      <c r="C27" s="30" t="s">
        <v>162</v>
      </c>
      <c r="D27" s="399">
        <f>IFERROR(GETPIVOTDATA("[Measures].[Somme de Conso_kWh_DEET]",TCD_Conso!$B$3,"[Tab_concat].[Type]","[Tab_concat].[Type].&amp;[Consommation]","[Tab_concat].[Detail usage]","[Tab_concat].[Detail usage].&amp;["&amp;$C27&amp;"]","[Tab_concat].[Annee]","[Tab_concat].[Annee].&amp;["&amp;D$11&amp;"]"),0)</f>
        <v>0</v>
      </c>
      <c r="E27" s="399">
        <f>IFERROR(GETPIVOTDATA("[Measures].[Somme de Conso_kWh_DEET]",TCD_Conso!$B$3,"[Tab_concat].[Type]","[Tab_concat].[Type].&amp;[Consommation]","[Tab_concat].[Detail usage]","[Tab_concat].[Detail usage].&amp;["&amp;$C27&amp;"]","[Tab_concat].[Annee]","[Tab_concat].[Annee].&amp;["&amp;E$11&amp;"]"),0)</f>
        <v>0</v>
      </c>
      <c r="F27" s="399">
        <f>IFERROR(GETPIVOTDATA("[Measures].[Somme de Conso_kWh_DEET]",TCD_Conso!$B$3,"[Tab_concat].[Type]","[Tab_concat].[Type].&amp;[Consommation]","[Tab_concat].[Detail usage]","[Tab_concat].[Detail usage].&amp;["&amp;$C27&amp;"]","[Tab_concat].[Annee]","[Tab_concat].[Annee].&amp;["&amp;F$11&amp;"]"),0)</f>
        <v>0</v>
      </c>
      <c r="G27" s="399">
        <f>IFERROR(GETPIVOTDATA("[Measures].[Somme de Conso_kWh_DEET]",TCD_Conso!$B$3,"[Tab_concat].[Type]","[Tab_concat].[Type].&amp;[Consommation]","[Tab_concat].[Detail usage]","[Tab_concat].[Detail usage].&amp;["&amp;$C27&amp;"]","[Tab_concat].[Annee]","[Tab_concat].[Annee].&amp;["&amp;G$11&amp;"]"),0)</f>
        <v>0</v>
      </c>
      <c r="H27" s="399">
        <f>IFERROR(GETPIVOTDATA("[Measures].[Somme de Conso_kWh_DEET]",TCD_Conso!$B$3,"[Tab_concat].[Type]","[Tab_concat].[Type].&amp;[Consommation]","[Tab_concat].[Detail usage]","[Tab_concat].[Detail usage].&amp;["&amp;$C27&amp;"]","[Tab_concat].[Annee]","[Tab_concat].[Annee].&amp;["&amp;H$11&amp;"]"),0)</f>
        <v>0</v>
      </c>
      <c r="I27" s="399">
        <f>IFERROR(GETPIVOTDATA("[Measures].[Somme de Conso_kWh_DEET]",TCD_Conso!$B$3,"[Tab_concat].[Type]","[Tab_concat].[Type].&amp;[Consommation]","[Tab_concat].[Detail usage]","[Tab_concat].[Detail usage].&amp;["&amp;$C27&amp;"]","[Tab_concat].[Annee]","[Tab_concat].[Annee].&amp;["&amp;I$11&amp;"]"),0)</f>
        <v>0</v>
      </c>
      <c r="J27" s="399">
        <f>IFERROR(GETPIVOTDATA("[Measures].[Somme de Conso_kWh_DEET]",TCD_Conso!$B$3,"[Tab_concat].[Type]","[Tab_concat].[Type].&amp;[Consommation]","[Tab_concat].[Detail usage]","[Tab_concat].[Detail usage].&amp;["&amp;$C27&amp;"]","[Tab_concat].[Annee]","[Tab_concat].[Annee].&amp;["&amp;J$11&amp;"]"),0)</f>
        <v>0</v>
      </c>
      <c r="K27" s="399">
        <f>IFERROR(GETPIVOTDATA("[Measures].[Somme de Conso_kWh_DEET]",TCD_Conso!$B$3,"[Tab_concat].[Type]","[Tab_concat].[Type].&amp;[Consommation]","[Tab_concat].[Detail usage]","[Tab_concat].[Detail usage].&amp;["&amp;$C27&amp;"]","[Tab_concat].[Annee]","[Tab_concat].[Annee].&amp;["&amp;K$11&amp;"]"),0)</f>
        <v>0</v>
      </c>
      <c r="L27" s="399">
        <f>IFERROR(GETPIVOTDATA("[Measures].[Somme de Conso_kWh_DEET]",TCD_Conso!$B$3,"[Tab_concat].[Type]","[Tab_concat].[Type].&amp;[Consommation]","[Tab_concat].[Detail usage]","[Tab_concat].[Detail usage].&amp;["&amp;$C27&amp;"]","[Tab_concat].[Annee]","[Tab_concat].[Annee].&amp;["&amp;L$11&amp;"]"),0)</f>
        <v>0</v>
      </c>
      <c r="M27" s="399">
        <f>IFERROR(GETPIVOTDATA("[Measures].[Somme de Conso_kWh_DEET]",TCD_Conso!$B$3,"[Tab_concat].[Type]","[Tab_concat].[Type].&amp;[Consommation]","[Tab_concat].[Detail usage]","[Tab_concat].[Detail usage].&amp;["&amp;$C27&amp;"]","[Tab_concat].[Annee]","[Tab_concat].[Annee].&amp;["&amp;M$11&amp;"]"),0)</f>
        <v>0</v>
      </c>
      <c r="N27" s="399">
        <f>IFERROR(GETPIVOTDATA("[Measures].[Somme de Conso_kWh_DEET]",TCD_Conso!$B$3,"[Tab_concat].[Type]","[Tab_concat].[Type].&amp;[Consommation]","[Tab_concat].[Detail usage]","[Tab_concat].[Detail usage].&amp;["&amp;$C27&amp;"]","[Tab_concat].[Annee]","[Tab_concat].[Annee].&amp;["&amp;N$11&amp;"]"),0)</f>
        <v>0</v>
      </c>
      <c r="O27" s="399">
        <f>IFERROR(GETPIVOTDATA("[Measures].[Somme de Conso_kWh_DEET]",TCD_Conso!$B$3,"[Tab_concat].[Type]","[Tab_concat].[Type].&amp;[Consommation]","[Tab_concat].[Detail usage]","[Tab_concat].[Detail usage].&amp;["&amp;$C27&amp;"]","[Tab_concat].[Annee]","[Tab_concat].[Annee].&amp;["&amp;O$11&amp;"]"),0)</f>
        <v>0</v>
      </c>
      <c r="U27" s="347">
        <v>2020</v>
      </c>
      <c r="V27" s="347">
        <f>IFERROR(GETPIVOTDATA("DJU(chauffagiste)",DJU!$H$13,"annee",U27),"")</f>
        <v>2107</v>
      </c>
      <c r="W27" s="347">
        <f>IFERROR(GETPIVOTDATA("DJU(climaticien)",DJU!$L$13,"annee",U27),"")</f>
        <v>182</v>
      </c>
    </row>
    <row r="28" spans="2:23">
      <c r="B28" s="732"/>
      <c r="C28" s="30" t="s">
        <v>322</v>
      </c>
      <c r="D28" s="399">
        <f>IFERROR(GETPIVOTDATA("[Measures].[Somme de Conso_kWh_DEET]",TCD_Conso!$B$3,"[Tab_concat].[Type]","[Tab_concat].[Type].&amp;[Consommation]","[Tab_concat].[Detail usage]","[Tab_concat].[Detail usage].&amp;["&amp;$C28&amp;"]","[Tab_concat].[Annee]","[Tab_concat].[Annee].&amp;["&amp;D$11&amp;"]"),0)</f>
        <v>0</v>
      </c>
      <c r="E28" s="399">
        <f>IFERROR(GETPIVOTDATA("[Measures].[Somme de Conso_kWh_DEET]",TCD_Conso!$B$3,"[Tab_concat].[Type]","[Tab_concat].[Type].&amp;[Consommation]","[Tab_concat].[Detail usage]","[Tab_concat].[Detail usage].&amp;["&amp;$C28&amp;"]","[Tab_concat].[Annee]","[Tab_concat].[Annee].&amp;["&amp;E$11&amp;"]"),0)</f>
        <v>56137.169427492045</v>
      </c>
      <c r="F28" s="399">
        <f>IFERROR(GETPIVOTDATA("[Measures].[Somme de Conso_kWh_DEET]",TCD_Conso!$B$3,"[Tab_concat].[Type]","[Tab_concat].[Type].&amp;[Consommation]","[Tab_concat].[Detail usage]","[Tab_concat].[Detail usage].&amp;["&amp;$C28&amp;"]","[Tab_concat].[Annee]","[Tab_concat].[Annee].&amp;["&amp;F$11&amp;"]"),0)</f>
        <v>53613.455390874733</v>
      </c>
      <c r="G28" s="399">
        <f>IFERROR(GETPIVOTDATA("[Measures].[Somme de Conso_kWh_DEET]",TCD_Conso!$B$3,"[Tab_concat].[Type]","[Tab_concat].[Type].&amp;[Consommation]","[Tab_concat].[Detail usage]","[Tab_concat].[Detail usage].&amp;["&amp;$C28&amp;"]","[Tab_concat].[Annee]","[Tab_concat].[Annee].&amp;["&amp;G$11&amp;"]"),0)</f>
        <v>40521.44725370533</v>
      </c>
      <c r="H28" s="399">
        <f>IFERROR(GETPIVOTDATA("[Measures].[Somme de Conso_kWh_DEET]",TCD_Conso!$B$3,"[Tab_concat].[Type]","[Tab_concat].[Type].&amp;[Consommation]","[Tab_concat].[Detail usage]","[Tab_concat].[Detail usage].&amp;["&amp;$C28&amp;"]","[Tab_concat].[Annee]","[Tab_concat].[Annee].&amp;["&amp;H$11&amp;"]"),0)</f>
        <v>54070.270270270121</v>
      </c>
      <c r="I28" s="399">
        <f>IFERROR(GETPIVOTDATA("[Measures].[Somme de Conso_kWh_DEET]",TCD_Conso!$B$3,"[Tab_concat].[Type]","[Tab_concat].[Type].&amp;[Consommation]","[Tab_concat].[Detail usage]","[Tab_concat].[Detail usage].&amp;["&amp;$C28&amp;"]","[Tab_concat].[Annee]","[Tab_concat].[Annee].&amp;["&amp;I$11&amp;"]"),0)</f>
        <v>56700.464981110257</v>
      </c>
      <c r="J28" s="399">
        <f>IFERROR(GETPIVOTDATA("[Measures].[Somme de Conso_kWh_DEET]",TCD_Conso!$B$3,"[Tab_concat].[Type]","[Tab_concat].[Type].&amp;[Consommation]","[Tab_concat].[Detail usage]","[Tab_concat].[Detail usage].&amp;["&amp;$C28&amp;"]","[Tab_concat].[Annee]","[Tab_concat].[Annee].&amp;["&amp;J$11&amp;"]"),0)</f>
        <v>55124.411508282436</v>
      </c>
      <c r="K28" s="399">
        <f>IFERROR(GETPIVOTDATA("[Measures].[Somme de Conso_kWh_DEET]",TCD_Conso!$B$3,"[Tab_concat].[Type]","[Tab_concat].[Type].&amp;[Consommation]","[Tab_concat].[Detail usage]","[Tab_concat].[Detail usage].&amp;["&amp;$C28&amp;"]","[Tab_concat].[Annee]","[Tab_concat].[Annee].&amp;["&amp;K$11&amp;"]"),0)</f>
        <v>30815.664051147975</v>
      </c>
      <c r="L28" s="399">
        <f>IFERROR(GETPIVOTDATA("[Measures].[Somme de Conso_kWh_DEET]",TCD_Conso!$B$3,"[Tab_concat].[Type]","[Tab_concat].[Type].&amp;[Consommation]","[Tab_concat].[Detail usage]","[Tab_concat].[Detail usage].&amp;["&amp;$C28&amp;"]","[Tab_concat].[Annee]","[Tab_concat].[Annee].&amp;["&amp;L$11&amp;"]"),0)</f>
        <v>0</v>
      </c>
      <c r="M28" s="399">
        <f>IFERROR(GETPIVOTDATA("[Measures].[Somme de Conso_kWh_DEET]",TCD_Conso!$B$3,"[Tab_concat].[Type]","[Tab_concat].[Type].&amp;[Consommation]","[Tab_concat].[Detail usage]","[Tab_concat].[Detail usage].&amp;["&amp;$C28&amp;"]","[Tab_concat].[Annee]","[Tab_concat].[Annee].&amp;["&amp;M$11&amp;"]"),0)</f>
        <v>0</v>
      </c>
      <c r="N28" s="399">
        <f>IFERROR(GETPIVOTDATA("[Measures].[Somme de Conso_kWh_DEET]",TCD_Conso!$B$3,"[Tab_concat].[Type]","[Tab_concat].[Type].&amp;[Consommation]","[Tab_concat].[Detail usage]","[Tab_concat].[Detail usage].&amp;["&amp;$C28&amp;"]","[Tab_concat].[Annee]","[Tab_concat].[Annee].&amp;["&amp;N$11&amp;"]"),0)</f>
        <v>0</v>
      </c>
      <c r="O28" s="399">
        <f>IFERROR(GETPIVOTDATA("[Measures].[Somme de Conso_kWh_DEET]",TCD_Conso!$B$3,"[Tab_concat].[Type]","[Tab_concat].[Type].&amp;[Consommation]","[Tab_concat].[Detail usage]","[Tab_concat].[Detail usage].&amp;["&amp;$C28&amp;"]","[Tab_concat].[Annee]","[Tab_concat].[Annee].&amp;["&amp;O$11&amp;"]"),0)</f>
        <v>0</v>
      </c>
    </row>
    <row r="29" spans="2:23">
      <c r="B29" s="732"/>
      <c r="C29" t="s">
        <v>180</v>
      </c>
      <c r="D29" s="399">
        <f>IFERROR(GETPIVOTDATA("[Measures].[Somme de Conso_kWh_DEET]",TCD_Conso!$B$3,"[Tab_concat].[Type]","[Tab_concat].[Type].&amp;[Consommation]","[Tab_concat].[Detail usage]","[Tab_concat].[Detail usage].&amp;["&amp;$C29&amp;"]","[Tab_concat].[Annee]","[Tab_concat].[Annee].&amp;["&amp;D$11&amp;"]"),0)</f>
        <v>0</v>
      </c>
      <c r="E29" s="399">
        <f>IFERROR(GETPIVOTDATA("[Measures].[Somme de Conso_kWh_DEET]",TCD_Conso!$B$3,"[Tab_concat].[Type]","[Tab_concat].[Type].&amp;[Consommation]","[Tab_concat].[Detail usage]","[Tab_concat].[Detail usage].&amp;["&amp;$C29&amp;"]","[Tab_concat].[Annee]","[Tab_concat].[Annee].&amp;["&amp;E$11&amp;"]"),0)</f>
        <v>0</v>
      </c>
      <c r="F29" s="399">
        <f>IFERROR(GETPIVOTDATA("[Measures].[Somme de Conso_kWh_DEET]",TCD_Conso!$B$3,"[Tab_concat].[Type]","[Tab_concat].[Type].&amp;[Consommation]","[Tab_concat].[Detail usage]","[Tab_concat].[Detail usage].&amp;["&amp;$C29&amp;"]","[Tab_concat].[Annee]","[Tab_concat].[Annee].&amp;["&amp;F$11&amp;"]"),0)</f>
        <v>0</v>
      </c>
      <c r="G29" s="399">
        <f>IFERROR(GETPIVOTDATA("[Measures].[Somme de Conso_kWh_DEET]",TCD_Conso!$B$3,"[Tab_concat].[Type]","[Tab_concat].[Type].&amp;[Consommation]","[Tab_concat].[Detail usage]","[Tab_concat].[Detail usage].&amp;["&amp;$C29&amp;"]","[Tab_concat].[Annee]","[Tab_concat].[Annee].&amp;["&amp;G$11&amp;"]"),0)</f>
        <v>0</v>
      </c>
      <c r="H29" s="399">
        <f>IFERROR(GETPIVOTDATA("[Measures].[Somme de Conso_kWh_DEET]",TCD_Conso!$B$3,"[Tab_concat].[Type]","[Tab_concat].[Type].&amp;[Consommation]","[Tab_concat].[Detail usage]","[Tab_concat].[Detail usage].&amp;["&amp;$C29&amp;"]","[Tab_concat].[Annee]","[Tab_concat].[Annee].&amp;["&amp;H$11&amp;"]"),0)</f>
        <v>0</v>
      </c>
      <c r="I29" s="399">
        <f>IFERROR(GETPIVOTDATA("[Measures].[Somme de Conso_kWh_DEET]",TCD_Conso!$B$3,"[Tab_concat].[Type]","[Tab_concat].[Type].&amp;[Consommation]","[Tab_concat].[Detail usage]","[Tab_concat].[Detail usage].&amp;["&amp;$C29&amp;"]","[Tab_concat].[Annee]","[Tab_concat].[Annee].&amp;["&amp;I$11&amp;"]"),0)</f>
        <v>0</v>
      </c>
      <c r="J29" s="399">
        <f>IFERROR(GETPIVOTDATA("[Measures].[Somme de Conso_kWh_DEET]",TCD_Conso!$B$3,"[Tab_concat].[Type]","[Tab_concat].[Type].&amp;[Consommation]","[Tab_concat].[Detail usage]","[Tab_concat].[Detail usage].&amp;["&amp;$C29&amp;"]","[Tab_concat].[Annee]","[Tab_concat].[Annee].&amp;["&amp;J$11&amp;"]"),0)</f>
        <v>0</v>
      </c>
      <c r="K29" s="399">
        <f>IFERROR(GETPIVOTDATA("[Measures].[Somme de Conso_kWh_DEET]",TCD_Conso!$B$3,"[Tab_concat].[Type]","[Tab_concat].[Type].&amp;[Consommation]","[Tab_concat].[Detail usage]","[Tab_concat].[Detail usage].&amp;["&amp;$C29&amp;"]","[Tab_concat].[Annee]","[Tab_concat].[Annee].&amp;["&amp;K$11&amp;"]"),0)</f>
        <v>0</v>
      </c>
      <c r="L29" s="399">
        <f>IFERROR(GETPIVOTDATA("[Measures].[Somme de Conso_kWh_DEET]",TCD_Conso!$B$3,"[Tab_concat].[Type]","[Tab_concat].[Type].&amp;[Consommation]","[Tab_concat].[Detail usage]","[Tab_concat].[Detail usage].&amp;["&amp;$C29&amp;"]","[Tab_concat].[Annee]","[Tab_concat].[Annee].&amp;["&amp;L$11&amp;"]"),0)</f>
        <v>0</v>
      </c>
      <c r="M29" s="399">
        <f>IFERROR(GETPIVOTDATA("[Measures].[Somme de Conso_kWh_DEET]",TCD_Conso!$B$3,"[Tab_concat].[Type]","[Tab_concat].[Type].&amp;[Consommation]","[Tab_concat].[Detail usage]","[Tab_concat].[Detail usage].&amp;["&amp;$C29&amp;"]","[Tab_concat].[Annee]","[Tab_concat].[Annee].&amp;["&amp;M$11&amp;"]"),0)</f>
        <v>0</v>
      </c>
      <c r="N29" s="399">
        <f>IFERROR(GETPIVOTDATA("[Measures].[Somme de Conso_kWh_DEET]",TCD_Conso!$B$3,"[Tab_concat].[Type]","[Tab_concat].[Type].&amp;[Consommation]","[Tab_concat].[Detail usage]","[Tab_concat].[Detail usage].&amp;["&amp;$C29&amp;"]","[Tab_concat].[Annee]","[Tab_concat].[Annee].&amp;["&amp;N$11&amp;"]"),0)</f>
        <v>0</v>
      </c>
      <c r="O29" s="399">
        <f>IFERROR(GETPIVOTDATA("[Measures].[Somme de Conso_kWh_DEET]",TCD_Conso!$B$3,"[Tab_concat].[Type]","[Tab_concat].[Type].&amp;[Consommation]","[Tab_concat].[Detail usage]","[Tab_concat].[Detail usage].&amp;["&amp;$C29&amp;"]","[Tab_concat].[Annee]","[Tab_concat].[Annee].&amp;["&amp;O$11&amp;"]"),0)</f>
        <v>0</v>
      </c>
    </row>
    <row r="30" spans="2:23">
      <c r="B30" s="732"/>
      <c r="C30" s="30" t="s">
        <v>370</v>
      </c>
      <c r="D30">
        <f>SUM(D25:D29)</f>
        <v>0</v>
      </c>
      <c r="E30">
        <f t="shared" ref="E30:O30" si="3">SUM(E25:E29)</f>
        <v>56137.169427492045</v>
      </c>
      <c r="F30">
        <f t="shared" si="3"/>
        <v>53613.455390874733</v>
      </c>
      <c r="G30">
        <f t="shared" si="3"/>
        <v>40521.44725370533</v>
      </c>
      <c r="H30">
        <f t="shared" si="3"/>
        <v>54070.270270270121</v>
      </c>
      <c r="I30">
        <f t="shared" si="3"/>
        <v>56700.464981110257</v>
      </c>
      <c r="J30">
        <f t="shared" si="3"/>
        <v>55124.411508282436</v>
      </c>
      <c r="K30">
        <f t="shared" si="3"/>
        <v>30815.664051147975</v>
      </c>
      <c r="L30">
        <f t="shared" si="3"/>
        <v>0</v>
      </c>
      <c r="M30">
        <f>SUM(M25:M29)</f>
        <v>0</v>
      </c>
      <c r="N30">
        <f t="shared" si="3"/>
        <v>0</v>
      </c>
      <c r="O30">
        <f t="shared" si="3"/>
        <v>0</v>
      </c>
    </row>
    <row r="31" spans="2:23">
      <c r="B31" s="732"/>
      <c r="C31" s="30" t="s">
        <v>371</v>
      </c>
      <c r="D31">
        <f>D30+D24+D19</f>
        <v>0</v>
      </c>
      <c r="E31">
        <f t="shared" ref="E31:J31" si="4">E30+E24+E19</f>
        <v>56137.169427492045</v>
      </c>
      <c r="F31">
        <f t="shared" si="4"/>
        <v>53613.455390874733</v>
      </c>
      <c r="G31">
        <f t="shared" si="4"/>
        <v>40521.44725370533</v>
      </c>
      <c r="H31">
        <f t="shared" si="4"/>
        <v>54070.270270270121</v>
      </c>
      <c r="I31">
        <f t="shared" si="4"/>
        <v>56700.464981110257</v>
      </c>
      <c r="J31">
        <f t="shared" si="4"/>
        <v>55124.411508282436</v>
      </c>
      <c r="K31">
        <f>K30+K24+K19</f>
        <v>30815.664051147975</v>
      </c>
      <c r="L31">
        <f>L30+L24+L19</f>
        <v>0</v>
      </c>
      <c r="M31">
        <f>M30+M24+M19</f>
        <v>0</v>
      </c>
      <c r="N31">
        <f>N30+N24+N19</f>
        <v>0</v>
      </c>
      <c r="O31">
        <f>O30+O24+O19</f>
        <v>0</v>
      </c>
    </row>
    <row r="32" spans="2:23">
      <c r="B32" s="733" t="s">
        <v>372</v>
      </c>
      <c r="C32" s="30" t="s">
        <v>373</v>
      </c>
      <c r="D32" t="e">
        <f>VLOOKUP(D11,Site!$B$8:$E$28,2,FALSE)</f>
        <v>#N/A</v>
      </c>
      <c r="E32" s="418">
        <f>VLOOKUP(E11,Site!$B$8:$E$28,2,FALSE)</f>
        <v>0</v>
      </c>
      <c r="F32" s="418">
        <f>VLOOKUP(F11,Site!$B$8:$E$28,2,FALSE)</f>
        <v>0</v>
      </c>
      <c r="G32" s="418">
        <f>VLOOKUP(G11,Site!$B$8:$E$28,2,FALSE)</f>
        <v>0</v>
      </c>
      <c r="H32" s="418">
        <f>VLOOKUP(H11,Site!$B$8:$E$28,2,FALSE)</f>
        <v>0</v>
      </c>
      <c r="I32" s="418">
        <f>VLOOKUP(I11,Site!$B$8:$E$28,2,FALSE)</f>
        <v>0</v>
      </c>
      <c r="J32" s="418">
        <f>VLOOKUP(J11,Site!$B$8:$E$28,2,FALSE)</f>
        <v>0</v>
      </c>
      <c r="K32" s="418">
        <f>VLOOKUP(K11,Site!$B$8:$E$28,2,FALSE)</f>
        <v>0</v>
      </c>
      <c r="L32" s="418">
        <f>VLOOKUP(L11,Site!$B$8:$E$28,2,FALSE)</f>
        <v>0</v>
      </c>
      <c r="M32" s="418">
        <f>VLOOKUP(M11,Site!$B$8:$E$28,2,FALSE)</f>
        <v>0</v>
      </c>
      <c r="N32" s="418">
        <f>VLOOKUP(N11,Site!$B$8:$E$28,2,FALSE)</f>
        <v>0</v>
      </c>
      <c r="O32" s="418">
        <f>VLOOKUP(O11,Site!$B$8:$E$28,2,FALSE)</f>
        <v>0</v>
      </c>
    </row>
    <row r="33" spans="2:15">
      <c r="B33" s="733"/>
      <c r="C33" s="30" t="s">
        <v>27</v>
      </c>
      <c r="D33">
        <f>IF(D11&lt;=$R$14,D14/D32,0)</f>
        <v>0</v>
      </c>
      <c r="E33" t="e">
        <f t="shared" ref="E33:O33" si="5">IF(E11&lt;=$R$14,E14/E32,0)</f>
        <v>#DIV/0!</v>
      </c>
      <c r="F33" t="e">
        <f t="shared" si="5"/>
        <v>#DIV/0!</v>
      </c>
      <c r="G33" t="e">
        <f t="shared" si="5"/>
        <v>#DIV/0!</v>
      </c>
      <c r="H33" t="e">
        <f t="shared" si="5"/>
        <v>#DIV/0!</v>
      </c>
      <c r="I33" t="e">
        <f t="shared" si="5"/>
        <v>#DIV/0!</v>
      </c>
      <c r="J33" t="e">
        <f t="shared" si="5"/>
        <v>#DIV/0!</v>
      </c>
      <c r="K33">
        <f t="shared" si="5"/>
        <v>0</v>
      </c>
      <c r="L33">
        <f t="shared" si="5"/>
        <v>0</v>
      </c>
      <c r="M33">
        <f t="shared" si="5"/>
        <v>0</v>
      </c>
      <c r="N33">
        <f t="shared" si="5"/>
        <v>0</v>
      </c>
      <c r="O33">
        <f t="shared" si="5"/>
        <v>0</v>
      </c>
    </row>
    <row r="34" spans="2:15">
      <c r="B34" s="733"/>
      <c r="C34" s="30" t="s">
        <v>315</v>
      </c>
      <c r="D34">
        <f>IF(D11&lt;=$R$14,D30/D32,0)</f>
        <v>0</v>
      </c>
      <c r="E34" t="e">
        <f t="shared" ref="E34:O34" si="6">IF(E11&lt;=$R$14,E30/E32,0)</f>
        <v>#DIV/0!</v>
      </c>
      <c r="F34" t="e">
        <f t="shared" si="6"/>
        <v>#DIV/0!</v>
      </c>
      <c r="G34" t="e">
        <f t="shared" si="6"/>
        <v>#DIV/0!</v>
      </c>
      <c r="H34" t="e">
        <f t="shared" si="6"/>
        <v>#DIV/0!</v>
      </c>
      <c r="I34" t="e">
        <f t="shared" si="6"/>
        <v>#DIV/0!</v>
      </c>
      <c r="J34" t="e">
        <f t="shared" si="6"/>
        <v>#DIV/0!</v>
      </c>
      <c r="K34">
        <f t="shared" si="6"/>
        <v>0</v>
      </c>
      <c r="L34">
        <f t="shared" si="6"/>
        <v>0</v>
      </c>
      <c r="M34">
        <f t="shared" si="6"/>
        <v>0</v>
      </c>
      <c r="N34">
        <f t="shared" si="6"/>
        <v>0</v>
      </c>
      <c r="O34">
        <f t="shared" si="6"/>
        <v>0</v>
      </c>
    </row>
    <row r="35" spans="2:15">
      <c r="B35" s="45"/>
      <c r="C35" s="30" t="str">
        <f>IF(D26&gt;0,"ECS", IF(D28&gt;0,"ECS estimée","ECS+Cuisson estimées"))</f>
        <v>ECS+Cuisson estimées</v>
      </c>
      <c r="D35">
        <f>IF(D11&lt;=$R$14,IF(D26&gt;0,D26,HLOOKUP(D11,Estimation_ECS!$C$27:$R$30,4))/D32,0)</f>
        <v>0</v>
      </c>
      <c r="E35" t="e">
        <f>IF(E11&lt;=$R$14,IF(E26&gt;0,E26,HLOOKUP(E11,Estimation_ECS!$C$27:$R$30,4))/E32,0)</f>
        <v>#DIV/0!</v>
      </c>
      <c r="F35" t="e">
        <f>IF(F11&lt;=$R$14,IF(F26&gt;0,F26,HLOOKUP(F11,Estimation_ECS!$C$27:$R$30,4))/F32,0)</f>
        <v>#DIV/0!</v>
      </c>
      <c r="G35" t="e">
        <f>IF(G11&lt;=$R$14,IF(G26&gt;0,G26,HLOOKUP(G11,Estimation_ECS!$C$27:$R$30,4))/G32,0)</f>
        <v>#DIV/0!</v>
      </c>
      <c r="H35" t="e">
        <f>IF(H11&lt;=$R$14,IF(H26&gt;0,H26,HLOOKUP(H11,Estimation_ECS!$C$27:$R$30,4))/H32,0)</f>
        <v>#DIV/0!</v>
      </c>
      <c r="I35" t="e">
        <f>IF(I11&lt;=$R$14,IF(I26&gt;0,I26,HLOOKUP(I11,Estimation_ECS!$C$27:$R$30,4))/I32,0)</f>
        <v>#DIV/0!</v>
      </c>
      <c r="J35" t="e">
        <f>IF(J11&lt;=$R$14,IF(J26&gt;0,J26,HLOOKUP(J11,Estimation_ECS!$C$27:$R$30,4))/J32,0)</f>
        <v>#DIV/0!</v>
      </c>
      <c r="K35">
        <f>IF(K11&lt;=$R$14,IF(K26&gt;0,K26,HLOOKUP(K11,Estimation_ECS!$C$27:$R$30,4))/K32,0)</f>
        <v>0</v>
      </c>
      <c r="L35">
        <f>IF(L11&lt;=$R$14,IF(L26&gt;0,L26,HLOOKUP(L11,Estimation_ECS!$C$27:$R$30,4))/L32,0)</f>
        <v>0</v>
      </c>
      <c r="M35">
        <f>IF(M11&lt;=$R$14,IF(M26&gt;0,M26,HLOOKUP(M11,Estimation_ECS!$C$27:$R$30,4))/M32,0)</f>
        <v>0</v>
      </c>
      <c r="N35">
        <f>IF(N11&lt;=$R$14,IF(N26&gt;0,N26,HLOOKUP(N11,Estimation_ECS!$C$27:$R$30,4))/N32,0)</f>
        <v>0</v>
      </c>
      <c r="O35">
        <f>IF(O11&lt;=$R$14,IF(O26&gt;0,O26,HLOOKUP(O11,Estimation_ECS!$C$27:$R$30,4))/O32,0)</f>
        <v>0</v>
      </c>
    </row>
    <row r="36" spans="2:15">
      <c r="B36" s="45"/>
      <c r="C36" s="30" t="s">
        <v>374</v>
      </c>
      <c r="D36">
        <f>D34-D35</f>
        <v>0</v>
      </c>
      <c r="E36" t="e">
        <f t="shared" ref="E36:O36" si="7">E34-E35</f>
        <v>#DIV/0!</v>
      </c>
      <c r="F36" t="e">
        <f t="shared" si="7"/>
        <v>#DIV/0!</v>
      </c>
      <c r="G36" t="e">
        <f t="shared" si="7"/>
        <v>#DIV/0!</v>
      </c>
      <c r="H36" t="e">
        <f t="shared" si="7"/>
        <v>#DIV/0!</v>
      </c>
      <c r="I36" t="e">
        <f t="shared" si="7"/>
        <v>#DIV/0!</v>
      </c>
      <c r="J36" t="e">
        <f t="shared" si="7"/>
        <v>#DIV/0!</v>
      </c>
      <c r="K36">
        <f t="shared" si="7"/>
        <v>0</v>
      </c>
      <c r="L36">
        <f t="shared" si="7"/>
        <v>0</v>
      </c>
      <c r="M36">
        <f t="shared" si="7"/>
        <v>0</v>
      </c>
      <c r="N36">
        <f t="shared" si="7"/>
        <v>0</v>
      </c>
      <c r="O36">
        <f t="shared" si="7"/>
        <v>0</v>
      </c>
    </row>
    <row r="37" spans="2:15">
      <c r="B37" s="45"/>
      <c r="C37" s="30" t="s">
        <v>375</v>
      </c>
      <c r="D37">
        <f>IF(D11&lt;=$R$14,D19/D32,0)</f>
        <v>0</v>
      </c>
      <c r="E37" t="e">
        <f t="shared" ref="E37:O37" si="8">IF(E11&lt;=$R$14,E19/E32,0)</f>
        <v>#DIV/0!</v>
      </c>
      <c r="F37" t="e">
        <f t="shared" si="8"/>
        <v>#DIV/0!</v>
      </c>
      <c r="G37" t="e">
        <f t="shared" si="8"/>
        <v>#DIV/0!</v>
      </c>
      <c r="H37" t="e">
        <f t="shared" si="8"/>
        <v>#DIV/0!</v>
      </c>
      <c r="I37" t="e">
        <f t="shared" si="8"/>
        <v>#DIV/0!</v>
      </c>
      <c r="J37" t="e">
        <f t="shared" si="8"/>
        <v>#DIV/0!</v>
      </c>
      <c r="K37">
        <f t="shared" si="8"/>
        <v>0</v>
      </c>
      <c r="L37">
        <f t="shared" si="8"/>
        <v>0</v>
      </c>
      <c r="M37">
        <f t="shared" si="8"/>
        <v>0</v>
      </c>
      <c r="N37">
        <f t="shared" si="8"/>
        <v>0</v>
      </c>
      <c r="O37">
        <f t="shared" si="8"/>
        <v>0</v>
      </c>
    </row>
    <row r="38" spans="2:15">
      <c r="B38" s="45"/>
      <c r="C38" s="30" t="s">
        <v>376</v>
      </c>
      <c r="D38">
        <f>IF(D11&lt;=$R$14,D24/D32,0)</f>
        <v>0</v>
      </c>
      <c r="E38" t="e">
        <f t="shared" ref="E38:O38" si="9">IF(E11&lt;=$R$14,E24/E32,0)</f>
        <v>#DIV/0!</v>
      </c>
      <c r="F38" t="e">
        <f t="shared" si="9"/>
        <v>#DIV/0!</v>
      </c>
      <c r="G38" t="e">
        <f t="shared" si="9"/>
        <v>#DIV/0!</v>
      </c>
      <c r="H38" t="e">
        <f t="shared" si="9"/>
        <v>#DIV/0!</v>
      </c>
      <c r="I38" t="e">
        <f t="shared" si="9"/>
        <v>#DIV/0!</v>
      </c>
      <c r="J38" t="e">
        <f t="shared" si="9"/>
        <v>#DIV/0!</v>
      </c>
      <c r="K38">
        <f t="shared" si="9"/>
        <v>0</v>
      </c>
      <c r="L38">
        <f t="shared" si="9"/>
        <v>0</v>
      </c>
      <c r="M38">
        <f t="shared" si="9"/>
        <v>0</v>
      </c>
      <c r="N38">
        <f t="shared" si="9"/>
        <v>0</v>
      </c>
      <c r="O38">
        <f t="shared" si="9"/>
        <v>0</v>
      </c>
    </row>
    <row r="39" spans="2:15">
      <c r="C39" s="30" t="s">
        <v>377</v>
      </c>
      <c r="D39">
        <f>IF(D11&lt;=$R$14,D33+D34+D37+D38,0)</f>
        <v>0</v>
      </c>
      <c r="E39" t="e">
        <f t="shared" ref="E39:O39" si="10">IF(E11&lt;=$R$14,E33+E34+E37+E38,0)</f>
        <v>#DIV/0!</v>
      </c>
      <c r="F39" t="e">
        <f t="shared" si="10"/>
        <v>#DIV/0!</v>
      </c>
      <c r="G39" t="e">
        <f t="shared" si="10"/>
        <v>#DIV/0!</v>
      </c>
      <c r="H39" t="e">
        <f t="shared" si="10"/>
        <v>#DIV/0!</v>
      </c>
      <c r="I39" t="e">
        <f t="shared" si="10"/>
        <v>#DIV/0!</v>
      </c>
      <c r="J39" t="e">
        <f t="shared" si="10"/>
        <v>#DIV/0!</v>
      </c>
      <c r="K39">
        <f t="shared" si="10"/>
        <v>0</v>
      </c>
      <c r="L39">
        <f t="shared" si="10"/>
        <v>0</v>
      </c>
      <c r="M39">
        <f t="shared" si="10"/>
        <v>0</v>
      </c>
      <c r="N39">
        <f t="shared" si="10"/>
        <v>0</v>
      </c>
      <c r="O39">
        <f t="shared" si="10"/>
        <v>0</v>
      </c>
    </row>
    <row r="40" spans="2:15" s="422" customFormat="1">
      <c r="B40" s="139" t="s">
        <v>872</v>
      </c>
      <c r="C40" s="30" t="s">
        <v>873</v>
      </c>
      <c r="D40" s="422">
        <f>IFERROR(GETPIVOTDATA("[Measures].[Somme de Demande_jour]",TCD_Conso!$B$3,"[Tab_concat].[Type]","[Tab_concat].[Type].&amp;[Consommation]","[Tab_concat].[Detail usage]","[Tab_concat].[Detail usage].&amp;[General EF]","[Tab_concat].[Annee]","[Tab_concat].[Annee].&amp;["&amp;D11&amp;"]"),0)</f>
        <v>0</v>
      </c>
      <c r="E40" s="422">
        <f>IFERROR(GETPIVOTDATA("[Measures].[Somme de Demande_jour]",TCD_Conso!$B$3,"[Tab_concat].[Type]","[Tab_concat].[Type].&amp;[Consommation]","[Tab_concat].[Detail usage]","[Tab_concat].[Detail usage].&amp;[General EF]","[Tab_concat].[Annee]","[Tab_concat].[Annee].&amp;["&amp;E11&amp;"]"),0)</f>
        <v>85.225597383774968</v>
      </c>
      <c r="F40" s="422">
        <f>IFERROR(GETPIVOTDATA("[Measures].[Somme de Demande_jour]",TCD_Conso!$B$3,"[Tab_concat].[Type]","[Tab_concat].[Type].&amp;[Consommation]","[Tab_concat].[Detail usage]","[Tab_concat].[Detail usage].&amp;[General EF]","[Tab_concat].[Annee]","[Tab_concat].[Annee].&amp;["&amp;F11&amp;"]"),0)</f>
        <v>32.901408450704224</v>
      </c>
      <c r="G40" s="422">
        <f>IFERROR(GETPIVOTDATA("[Measures].[Somme de Demande_jour]",TCD_Conso!$B$3,"[Tab_concat].[Type]","[Tab_concat].[Type].&amp;[Consommation]","[Tab_concat].[Detail usage]","[Tab_concat].[Detail usage].&amp;[General EF]","[Tab_concat].[Annee]","[Tab_concat].[Annee].&amp;["&amp;G11&amp;"]"),0)</f>
        <v>44.258366197183101</v>
      </c>
      <c r="H40" s="422">
        <f>IFERROR(GETPIVOTDATA("[Measures].[Somme de Demande_jour]",TCD_Conso!$B$3,"[Tab_concat].[Type]","[Tab_concat].[Type].&amp;[Consommation]","[Tab_concat].[Detail usage]","[Tab_concat].[Detail usage].&amp;[General EF]","[Tab_concat].[Annee]","[Tab_concat].[Annee].&amp;["&amp;H11&amp;"]"),0)</f>
        <v>70.169333333333327</v>
      </c>
      <c r="I40" s="422">
        <f>IFERROR(GETPIVOTDATA("[Measures].[Somme de Demande_jour]",TCD_Conso!$B$3,"[Tab_concat].[Type]","[Tab_concat].[Type].&amp;[Consommation]","[Tab_concat].[Detail usage]","[Tab_concat].[Detail usage].&amp;[General EF]","[Tab_concat].[Annee]","[Tab_concat].[Annee].&amp;["&amp;I11&amp;"]"),0)</f>
        <v>81.668189509306259</v>
      </c>
      <c r="J40" s="422">
        <f>IFERROR(GETPIVOTDATA("[Measures].[Somme de Demande_jour]",TCD_Conso!$B$3,"[Tab_concat].[Type]","[Tab_concat].[Type].&amp;[Consommation]","[Tab_concat].[Detail usage]","[Tab_concat].[Detail usage].&amp;[General EF]","[Tab_concat].[Annee]","[Tab_concat].[Annee].&amp;["&amp;J11&amp;"]"),0)</f>
        <v>68.898477157360404</v>
      </c>
      <c r="K40" s="422">
        <f>IFERROR(GETPIVOTDATA("[Measures].[Somme de Demande_jour]",TCD_Conso!$B$3,"[Tab_concat].[Type]","[Tab_concat].[Type].&amp;[Consommation]","[Tab_concat].[Detail usage]","[Tab_concat].[Detail usage].&amp;[General EF]","[Tab_concat].[Annee]","[Tab_concat].[Annee].&amp;["&amp;K11&amp;"]"),0)</f>
        <v>0</v>
      </c>
      <c r="L40" s="422">
        <f>IFERROR(GETPIVOTDATA("[Measures].[Somme de Demande_jour]",TCD_Conso!$B$3,"[Tab_concat].[Type]","[Tab_concat].[Type].&amp;[Consommation]","[Tab_concat].[Detail usage]","[Tab_concat].[Detail usage].&amp;[General EF]","[Tab_concat].[Annee]","[Tab_concat].[Annee].&amp;["&amp;L11&amp;"]"),0)</f>
        <v>0</v>
      </c>
      <c r="M40" s="422">
        <f>IFERROR(GETPIVOTDATA("[Measures].[Somme de Demande_jour]",TCD_Conso!$B$3,"[Tab_concat].[Type]","[Tab_concat].[Type].&amp;[Consommation]","[Tab_concat].[Detail usage]","[Tab_concat].[Detail usage].&amp;[General EF]","[Tab_concat].[Annee]","[Tab_concat].[Annee].&amp;["&amp;M11&amp;"]"),0)</f>
        <v>0</v>
      </c>
      <c r="N40" s="422">
        <f>IFERROR(GETPIVOTDATA("[Measures].[Somme de Demande_jour]",TCD_Conso!$B$3,"[Tab_concat].[Type]","[Tab_concat].[Type].&amp;[Consommation]","[Tab_concat].[Detail usage]","[Tab_concat].[Detail usage].&amp;[General EF]","[Tab_concat].[Annee]","[Tab_concat].[Annee].&amp;["&amp;N11&amp;"]"),0)</f>
        <v>0</v>
      </c>
      <c r="O40" s="422">
        <f>IFERROR(GETPIVOTDATA("[Measures].[Somme de Demande_jour]",TCD_Conso!$B$3,"[Tab_concat].[Type]","[Tab_concat].[Type].&amp;[Consommation]","[Tab_concat].[Detail usage]","[Tab_concat].[Detail usage].&amp;[General EF]","[Tab_concat].[Annee]","[Tab_concat].[Annee].&amp;["&amp;O11&amp;"]"),0)</f>
        <v>0</v>
      </c>
    </row>
    <row r="42" spans="2:15">
      <c r="C42" t="s">
        <v>348</v>
      </c>
      <c r="D42">
        <f>$R$9</f>
        <v>0</v>
      </c>
      <c r="E42">
        <f t="shared" ref="E42:O42" si="11">$R$9</f>
        <v>0</v>
      </c>
      <c r="F42">
        <f t="shared" si="11"/>
        <v>0</v>
      </c>
      <c r="G42">
        <f t="shared" si="11"/>
        <v>0</v>
      </c>
      <c r="H42">
        <f t="shared" si="11"/>
        <v>0</v>
      </c>
      <c r="I42">
        <f t="shared" si="11"/>
        <v>0</v>
      </c>
      <c r="J42">
        <f t="shared" si="11"/>
        <v>0</v>
      </c>
      <c r="K42">
        <f t="shared" si="11"/>
        <v>0</v>
      </c>
      <c r="L42">
        <f t="shared" si="11"/>
        <v>0</v>
      </c>
      <c r="M42">
        <f t="shared" si="11"/>
        <v>0</v>
      </c>
      <c r="N42">
        <f t="shared" si="11"/>
        <v>0</v>
      </c>
      <c r="O42">
        <f t="shared" si="11"/>
        <v>0</v>
      </c>
    </row>
    <row r="43" spans="2:15">
      <c r="C43" s="30" t="s">
        <v>378</v>
      </c>
      <c r="D43" s="49">
        <f>E43</f>
        <v>0</v>
      </c>
      <c r="E43" s="47">
        <f>IF(E44*0.9&lt;$R$9,$R$9,E44*0.9)</f>
        <v>0</v>
      </c>
      <c r="F43" s="47">
        <f t="shared" ref="F43:O43" si="12">IF(F44*0.9&lt;$R$9,$R$9,F44*0.9)</f>
        <v>0</v>
      </c>
      <c r="G43" s="47">
        <f t="shared" si="12"/>
        <v>0</v>
      </c>
      <c r="H43" s="47">
        <f t="shared" si="12"/>
        <v>0</v>
      </c>
      <c r="I43" s="47">
        <f t="shared" si="12"/>
        <v>0</v>
      </c>
      <c r="J43" s="47">
        <f t="shared" si="12"/>
        <v>0</v>
      </c>
      <c r="K43" s="47">
        <f t="shared" si="12"/>
        <v>0</v>
      </c>
      <c r="L43" s="47">
        <f t="shared" si="12"/>
        <v>0</v>
      </c>
      <c r="M43" s="47">
        <f t="shared" si="12"/>
        <v>0</v>
      </c>
      <c r="N43" s="47">
        <f t="shared" si="12"/>
        <v>0</v>
      </c>
      <c r="O43" s="47">
        <f t="shared" si="12"/>
        <v>0</v>
      </c>
    </row>
    <row r="44" spans="2:15">
      <c r="C44" s="30" t="s">
        <v>379</v>
      </c>
      <c r="D44">
        <f>R8</f>
        <v>0</v>
      </c>
      <c r="E44">
        <f>R8</f>
        <v>0</v>
      </c>
      <c r="F44" s="48">
        <f t="shared" ref="F44:O44" si="13">($R$9-$R$8)/($O$11-$E$11)*(F11-$E$11)+$E$44</f>
        <v>0</v>
      </c>
      <c r="G44" s="48">
        <f t="shared" si="13"/>
        <v>0</v>
      </c>
      <c r="H44" s="48">
        <f t="shared" si="13"/>
        <v>0</v>
      </c>
      <c r="I44" s="48">
        <f t="shared" si="13"/>
        <v>0</v>
      </c>
      <c r="J44" s="48">
        <f t="shared" si="13"/>
        <v>0</v>
      </c>
      <c r="K44" s="48">
        <f t="shared" si="13"/>
        <v>0</v>
      </c>
      <c r="L44" s="48">
        <f t="shared" si="13"/>
        <v>0</v>
      </c>
      <c r="M44" s="48">
        <f t="shared" si="13"/>
        <v>0</v>
      </c>
      <c r="N44" s="48">
        <f t="shared" si="13"/>
        <v>0</v>
      </c>
      <c r="O44" s="48">
        <f t="shared" si="13"/>
        <v>0</v>
      </c>
    </row>
    <row r="45" spans="2:15">
      <c r="C45" s="30" t="s">
        <v>380</v>
      </c>
      <c r="D45" s="49">
        <f>E45</f>
        <v>0</v>
      </c>
      <c r="E45" s="47">
        <f t="shared" ref="E45:O45" si="14">IF(1.1*E44 &gt;$R$8,$R$8,1.1*E44)</f>
        <v>0</v>
      </c>
      <c r="F45" s="47">
        <f t="shared" si="14"/>
        <v>0</v>
      </c>
      <c r="G45" s="47">
        <f t="shared" si="14"/>
        <v>0</v>
      </c>
      <c r="H45" s="47">
        <f t="shared" si="14"/>
        <v>0</v>
      </c>
      <c r="I45" s="47">
        <f t="shared" si="14"/>
        <v>0</v>
      </c>
      <c r="J45" s="47">
        <f t="shared" si="14"/>
        <v>0</v>
      </c>
      <c r="K45" s="47">
        <f t="shared" si="14"/>
        <v>0</v>
      </c>
      <c r="L45" s="47">
        <f t="shared" si="14"/>
        <v>0</v>
      </c>
      <c r="M45" s="47">
        <f t="shared" si="14"/>
        <v>0</v>
      </c>
      <c r="N45" s="47">
        <f t="shared" si="14"/>
        <v>0</v>
      </c>
      <c r="O45" s="47">
        <f t="shared" si="14"/>
        <v>0</v>
      </c>
    </row>
    <row r="46" spans="2:15">
      <c r="C46" s="30" t="s">
        <v>381</v>
      </c>
      <c r="D46">
        <f>$R$8</f>
        <v>0</v>
      </c>
      <c r="E46">
        <f t="shared" ref="E46:O46" si="15">$R$8</f>
        <v>0</v>
      </c>
      <c r="F46">
        <f t="shared" si="15"/>
        <v>0</v>
      </c>
      <c r="G46">
        <f t="shared" si="15"/>
        <v>0</v>
      </c>
      <c r="H46">
        <f t="shared" si="15"/>
        <v>0</v>
      </c>
      <c r="I46">
        <f t="shared" si="15"/>
        <v>0</v>
      </c>
      <c r="J46">
        <f t="shared" si="15"/>
        <v>0</v>
      </c>
      <c r="K46">
        <f t="shared" si="15"/>
        <v>0</v>
      </c>
      <c r="L46">
        <f t="shared" si="15"/>
        <v>0</v>
      </c>
      <c r="M46">
        <f t="shared" si="15"/>
        <v>0</v>
      </c>
      <c r="N46">
        <f t="shared" si="15"/>
        <v>0</v>
      </c>
      <c r="O46">
        <f t="shared" si="15"/>
        <v>0</v>
      </c>
    </row>
    <row r="47" spans="2:15">
      <c r="C47" s="30" t="s">
        <v>382</v>
      </c>
      <c r="D47">
        <f>D46+50</f>
        <v>50</v>
      </c>
      <c r="E47">
        <f t="shared" ref="E47:O47" si="16">E46+50</f>
        <v>50</v>
      </c>
      <c r="F47">
        <f t="shared" si="16"/>
        <v>50</v>
      </c>
      <c r="G47">
        <f t="shared" si="16"/>
        <v>50</v>
      </c>
      <c r="H47">
        <f t="shared" si="16"/>
        <v>50</v>
      </c>
      <c r="I47">
        <f t="shared" si="16"/>
        <v>50</v>
      </c>
      <c r="J47">
        <f t="shared" si="16"/>
        <v>50</v>
      </c>
      <c r="K47">
        <f t="shared" si="16"/>
        <v>50</v>
      </c>
      <c r="L47">
        <f t="shared" si="16"/>
        <v>50</v>
      </c>
      <c r="M47">
        <f t="shared" si="16"/>
        <v>50</v>
      </c>
      <c r="N47">
        <f t="shared" si="16"/>
        <v>50</v>
      </c>
      <c r="O47">
        <f t="shared" si="16"/>
        <v>50</v>
      </c>
    </row>
    <row r="48" spans="2:15">
      <c r="C48" s="30" t="s">
        <v>13</v>
      </c>
      <c r="D48" t="e">
        <f>VLOOKUP(D11,Site!$B$8:$H$23,7,FALSE)</f>
        <v>#N/A</v>
      </c>
      <c r="E48" t="str">
        <f>VLOOKUP(E11,Site!$B$8:$H$23,7,FALSE)</f>
        <v/>
      </c>
      <c r="F48" t="str">
        <f>VLOOKUP(F11,Site!$B$8:$H$23,7,FALSE)</f>
        <v/>
      </c>
      <c r="G48" t="str">
        <f>VLOOKUP(G11,Site!$B$8:$H$23,7,FALSE)</f>
        <v/>
      </c>
      <c r="H48" t="str">
        <f>VLOOKUP(H11,Site!$B$8:$H$23,7,FALSE)</f>
        <v/>
      </c>
      <c r="I48" t="str">
        <f>VLOOKUP(I11,Site!$B$8:$H$23,7,FALSE)</f>
        <v/>
      </c>
      <c r="J48" t="str">
        <f>VLOOKUP(J11,Site!$B$8:$H$23,7,FALSE)</f>
        <v/>
      </c>
      <c r="K48" t="str">
        <f>J48</f>
        <v/>
      </c>
      <c r="L48" t="str">
        <f>K48</f>
        <v/>
      </c>
      <c r="M48" t="str">
        <f>L48</f>
        <v/>
      </c>
      <c r="N48" t="str">
        <f>M48</f>
        <v/>
      </c>
      <c r="O48" t="str">
        <f>N48</f>
        <v/>
      </c>
    </row>
    <row r="50" spans="2:16">
      <c r="C50" s="30" t="s">
        <v>383</v>
      </c>
      <c r="D50" s="51">
        <f>IF(D11&lt;=$R$14,(D15-$G$3)/$G$3,0)</f>
        <v>0</v>
      </c>
      <c r="E50" s="51">
        <f t="shared" ref="E50:O50" si="17">IF(E11&lt;=$R$14,(E15-$G$3)/$G$3,0)</f>
        <v>-9.4892392284892005E-2</v>
      </c>
      <c r="F50" s="51">
        <f t="shared" si="17"/>
        <v>2.9683405644572322E-2</v>
      </c>
      <c r="G50" s="51">
        <f t="shared" si="17"/>
        <v>-0.10348382662485506</v>
      </c>
      <c r="H50" s="51">
        <f t="shared" si="17"/>
        <v>-0.12925812964474423</v>
      </c>
      <c r="I50" s="51">
        <f t="shared" si="17"/>
        <v>-7.0406804415997282E-2</v>
      </c>
      <c r="J50" s="51">
        <f t="shared" si="17"/>
        <v>-7.4272949868980656E-2</v>
      </c>
      <c r="K50" s="51">
        <f t="shared" si="17"/>
        <v>0</v>
      </c>
      <c r="L50" s="51">
        <f t="shared" si="17"/>
        <v>0</v>
      </c>
      <c r="M50" s="51">
        <f t="shared" si="17"/>
        <v>0</v>
      </c>
      <c r="N50" s="51">
        <f t="shared" si="17"/>
        <v>0</v>
      </c>
      <c r="O50" s="51">
        <f t="shared" si="17"/>
        <v>0</v>
      </c>
    </row>
    <row r="51" spans="2:16">
      <c r="C51" s="30" t="s">
        <v>384</v>
      </c>
      <c r="D51" s="51">
        <f>IF(D50&lt;0,"",D50)</f>
        <v>0</v>
      </c>
      <c r="E51" s="51" t="str">
        <f t="shared" ref="E51:O51" si="18">IF(E50&lt;0,"",E50)</f>
        <v/>
      </c>
      <c r="F51" s="51">
        <f t="shared" si="18"/>
        <v>2.9683405644572322E-2</v>
      </c>
      <c r="G51" s="51" t="str">
        <f t="shared" si="18"/>
        <v/>
      </c>
      <c r="H51" s="51" t="str">
        <f t="shared" si="18"/>
        <v/>
      </c>
      <c r="I51" s="51" t="str">
        <f t="shared" si="18"/>
        <v/>
      </c>
      <c r="J51" s="51" t="str">
        <f t="shared" si="18"/>
        <v/>
      </c>
      <c r="K51" s="51">
        <f t="shared" si="18"/>
        <v>0</v>
      </c>
      <c r="L51" s="51">
        <f t="shared" si="18"/>
        <v>0</v>
      </c>
      <c r="M51" s="51">
        <f t="shared" si="18"/>
        <v>0</v>
      </c>
      <c r="N51" s="51">
        <f t="shared" si="18"/>
        <v>0</v>
      </c>
      <c r="O51" s="51">
        <f t="shared" si="18"/>
        <v>0</v>
      </c>
    </row>
    <row r="52" spans="2:16">
      <c r="C52" s="30" t="s">
        <v>385</v>
      </c>
      <c r="D52" s="51">
        <f>IF(D50&gt;0,"",D50)</f>
        <v>0</v>
      </c>
      <c r="E52" s="51">
        <f t="shared" ref="E52:O52" si="19">IF(E50&gt;0,"",E50)</f>
        <v>-9.4892392284892005E-2</v>
      </c>
      <c r="F52" s="51" t="str">
        <f t="shared" si="19"/>
        <v/>
      </c>
      <c r="G52" s="51">
        <f t="shared" si="19"/>
        <v>-0.10348382662485506</v>
      </c>
      <c r="H52" s="51">
        <f t="shared" si="19"/>
        <v>-0.12925812964474423</v>
      </c>
      <c r="I52" s="51">
        <f t="shared" si="19"/>
        <v>-7.0406804415997282E-2</v>
      </c>
      <c r="J52" s="51">
        <f t="shared" si="19"/>
        <v>-7.4272949868980656E-2</v>
      </c>
      <c r="K52" s="51">
        <f t="shared" si="19"/>
        <v>0</v>
      </c>
      <c r="L52" s="51">
        <f t="shared" si="19"/>
        <v>0</v>
      </c>
      <c r="M52" s="51">
        <f t="shared" si="19"/>
        <v>0</v>
      </c>
      <c r="N52" s="51">
        <f t="shared" si="19"/>
        <v>0</v>
      </c>
      <c r="O52" s="51">
        <f t="shared" si="19"/>
        <v>0</v>
      </c>
    </row>
    <row r="54" spans="2:16">
      <c r="B54" s="29" t="s">
        <v>7</v>
      </c>
      <c r="D54">
        <v>2010</v>
      </c>
      <c r="E54">
        <v>2011</v>
      </c>
      <c r="F54">
        <v>2012</v>
      </c>
      <c r="G54">
        <v>2013</v>
      </c>
      <c r="H54">
        <v>2014</v>
      </c>
      <c r="I54">
        <v>2015</v>
      </c>
      <c r="J54">
        <v>2016</v>
      </c>
      <c r="K54">
        <v>2017</v>
      </c>
      <c r="L54">
        <v>2018</v>
      </c>
      <c r="M54">
        <v>2019</v>
      </c>
      <c r="N54">
        <v>2020</v>
      </c>
      <c r="O54">
        <v>2021</v>
      </c>
      <c r="P54">
        <v>2022</v>
      </c>
    </row>
    <row r="55" spans="2:16">
      <c r="B55" s="731" t="s">
        <v>27</v>
      </c>
      <c r="C55" t="s">
        <v>28</v>
      </c>
      <c r="D55" s="405">
        <f>IFERROR(GETPIVOTDATA("[Measures].[Somme de Conso_kWh_DEET]",TCD_Conso!$B$3,"[Tab_concat].[Type]","[Tab_concat].[Type].&amp;[Consommation]","[Tab_concat].[Detail usage]","[Tab_concat].[Detail usage].&amp;["&amp;$C55&amp;"]","[Tab_concat].[Annee]","[Tab_concat].[Annee].&amp;["&amp;D$54&amp;"]"),0)</f>
        <v>0</v>
      </c>
      <c r="E55" s="399">
        <f>IFERROR(GETPIVOTDATA("[Measures].[Somme de Conso_kWh_DEET]",TCD_Conso!$B$3,"[Tab_concat].[Type]","[Tab_concat].[Type].&amp;[Consommation]","[Tab_concat].[Detail usage]","[Tab_concat].[Detail usage].&amp;["&amp;$C55&amp;"]","[Tab_concat].[Annee]","[Tab_concat].[Annee].&amp;["&amp;E$54&amp;"]"),0)</f>
        <v>3584.2950034223131</v>
      </c>
      <c r="F55" s="399">
        <f>IFERROR(GETPIVOTDATA("[Measures].[Somme de Conso_kWh_DEET]",TCD_Conso!$B$3,"[Tab_concat].[Type]","[Tab_concat].[Type].&amp;[Consommation]","[Tab_concat].[Detail usage]","[Tab_concat].[Detail usage].&amp;["&amp;$C55&amp;"]","[Tab_concat].[Annee]","[Tab_concat].[Annee].&amp;["&amp;F$54&amp;"]"),0)</f>
        <v>3594.1149897330597</v>
      </c>
      <c r="G55" s="399">
        <f>IFERROR(GETPIVOTDATA("[Measures].[Somme de Conso_kWh_DEET]",TCD_Conso!$B$3,"[Tab_concat].[Type]","[Tab_concat].[Type].&amp;[Consommation]","[Tab_concat].[Detail usage]","[Tab_concat].[Detail usage].&amp;["&amp;$C55&amp;"]","[Tab_concat].[Annee]","[Tab_concat].[Annee].&amp;["&amp;G$54&amp;"]"),0)</f>
        <v>3584.2950034223131</v>
      </c>
      <c r="H55" s="399">
        <f>IFERROR(GETPIVOTDATA("[Measures].[Somme de Conso_kWh_DEET]",TCD_Conso!$B$3,"[Tab_concat].[Type]","[Tab_concat].[Type].&amp;[Consommation]","[Tab_concat].[Detail usage]","[Tab_concat].[Detail usage].&amp;["&amp;$C55&amp;"]","[Tab_concat].[Annee]","[Tab_concat].[Annee].&amp;["&amp;H$54&amp;"]"),0)</f>
        <v>3584.2950034223131</v>
      </c>
      <c r="I55" s="399">
        <f>IFERROR(GETPIVOTDATA("[Measures].[Somme de Conso_kWh_DEET]",TCD_Conso!$B$3,"[Tab_concat].[Type]","[Tab_concat].[Type].&amp;[Consommation]","[Tab_concat].[Detail usage]","[Tab_concat].[Detail usage].&amp;["&amp;$C55&amp;"]","[Tab_concat].[Annee]","[Tab_concat].[Annee].&amp;["&amp;I$54&amp;"]"),0)</f>
        <v>14756</v>
      </c>
      <c r="J55" s="399">
        <f>IFERROR(GETPIVOTDATA("[Measures].[Somme de Conso_kWh_DEET]",TCD_Conso!$B$3,"[Tab_concat].[Type]","[Tab_concat].[Type].&amp;[Consommation]","[Tab_concat].[Detail usage]","[Tab_concat].[Detail usage].&amp;["&amp;$C55&amp;"]","[Tab_concat].[Annee]","[Tab_concat].[Annee].&amp;["&amp;J$54&amp;"]"),0)</f>
        <v>14145.000000000002</v>
      </c>
      <c r="K55" s="399">
        <f>IFERROR(GETPIVOTDATA("[Measures].[Somme de Conso_kWh_DEET]",TCD_Conso!$B$3,"[Tab_concat].[Type]","[Tab_concat].[Type].&amp;[Consommation]","[Tab_concat].[Detail usage]","[Tab_concat].[Detail usage].&amp;["&amp;$C55&amp;"]","[Tab_concat].[Annee]","[Tab_concat].[Annee].&amp;["&amp;K$54&amp;"]"),0)</f>
        <v>13931</v>
      </c>
      <c r="L55" s="399">
        <f>IFERROR(GETPIVOTDATA("[Measures].[Somme de Conso_kWh_DEET]",TCD_Conso!$B$3,"[Tab_concat].[Type]","[Tab_concat].[Type].&amp;[Consommation]","[Tab_concat].[Detail usage]","[Tab_concat].[Detail usage].&amp;["&amp;$C55&amp;"]","[Tab_concat].[Annee]","[Tab_concat].[Annee].&amp;["&amp;L$54&amp;"]"),0)</f>
        <v>13397</v>
      </c>
      <c r="M55" s="399">
        <f>IFERROR(GETPIVOTDATA("[Measures].[Somme de Conso_kWh_DEET]",TCD_Conso!$B$3,"[Tab_concat].[Type]","[Tab_concat].[Type].&amp;[Consommation]","[Tab_concat].[Detail usage]","[Tab_concat].[Detail usage].&amp;["&amp;$C55&amp;"]","[Tab_concat].[Annee]","[Tab_concat].[Annee].&amp;["&amp;M$54&amp;"]"),0)</f>
        <v>13714</v>
      </c>
      <c r="N55" s="399">
        <f>IFERROR(GETPIVOTDATA("[Measures].[Somme de Conso_kWh_DEET]",TCD_Conso!$B$3,"[Tab_concat].[Type]","[Tab_concat].[Type].&amp;[Consommation]","[Tab_concat].[Detail usage]","[Tab_concat].[Detail usage].&amp;["&amp;$C55&amp;"]","[Tab_concat].[Annee]","[Tab_concat].[Annee].&amp;["&amp;N$54&amp;"]"),0)</f>
        <v>13205.347107438012</v>
      </c>
      <c r="O55" s="399">
        <f>IFERROR(GETPIVOTDATA("[Measures].[Somme de Conso_kWh_DEET]",TCD_Conso!$B$3,"[Tab_concat].[Type]","[Tab_concat].[Type].&amp;[Consommation]","[Tab_concat].[Detail usage]","[Tab_concat].[Detail usage].&amp;["&amp;$C55&amp;"]","[Tab_concat].[Annee]","[Tab_concat].[Annee].&amp;["&amp;O$54&amp;"]"),0)</f>
        <v>11671.265795787756</v>
      </c>
      <c r="P55" s="399">
        <f>IFERROR(GETPIVOTDATA("[Measures].[Somme de Conso_kWh_DEET]",TCD_Conso!$B$3,"[Tab_concat].[Type]","[Tab_concat].[Type].&amp;[Consommation]","[Tab_concat].[Detail usage]","[Tab_concat].[Detail usage].&amp;["&amp;$C55&amp;"]","[Tab_concat].[Annee]","[Tab_concat].[Annee].&amp;["&amp;P$54&amp;"]"),0)</f>
        <v>13221.903225806447</v>
      </c>
    </row>
    <row r="56" spans="2:16">
      <c r="B56" s="732"/>
      <c r="C56" t="s">
        <v>152</v>
      </c>
      <c r="D56" s="399">
        <f>IFERROR(GETPIVOTDATA("[Measures].[Somme de Conso_kWh_DEET]",TCD_Conso!$B$3,"[Tab_concat].[Type]","[Tab_concat].[Type].&amp;[Consommation]","[Tab_concat].[Detail usage]","[Tab_concat].[Detail usage].&amp;["&amp;$C56&amp;"]","[Tab_concat].[Annee]","[Tab_concat].[Annee].&amp;["&amp;D$54&amp;"]"),0)</f>
        <v>0</v>
      </c>
      <c r="E56" s="399">
        <f>IFERROR(GETPIVOTDATA("[Measures].[Somme de Conso_kWh_DEET]",TCD_Conso!$B$3,"[Tab_concat].[Type]","[Tab_concat].[Type].&amp;[Consommation]","[Tab_concat].[Detail usage]","[Tab_concat].[Detail usage].&amp;["&amp;$C56&amp;"]","[Tab_concat].[Annee]","[Tab_concat].[Annee].&amp;["&amp;E$54&amp;"]"),0)</f>
        <v>0</v>
      </c>
      <c r="F56" s="399">
        <f>IFERROR(GETPIVOTDATA("[Measures].[Somme de Conso_kWh_DEET]",TCD_Conso!$B$3,"[Tab_concat].[Type]","[Tab_concat].[Type].&amp;[Consommation]","[Tab_concat].[Detail usage]","[Tab_concat].[Detail usage].&amp;["&amp;$C56&amp;"]","[Tab_concat].[Annee]","[Tab_concat].[Annee].&amp;["&amp;F$54&amp;"]"),0)</f>
        <v>0</v>
      </c>
      <c r="G56" s="399">
        <f>IFERROR(GETPIVOTDATA("[Measures].[Somme de Conso_kWh_DEET]",TCD_Conso!$B$3,"[Tab_concat].[Type]","[Tab_concat].[Type].&amp;[Consommation]","[Tab_concat].[Detail usage]","[Tab_concat].[Detail usage].&amp;["&amp;$C56&amp;"]","[Tab_concat].[Annee]","[Tab_concat].[Annee].&amp;["&amp;G$54&amp;"]"),0)</f>
        <v>0</v>
      </c>
      <c r="H56" s="399">
        <f>IFERROR(GETPIVOTDATA("[Measures].[Somme de Conso_kWh_DEET]",TCD_Conso!$B$3,"[Tab_concat].[Type]","[Tab_concat].[Type].&amp;[Consommation]","[Tab_concat].[Detail usage]","[Tab_concat].[Detail usage].&amp;["&amp;$C56&amp;"]","[Tab_concat].[Annee]","[Tab_concat].[Annee].&amp;["&amp;H$54&amp;"]"),0)</f>
        <v>0</v>
      </c>
      <c r="I56" s="399">
        <f>IFERROR(GETPIVOTDATA("[Measures].[Somme de Conso_kWh_DEET]",TCD_Conso!$B$3,"[Tab_concat].[Type]","[Tab_concat].[Type].&amp;[Consommation]","[Tab_concat].[Detail usage]","[Tab_concat].[Detail usage].&amp;["&amp;$C56&amp;"]","[Tab_concat].[Annee]","[Tab_concat].[Annee].&amp;["&amp;I$54&amp;"]"),0)</f>
        <v>0</v>
      </c>
      <c r="J56" s="399">
        <f>IFERROR(GETPIVOTDATA("[Measures].[Somme de Conso_kWh_DEET]",TCD_Conso!$B$3,"[Tab_concat].[Type]","[Tab_concat].[Type].&amp;[Consommation]","[Tab_concat].[Detail usage]","[Tab_concat].[Detail usage].&amp;["&amp;$C56&amp;"]","[Tab_concat].[Annee]","[Tab_concat].[Annee].&amp;["&amp;J$54&amp;"]"),0)</f>
        <v>0</v>
      </c>
      <c r="K56" s="399">
        <f>IFERROR(GETPIVOTDATA("[Measures].[Somme de Conso_kWh_DEET]",TCD_Conso!$B$3,"[Tab_concat].[Type]","[Tab_concat].[Type].&amp;[Consommation]","[Tab_concat].[Detail usage]","[Tab_concat].[Detail usage].&amp;["&amp;$C56&amp;"]","[Tab_concat].[Annee]","[Tab_concat].[Annee].&amp;["&amp;K$54&amp;"]"),0)</f>
        <v>0</v>
      </c>
      <c r="L56" s="399">
        <f>IFERROR(GETPIVOTDATA("[Measures].[Somme de Conso_kWh_DEET]",TCD_Conso!$B$3,"[Tab_concat].[Type]","[Tab_concat].[Type].&amp;[Consommation]","[Tab_concat].[Detail usage]","[Tab_concat].[Detail usage].&amp;["&amp;$C56&amp;"]","[Tab_concat].[Annee]","[Tab_concat].[Annee].&amp;["&amp;L$54&amp;"]"),0)</f>
        <v>0</v>
      </c>
      <c r="M56" s="399">
        <f>IFERROR(GETPIVOTDATA("[Measures].[Somme de Conso_kWh_DEET]",TCD_Conso!$B$3,"[Tab_concat].[Type]","[Tab_concat].[Type].&amp;[Consommation]","[Tab_concat].[Detail usage]","[Tab_concat].[Detail usage].&amp;["&amp;$C56&amp;"]","[Tab_concat].[Annee]","[Tab_concat].[Annee].&amp;["&amp;M$54&amp;"]"),0)</f>
        <v>0</v>
      </c>
      <c r="N56" s="399">
        <f>IFERROR(GETPIVOTDATA("[Measures].[Somme de Conso_kWh_DEET]",TCD_Conso!$B$3,"[Tab_concat].[Type]","[Tab_concat].[Type].&amp;[Consommation]","[Tab_concat].[Detail usage]","[Tab_concat].[Detail usage].&amp;["&amp;$C56&amp;"]","[Tab_concat].[Annee]","[Tab_concat].[Annee].&amp;["&amp;N$54&amp;"]"),0)</f>
        <v>0</v>
      </c>
      <c r="O56" s="399">
        <f>IFERROR(GETPIVOTDATA("[Measures].[Somme de Conso_kWh_DEET]",TCD_Conso!$B$3,"[Tab_concat].[Type]","[Tab_concat].[Type].&amp;[Consommation]","[Tab_concat].[Detail usage]","[Tab_concat].[Detail usage].&amp;["&amp;$C56&amp;"]","[Tab_concat].[Annee]","[Tab_concat].[Annee].&amp;["&amp;O$54&amp;"]"),0)</f>
        <v>0</v>
      </c>
      <c r="P56" s="399">
        <f>IFERROR(GETPIVOTDATA("[Measures].[Somme de Conso_kWh_DEET]",TCD_Conso!$B$3,"[Tab_concat].[Type]","[Tab_concat].[Type].&amp;[Consommation]","[Tab_concat].[Detail usage]","[Tab_concat].[Detail usage].&amp;["&amp;$C56&amp;"]","[Tab_concat].[Annee]","[Tab_concat].[Annee].&amp;["&amp;P$54&amp;"]"),0)</f>
        <v>0</v>
      </c>
    </row>
    <row r="57" spans="2:16">
      <c r="B57" s="732"/>
      <c r="C57" s="30" t="s">
        <v>352</v>
      </c>
      <c r="D57" s="405">
        <f t="shared" ref="D57:J57" si="20">IFERROR(D55-D56,"")</f>
        <v>0</v>
      </c>
      <c r="E57">
        <f t="shared" si="20"/>
        <v>3584.2950034223131</v>
      </c>
      <c r="F57">
        <f t="shared" si="20"/>
        <v>3594.1149897330597</v>
      </c>
      <c r="G57">
        <f t="shared" si="20"/>
        <v>3584.2950034223131</v>
      </c>
      <c r="H57">
        <f t="shared" si="20"/>
        <v>3584.2950034223131</v>
      </c>
      <c r="I57">
        <f t="shared" si="20"/>
        <v>14756</v>
      </c>
      <c r="J57">
        <f t="shared" si="20"/>
        <v>14145.000000000002</v>
      </c>
      <c r="K57">
        <f t="shared" ref="K57:P57" si="21">IFERROR(K55-K56,"")</f>
        <v>13931</v>
      </c>
      <c r="L57">
        <f t="shared" si="21"/>
        <v>13397</v>
      </c>
      <c r="M57">
        <f t="shared" si="21"/>
        <v>13714</v>
      </c>
      <c r="N57">
        <f t="shared" si="21"/>
        <v>13205.347107438012</v>
      </c>
      <c r="O57">
        <f t="shared" si="21"/>
        <v>11671.265795787756</v>
      </c>
      <c r="P57">
        <f t="shared" si="21"/>
        <v>13221.903225806447</v>
      </c>
    </row>
    <row r="58" spans="2:16">
      <c r="B58" s="733" t="s">
        <v>354</v>
      </c>
      <c r="C58" s="30" t="s">
        <v>355</v>
      </c>
      <c r="D58">
        <f>ROUND(GETPIVOTDATA("Somme de DJU(chauffagiste)",DJU!$H$13,"annee",D54),0)</f>
        <v>2737</v>
      </c>
      <c r="E58">
        <f>ROUND(GETPIVOTDATA("Somme de DJU(chauffagiste)",DJU!$H$13,"annee",E54),0)</f>
        <v>2132</v>
      </c>
      <c r="F58">
        <f>ROUND(GETPIVOTDATA("Somme de DJU(chauffagiste)",DJU!$H$13,"annee",F54),0)</f>
        <v>2468</v>
      </c>
      <c r="G58">
        <f>ROUND(GETPIVOTDATA("Somme de DJU(chauffagiste)",DJU!$H$13,"annee",G54),0)</f>
        <v>2532</v>
      </c>
      <c r="H58">
        <f>ROUND(GETPIVOTDATA("Somme de DJU(chauffagiste)",DJU!$H$13,"annee",H54),0)</f>
        <v>2096</v>
      </c>
      <c r="I58">
        <f>ROUND(GETPIVOTDATA("Somme de DJU(chauffagiste)",DJU!$H$13,"annee",I54),0)</f>
        <v>2206</v>
      </c>
      <c r="J58">
        <f>ROUND(GETPIVOTDATA("Somme de DJU(chauffagiste)",DJU!$H$13,"annee",J54),0)</f>
        <v>2423</v>
      </c>
      <c r="K58">
        <f>ROUND(GETPIVOTDATA("Somme de DJU(chauffagiste)",DJU!$H$13,"annee",K54),0)</f>
        <v>2247</v>
      </c>
      <c r="L58">
        <f>ROUND(GETPIVOTDATA("Somme de DJU(chauffagiste)",DJU!$H$13,"annee",L54),0)</f>
        <v>2265</v>
      </c>
      <c r="M58">
        <f>ROUND(GETPIVOTDATA("Somme de DJU(chauffagiste)",DJU!$H$13,"annee",M54),0)</f>
        <v>2270</v>
      </c>
      <c r="N58">
        <f>ROUND(GETPIVOTDATA("Somme de DJU(chauffagiste)",DJU!$H$13,"annee",N54),0)</f>
        <v>2107</v>
      </c>
      <c r="O58">
        <f>ROUND(GETPIVOTDATA("Somme de DJU(chauffagiste)",DJU!$H$13,"annee",O54),0)</f>
        <v>2397</v>
      </c>
      <c r="P58">
        <f>ROUND(GETPIVOTDATA("Somme de DJU(chauffagiste)",DJU!$H$13,"annee",P54),0)</f>
        <v>2087</v>
      </c>
    </row>
    <row r="59" spans="2:16">
      <c r="B59" s="733"/>
      <c r="C59" s="30" t="s">
        <v>13</v>
      </c>
      <c r="D59" t="str">
        <f>VLOOKUP(D54,Site!$B$8:$H$23,7,FALSE)</f>
        <v/>
      </c>
      <c r="E59" t="str">
        <f>VLOOKUP(E54,Site!$B$8:$H$23,7,FALSE)</f>
        <v/>
      </c>
      <c r="F59" t="str">
        <f>VLOOKUP(F54,Site!$B$8:$H$23,7,FALSE)</f>
        <v/>
      </c>
      <c r="G59" t="str">
        <f>VLOOKUP(G54,Site!$B$8:$H$23,7,FALSE)</f>
        <v/>
      </c>
      <c r="H59" t="str">
        <f>VLOOKUP(H54,Site!$B$8:$H$23,7,FALSE)</f>
        <v/>
      </c>
      <c r="I59" t="str">
        <f>VLOOKUP(I54,Site!$B$8:$H$23,7,FALSE)</f>
        <v/>
      </c>
      <c r="J59" t="str">
        <f>VLOOKUP(J54,Site!$B$8:$H$23,7,FALSE)</f>
        <v/>
      </c>
      <c r="K59" t="str">
        <f>VLOOKUP(K54,Site!$B$8:$H$23,7,FALSE)</f>
        <v/>
      </c>
      <c r="L59" t="str">
        <f>VLOOKUP(L54,Site!$B$8:$H$23,7,FALSE)</f>
        <v/>
      </c>
      <c r="M59" t="str">
        <f>VLOOKUP(M54,Site!$B$8:$H$23,7,FALSE)</f>
        <v/>
      </c>
      <c r="N59" t="str">
        <f>VLOOKUP(N54,Site!$B$8:$H$23,7,FALSE)</f>
        <v/>
      </c>
      <c r="O59" t="str">
        <f>VLOOKUP(O54,Site!$B$8:$H$23,7,FALSE)</f>
        <v/>
      </c>
      <c r="P59" t="str">
        <f>VLOOKUP(P54,Site!$B$8:$H$23,7,FALSE)</f>
        <v/>
      </c>
    </row>
    <row r="60" spans="2:16">
      <c r="B60" s="733"/>
      <c r="C60" s="30" t="s">
        <v>357</v>
      </c>
      <c r="D60">
        <f>Controle_des_données!$B$34</f>
        <v>2.4699999999999999E-4</v>
      </c>
      <c r="E60">
        <f>Controle_des_données!$B$34</f>
        <v>2.4699999999999999E-4</v>
      </c>
      <c r="F60">
        <f>Controle_des_données!$B$34</f>
        <v>2.4699999999999999E-4</v>
      </c>
      <c r="G60">
        <f>Controle_des_données!$B$34</f>
        <v>2.4699999999999999E-4</v>
      </c>
      <c r="H60">
        <f>Controle_des_données!$B$34</f>
        <v>2.4699999999999999E-4</v>
      </c>
      <c r="I60">
        <f>Controle_des_données!$B$34</f>
        <v>2.4699999999999999E-4</v>
      </c>
      <c r="J60">
        <f>Controle_des_données!$B$34</f>
        <v>2.4699999999999999E-4</v>
      </c>
      <c r="K60">
        <f>Controle_des_données!$B$34</f>
        <v>2.4699999999999999E-4</v>
      </c>
      <c r="L60">
        <f>Controle_des_données!$B$34</f>
        <v>2.4699999999999999E-4</v>
      </c>
      <c r="M60">
        <f>Controle_des_données!$B$34</f>
        <v>2.4699999999999999E-4</v>
      </c>
      <c r="N60">
        <f>Controle_des_données!$B$34</f>
        <v>2.4699999999999999E-4</v>
      </c>
      <c r="O60">
        <f>Controle_des_données!$B$34</f>
        <v>2.4699999999999999E-4</v>
      </c>
      <c r="P60">
        <f>Controle_des_données!$B$34</f>
        <v>2.4699999999999999E-4</v>
      </c>
    </row>
    <row r="61" spans="2:16">
      <c r="B61" s="733"/>
      <c r="C61" s="30" t="s">
        <v>358</v>
      </c>
      <c r="D61">
        <f>VLOOKUP(D54,Site!$B$8:$E$23,3,FALSE)</f>
        <v>0</v>
      </c>
      <c r="E61">
        <f>VLOOKUP(E54,Site!$B$8:$E$23,3,FALSE)</f>
        <v>0</v>
      </c>
      <c r="F61">
        <f>VLOOKUP(F54,Site!$B$8:$E$23,3,FALSE)</f>
        <v>0</v>
      </c>
      <c r="G61">
        <f>VLOOKUP(G54,Site!$B$8:$E$23,3,FALSE)</f>
        <v>0</v>
      </c>
      <c r="H61">
        <f>VLOOKUP(H54,Site!$B$8:$E$23,3,FALSE)</f>
        <v>0</v>
      </c>
      <c r="I61">
        <f>VLOOKUP(I54,Site!$B$8:$E$23,3,FALSE)</f>
        <v>0</v>
      </c>
      <c r="J61">
        <f>VLOOKUP(J54,Site!$B$8:$E$23,3,FALSE)</f>
        <v>0</v>
      </c>
      <c r="K61">
        <f>VLOOKUP(K54,Site!$B$8:$E$23,3,FALSE)</f>
        <v>0</v>
      </c>
      <c r="L61">
        <f>VLOOKUP(L54,Site!$B$8:$E$23,3,FALSE)</f>
        <v>0</v>
      </c>
      <c r="M61">
        <f>VLOOKUP(M54,Site!$B$8:$E$23,3,FALSE)</f>
        <v>0</v>
      </c>
      <c r="N61">
        <f>VLOOKUP(N54,Site!$B$8:$E$23,3,FALSE)</f>
        <v>0</v>
      </c>
      <c r="O61">
        <f>VLOOKUP(O54,Site!$B$8:$E$23,3,FALSE)</f>
        <v>0</v>
      </c>
      <c r="P61">
        <f>VLOOKUP(P54,Site!$B$8:$E$23,3,FALSE)</f>
        <v>0</v>
      </c>
    </row>
    <row r="62" spans="2:16">
      <c r="B62" s="733"/>
      <c r="C62" s="30" t="s">
        <v>360</v>
      </c>
      <c r="D62">
        <f>IFERROR(IF(D70&gt;0,D70*MAX(-0.5,MIN(($G$3-D58)/D58,1)),D61/D75*MIN(D60*D58,1)*(D57+D73)*MAX(-0.5,MIN(($G$3-D58)/D58,1))),0)</f>
        <v>0</v>
      </c>
      <c r="E62">
        <f t="shared" ref="E62:P62" si="22">IFERROR(IF(E70&gt;0,E70*MAX(-0.5,MIN(($G$3-E58)/E58,1)),E61/E75*MIN(E60*E58,1)*(E57+E73)*MAX(-0.5,MIN(($G$3-E58)/E58,1))),0)</f>
        <v>0</v>
      </c>
      <c r="F62">
        <f t="shared" si="22"/>
        <v>0</v>
      </c>
      <c r="G62">
        <f t="shared" si="22"/>
        <v>0</v>
      </c>
      <c r="H62">
        <f t="shared" si="22"/>
        <v>0</v>
      </c>
      <c r="I62">
        <f t="shared" si="22"/>
        <v>0</v>
      </c>
      <c r="J62">
        <f t="shared" si="22"/>
        <v>0</v>
      </c>
      <c r="K62">
        <f t="shared" si="22"/>
        <v>0</v>
      </c>
      <c r="L62">
        <f t="shared" si="22"/>
        <v>0</v>
      </c>
      <c r="M62">
        <f t="shared" si="22"/>
        <v>0</v>
      </c>
      <c r="N62">
        <f t="shared" si="22"/>
        <v>0</v>
      </c>
      <c r="O62">
        <f t="shared" si="22"/>
        <v>0</v>
      </c>
      <c r="P62">
        <f t="shared" si="22"/>
        <v>0</v>
      </c>
    </row>
    <row r="63" spans="2:16">
      <c r="B63" s="733" t="s">
        <v>362</v>
      </c>
      <c r="C63" s="30" t="s">
        <v>386</v>
      </c>
      <c r="D63" s="399">
        <f>IFERROR(GETPIVOTDATA("[Measures].[Somme de Conso_kWh_DEET]",TCD_Conso!$B$3,"[Tab_concat].[Type]","[Tab_concat].[Type].&amp;[Consommation]","[Tab_concat].[Detail usage]","[Tab_concat].[Detail usage].&amp;["&amp;$C63&amp;"]","[Tab_concat].[Annee]","[Tab_concat].[Annee].&amp;["&amp;D$54&amp;"]"),0)</f>
        <v>0</v>
      </c>
      <c r="E63" s="403">
        <f>IFERROR(GETPIVOTDATA("[Measures].[Somme de Conso_kWh_DEET]",TCD_Conso!$B$3,"[Tab_concat].[Type]","[Tab_concat].[Type].&amp;[Consommation]","[Tab_concat].[Detail usage]","[Tab_concat].[Detail usage].&amp;["&amp;$C63&amp;"]","[Tab_concat].[Annee]","[Tab_concat].[Annee].&amp;["&amp;E$54&amp;"]"),0)</f>
        <v>0</v>
      </c>
      <c r="F63" s="403">
        <f>IFERROR(GETPIVOTDATA("[Measures].[Somme de Conso_kWh_DEET]",TCD_Conso!$B$3,"[Tab_concat].[Type]","[Tab_concat].[Type].&amp;[Consommation]","[Tab_concat].[Detail usage]","[Tab_concat].[Detail usage].&amp;["&amp;$C63&amp;"]","[Tab_concat].[Annee]","[Tab_concat].[Annee].&amp;["&amp;F$54&amp;"]"),0)</f>
        <v>0</v>
      </c>
      <c r="G63" s="403">
        <f>IFERROR(GETPIVOTDATA("[Measures].[Somme de Conso_kWh_DEET]",TCD_Conso!$B$3,"[Tab_concat].[Type]","[Tab_concat].[Type].&amp;[Consommation]","[Tab_concat].[Detail usage]","[Tab_concat].[Detail usage].&amp;["&amp;$C63&amp;"]","[Tab_concat].[Annee]","[Tab_concat].[Annee].&amp;["&amp;G$54&amp;"]"),0)</f>
        <v>0</v>
      </c>
      <c r="H63" s="403">
        <f>IFERROR(GETPIVOTDATA("[Measures].[Somme de Conso_kWh_DEET]",TCD_Conso!$B$3,"[Tab_concat].[Type]","[Tab_concat].[Type].&amp;[Consommation]","[Tab_concat].[Detail usage]","[Tab_concat].[Detail usage].&amp;["&amp;$C63&amp;"]","[Tab_concat].[Annee]","[Tab_concat].[Annee].&amp;["&amp;H$54&amp;"]"),0)</f>
        <v>0</v>
      </c>
      <c r="I63" s="403">
        <f>IFERROR(GETPIVOTDATA("[Measures].[Somme de Conso_kWh_DEET]",TCD_Conso!$B$3,"[Tab_concat].[Type]","[Tab_concat].[Type].&amp;[Consommation]","[Tab_concat].[Detail usage]","[Tab_concat].[Detail usage].&amp;["&amp;$C63&amp;"]","[Tab_concat].[Annee]","[Tab_concat].[Annee].&amp;["&amp;I$54&amp;"]"),0)</f>
        <v>0</v>
      </c>
      <c r="J63" s="403">
        <f>IFERROR(GETPIVOTDATA("[Measures].[Somme de Conso_kWh_DEET]",TCD_Conso!$B$3,"[Tab_concat].[Type]","[Tab_concat].[Type].&amp;[Consommation]","[Tab_concat].[Detail usage]","[Tab_concat].[Detail usage].&amp;["&amp;$C63&amp;"]","[Tab_concat].[Annee]","[Tab_concat].[Annee].&amp;["&amp;J$54&amp;"]"),0)</f>
        <v>0</v>
      </c>
      <c r="K63" s="403">
        <f>IFERROR(GETPIVOTDATA("[Measures].[Somme de Conso_kWh_DEET]",TCD_Conso!$B$3,"[Tab_concat].[Type]","[Tab_concat].[Type].&amp;[Consommation]","[Tab_concat].[Detail usage]","[Tab_concat].[Detail usage].&amp;["&amp;$C63&amp;"]","[Tab_concat].[Annee]","[Tab_concat].[Annee].&amp;["&amp;K$54&amp;"]"),0)</f>
        <v>0</v>
      </c>
      <c r="L63" s="403">
        <f>IFERROR(GETPIVOTDATA("[Measures].[Somme de Conso_kWh_DEET]",TCD_Conso!$B$3,"[Tab_concat].[Type]","[Tab_concat].[Type].&amp;[Consommation]","[Tab_concat].[Detail usage]","[Tab_concat].[Detail usage].&amp;["&amp;$C63&amp;"]","[Tab_concat].[Annee]","[Tab_concat].[Annee].&amp;["&amp;L$54&amp;"]"),0)</f>
        <v>0</v>
      </c>
      <c r="M63" s="403">
        <f>IFERROR(GETPIVOTDATA("[Measures].[Somme de Conso_kWh_DEET]",TCD_Conso!$B$3,"[Tab_concat].[Type]","[Tab_concat].[Type].&amp;[Consommation]","[Tab_concat].[Detail usage]","[Tab_concat].[Detail usage].&amp;["&amp;$C63&amp;"]","[Tab_concat].[Annee]","[Tab_concat].[Annee].&amp;["&amp;M$54&amp;"]"),0)</f>
        <v>0</v>
      </c>
      <c r="N63" s="403">
        <f>IFERROR(GETPIVOTDATA("[Measures].[Somme de Conso_kWh_DEET]",TCD_Conso!$B$3,"[Tab_concat].[Type]","[Tab_concat].[Type].&amp;[Consommation]","[Tab_concat].[Detail usage]","[Tab_concat].[Detail usage].&amp;["&amp;$C63&amp;"]","[Tab_concat].[Annee]","[Tab_concat].[Annee].&amp;["&amp;N$54&amp;"]"),0)</f>
        <v>0</v>
      </c>
      <c r="O63" s="403">
        <f>IFERROR(GETPIVOTDATA("[Measures].[Somme de Conso_kWh_DEET]",TCD_Conso!$B$3,"[Tab_concat].[Type]","[Tab_concat].[Type].&amp;[Consommation]","[Tab_concat].[Detail usage]","[Tab_concat].[Detail usage].&amp;["&amp;$C63&amp;"]","[Tab_concat].[Annee]","[Tab_concat].[Annee].&amp;["&amp;O$54&amp;"]"),0)</f>
        <v>0</v>
      </c>
      <c r="P63" s="403">
        <f>IFERROR(GETPIVOTDATA("[Measures].[Somme de Conso_kWh_DEET]",TCD_Conso!$B$3,"[Tab_concat].[Type]","[Tab_concat].[Type].&amp;[Consommation]","[Tab_concat].[Detail usage]","[Tab_concat].[Detail usage].&amp;["&amp;$C63&amp;"]","[Tab_concat].[Annee]","[Tab_concat].[Annee].&amp;["&amp;P$54&amp;"]"),0)</f>
        <v>0</v>
      </c>
    </row>
    <row r="64" spans="2:16">
      <c r="B64" s="733"/>
      <c r="C64" s="30" t="s">
        <v>364</v>
      </c>
      <c r="D64">
        <f>GETPIVOTDATA("DJU(climaticien)",DJU!$L$13,"annee",D54)</f>
        <v>131</v>
      </c>
      <c r="E64">
        <f>GETPIVOTDATA("DJU(climaticien)",DJU!$L$13,"annee",E54)</f>
        <v>150</v>
      </c>
      <c r="F64">
        <f>GETPIVOTDATA("DJU(climaticien)",DJU!$L$13,"annee",F54)</f>
        <v>125</v>
      </c>
      <c r="G64">
        <f>GETPIVOTDATA("DJU(climaticien)",DJU!$L$13,"annee",G54)</f>
        <v>168</v>
      </c>
      <c r="H64">
        <f>GETPIVOTDATA("DJU(climaticien)",DJU!$L$13,"annee",H54)</f>
        <v>154</v>
      </c>
      <c r="I64">
        <f>GETPIVOTDATA("DJU(climaticien)",DJU!$L$13,"annee",I54)</f>
        <v>143</v>
      </c>
      <c r="J64">
        <f>GETPIVOTDATA("DJU(climaticien)",DJU!$L$13,"annee",J54)</f>
        <v>179</v>
      </c>
      <c r="K64">
        <f>GETPIVOTDATA("DJU(climaticien)",DJU!$L$13,"annee",K54)</f>
        <v>169</v>
      </c>
      <c r="L64">
        <f>GETPIVOTDATA("DJU(climaticien)",DJU!$L$13,"annee",L54)</f>
        <v>188</v>
      </c>
      <c r="M64">
        <f>GETPIVOTDATA("DJU(climaticien)",DJU!$L$13,"annee",M54)</f>
        <v>179</v>
      </c>
      <c r="N64">
        <f>GETPIVOTDATA("DJU(climaticien)",DJU!$L$13,"annee",N54)</f>
        <v>182</v>
      </c>
      <c r="O64">
        <f>GETPIVOTDATA("DJU(climaticien)",DJU!$L$13,"annee",O54)</f>
        <v>133</v>
      </c>
      <c r="P64">
        <f>GETPIVOTDATA("DJU(climaticien)",DJU!$L$13,"annee",P54)</f>
        <v>264</v>
      </c>
    </row>
    <row r="65" spans="2:16">
      <c r="B65" s="733"/>
      <c r="C65" s="30" t="s">
        <v>366</v>
      </c>
      <c r="D65">
        <f>Controle_des_données!$B$35</f>
        <v>5.3499999999999999E-5</v>
      </c>
      <c r="E65">
        <f>Controle_des_données!$B$35</f>
        <v>5.3499999999999999E-5</v>
      </c>
      <c r="F65">
        <f>Controle_des_données!$B$35</f>
        <v>5.3499999999999999E-5</v>
      </c>
      <c r="G65">
        <f>Controle_des_données!$B$35</f>
        <v>5.3499999999999999E-5</v>
      </c>
      <c r="H65">
        <f>Controle_des_données!$B$35</f>
        <v>5.3499999999999999E-5</v>
      </c>
      <c r="I65">
        <f>Controle_des_données!$B$35</f>
        <v>5.3499999999999999E-5</v>
      </c>
      <c r="J65">
        <f>Controle_des_données!$B$35</f>
        <v>5.3499999999999999E-5</v>
      </c>
      <c r="K65">
        <f>Controle_des_données!$B$35</f>
        <v>5.3499999999999999E-5</v>
      </c>
      <c r="L65">
        <f>Controle_des_données!$B$35</f>
        <v>5.3499999999999999E-5</v>
      </c>
      <c r="M65">
        <f>Controle_des_données!$B$35</f>
        <v>5.3499999999999999E-5</v>
      </c>
      <c r="N65">
        <f>Controle_des_données!$B$35</f>
        <v>5.3499999999999999E-5</v>
      </c>
      <c r="O65">
        <f>Controle_des_données!$B$35</f>
        <v>5.3499999999999999E-5</v>
      </c>
      <c r="P65">
        <f>Controle_des_données!$B$35</f>
        <v>5.3499999999999999E-5</v>
      </c>
    </row>
    <row r="66" spans="2:16">
      <c r="B66" s="733"/>
      <c r="C66" s="30" t="s">
        <v>367</v>
      </c>
      <c r="D66">
        <f>VLOOKUP(D54,Site!$B$8:$E$23,4,FALSE)</f>
        <v>0</v>
      </c>
      <c r="E66">
        <f>VLOOKUP(E54,Site!$B$8:$E$23,4,FALSE)</f>
        <v>0</v>
      </c>
      <c r="F66">
        <f>VLOOKUP(F54,Site!$B$8:$E$23,4,FALSE)</f>
        <v>0</v>
      </c>
      <c r="G66">
        <f>VLOOKUP(G54,Site!$B$8:$E$23,4,FALSE)</f>
        <v>0</v>
      </c>
      <c r="H66">
        <f>VLOOKUP(H54,Site!$B$8:$E$23,4,FALSE)</f>
        <v>0</v>
      </c>
      <c r="I66">
        <f>VLOOKUP(I54,Site!$B$8:$E$23,4,FALSE)</f>
        <v>0</v>
      </c>
      <c r="J66">
        <f>VLOOKUP(J54,Site!$B$8:$E$23,4,FALSE)</f>
        <v>0</v>
      </c>
      <c r="K66">
        <f>VLOOKUP(K54,Site!$B$8:$E$23,4,FALSE)</f>
        <v>0</v>
      </c>
      <c r="L66">
        <f>VLOOKUP(L54,Site!$B$8:$E$23,4,FALSE)</f>
        <v>0</v>
      </c>
      <c r="M66">
        <f>VLOOKUP(M54,Site!$B$8:$E$23,4,FALSE)</f>
        <v>0</v>
      </c>
      <c r="N66">
        <f>VLOOKUP(N54,Site!$B$8:$E$23,4,FALSE)</f>
        <v>0</v>
      </c>
      <c r="O66">
        <f>VLOOKUP(O54,Site!$B$8:$E$23,4,FALSE)</f>
        <v>0</v>
      </c>
      <c r="P66">
        <f>VLOOKUP(P54,Site!$B$8:$E$23,4,FALSE)</f>
        <v>0</v>
      </c>
    </row>
    <row r="67" spans="2:16">
      <c r="B67" s="733"/>
      <c r="C67" s="30" t="s">
        <v>368</v>
      </c>
      <c r="D67" s="403">
        <f>IFERROR(IF(D63&gt;0,D63*MAX(-0.5,MIN(($H$3-D64)/D64,1)),D66/D75*MIN(D65*D64,1)*(D57+D73)*MAX(-0.5,MIN(($H$3-D64)/D64,1))),0)</f>
        <v>0</v>
      </c>
      <c r="E67">
        <f>IFERROR(IF(E63&gt;0,E63*MAX(-0.5,MIN(($H$3-E64)/E64,1)),E66/E75*MIN(E65*E64,1)*(E57+E73)*MAX(-0.5,MIN(($H$3-E64)/E64,1))),0)</f>
        <v>0</v>
      </c>
      <c r="F67">
        <f t="shared" ref="F67:P67" si="23">IFERROR(IF(F63&gt;0,F63*MAX(-0.5,MIN(($H$3-F64)/F64,1)),F66/F75*MIN(F65*F64,1)*(F57+F73)*MAX(-0.5,MIN(($H$3-F64)/F64,1))),0)</f>
        <v>0</v>
      </c>
      <c r="G67">
        <f t="shared" si="23"/>
        <v>0</v>
      </c>
      <c r="H67">
        <f t="shared" si="23"/>
        <v>0</v>
      </c>
      <c r="I67">
        <f t="shared" si="23"/>
        <v>0</v>
      </c>
      <c r="J67">
        <f t="shared" si="23"/>
        <v>0</v>
      </c>
      <c r="K67">
        <f t="shared" si="23"/>
        <v>0</v>
      </c>
      <c r="L67">
        <f t="shared" si="23"/>
        <v>0</v>
      </c>
      <c r="M67">
        <f t="shared" si="23"/>
        <v>0</v>
      </c>
      <c r="N67">
        <f t="shared" si="23"/>
        <v>0</v>
      </c>
      <c r="O67">
        <f t="shared" si="23"/>
        <v>0</v>
      </c>
      <c r="P67">
        <f t="shared" si="23"/>
        <v>0</v>
      </c>
    </row>
    <row r="68" spans="2:16">
      <c r="B68" s="45"/>
      <c r="C68" s="30" t="s">
        <v>185</v>
      </c>
      <c r="D68" s="399">
        <f>IFERROR(GETPIVOTDATA("[Measures].[Somme de Conso_kWh_DEET]",TCD_Conso!$B$3,"[Tab_concat].[Type]","[Tab_concat].[Type].&amp;[Consommation]","[Tab_concat].[Detail usage]","[Tab_concat].[Detail usage].&amp;["&amp;$C68&amp;"]","[Tab_concat].[Annee]","[Tab_concat].[Annee].&amp;["&amp;D$54&amp;"]"),0)</f>
        <v>0</v>
      </c>
      <c r="E68" s="399">
        <f>IFERROR(GETPIVOTDATA("[Measures].[Somme de Conso_kWh_DEET]",TCD_Conso!$B$3,"[Tab_concat].[Type]","[Tab_concat].[Type].&amp;[Consommation]","[Tab_concat].[Detail usage]","[Tab_concat].[Detail usage].&amp;["&amp;$C68&amp;"]","[Tab_concat].[Annee]","[Tab_concat].[Annee].&amp;["&amp;E$54&amp;"]"),0)</f>
        <v>0</v>
      </c>
      <c r="F68" s="399">
        <f>IFERROR(GETPIVOTDATA("[Measures].[Somme de Conso_kWh_DEET]",TCD_Conso!$B$3,"[Tab_concat].[Type]","[Tab_concat].[Type].&amp;[Consommation]","[Tab_concat].[Detail usage]","[Tab_concat].[Detail usage].&amp;["&amp;$C68&amp;"]","[Tab_concat].[Annee]","[Tab_concat].[Annee].&amp;["&amp;F$54&amp;"]"),0)</f>
        <v>0</v>
      </c>
      <c r="G68" s="399">
        <f>IFERROR(GETPIVOTDATA("[Measures].[Somme de Conso_kWh_DEET]",TCD_Conso!$B$3,"[Tab_concat].[Type]","[Tab_concat].[Type].&amp;[Consommation]","[Tab_concat].[Detail usage]","[Tab_concat].[Detail usage].&amp;["&amp;$C68&amp;"]","[Tab_concat].[Annee]","[Tab_concat].[Annee].&amp;["&amp;G$54&amp;"]"),0)</f>
        <v>0</v>
      </c>
      <c r="H68" s="399">
        <f>IFERROR(GETPIVOTDATA("[Measures].[Somme de Conso_kWh_DEET]",TCD_Conso!$B$3,"[Tab_concat].[Type]","[Tab_concat].[Type].&amp;[Consommation]","[Tab_concat].[Detail usage]","[Tab_concat].[Detail usage].&amp;["&amp;$C68&amp;"]","[Tab_concat].[Annee]","[Tab_concat].[Annee].&amp;["&amp;H$54&amp;"]"),0)</f>
        <v>0</v>
      </c>
      <c r="I68" s="399">
        <f>IFERROR(GETPIVOTDATA("[Measures].[Somme de Conso_kWh_DEET]",TCD_Conso!$B$3,"[Tab_concat].[Type]","[Tab_concat].[Type].&amp;[Consommation]","[Tab_concat].[Detail usage]","[Tab_concat].[Detail usage].&amp;["&amp;$C68&amp;"]","[Tab_concat].[Annee]","[Tab_concat].[Annee].&amp;["&amp;I$54&amp;"]"),0)</f>
        <v>0</v>
      </c>
      <c r="J68" s="399">
        <f>IFERROR(GETPIVOTDATA("[Measures].[Somme de Conso_kWh_DEET]",TCD_Conso!$B$3,"[Tab_concat].[Type]","[Tab_concat].[Type].&amp;[Consommation]","[Tab_concat].[Detail usage]","[Tab_concat].[Detail usage].&amp;["&amp;$C68&amp;"]","[Tab_concat].[Annee]","[Tab_concat].[Annee].&amp;["&amp;J$54&amp;"]"),0)</f>
        <v>0</v>
      </c>
      <c r="K68" s="399">
        <f>IFERROR(GETPIVOTDATA("[Measures].[Somme de Conso_kWh_DEET]",TCD_Conso!$B$3,"[Tab_concat].[Type]","[Tab_concat].[Type].&amp;[Consommation]","[Tab_concat].[Detail usage]","[Tab_concat].[Detail usage].&amp;["&amp;$C68&amp;"]","[Tab_concat].[Annee]","[Tab_concat].[Annee].&amp;["&amp;K$54&amp;"]"),0)</f>
        <v>0</v>
      </c>
      <c r="L68" s="399">
        <f>IFERROR(GETPIVOTDATA("[Measures].[Somme de Conso_kWh_DEET]",TCD_Conso!$B$3,"[Tab_concat].[Type]","[Tab_concat].[Type].&amp;[Consommation]","[Tab_concat].[Detail usage]","[Tab_concat].[Detail usage].&amp;["&amp;$C68&amp;"]","[Tab_concat].[Annee]","[Tab_concat].[Annee].&amp;["&amp;L$54&amp;"]"),0)</f>
        <v>0</v>
      </c>
      <c r="M68" s="399">
        <f>IFERROR(GETPIVOTDATA("[Measures].[Somme de Conso_kWh_DEET]",TCD_Conso!$B$3,"[Tab_concat].[Type]","[Tab_concat].[Type].&amp;[Consommation]","[Tab_concat].[Detail usage]","[Tab_concat].[Detail usage].&amp;["&amp;$C68&amp;"]","[Tab_concat].[Annee]","[Tab_concat].[Annee].&amp;["&amp;M$54&amp;"]"),0)</f>
        <v>0</v>
      </c>
      <c r="N68" s="399">
        <f>IFERROR(GETPIVOTDATA("[Measures].[Somme de Conso_kWh_DEET]",TCD_Conso!$B$3,"[Tab_concat].[Type]","[Tab_concat].[Type].&amp;[Consommation]","[Tab_concat].[Detail usage]","[Tab_concat].[Detail usage].&amp;["&amp;$C68&amp;"]","[Tab_concat].[Annee]","[Tab_concat].[Annee].&amp;["&amp;N$54&amp;"]"),0)</f>
        <v>0</v>
      </c>
      <c r="O68" s="399">
        <f>IFERROR(GETPIVOTDATA("[Measures].[Somme de Conso_kWh_DEET]",TCD_Conso!$B$3,"[Tab_concat].[Type]","[Tab_concat].[Type].&amp;[Consommation]","[Tab_concat].[Detail usage]","[Tab_concat].[Detail usage].&amp;["&amp;$C68&amp;"]","[Tab_concat].[Annee]","[Tab_concat].[Annee].&amp;["&amp;O$54&amp;"]"),0)</f>
        <v>0</v>
      </c>
      <c r="P68" s="399">
        <f>IFERROR(GETPIVOTDATA("[Measures].[Somme de Conso_kWh_DEET]",TCD_Conso!$B$3,"[Tab_concat].[Type]","[Tab_concat].[Type].&amp;[Consommation]","[Tab_concat].[Detail usage]","[Tab_concat].[Detail usage].&amp;["&amp;$C68&amp;"]","[Tab_concat].[Annee]","[Tab_concat].[Annee].&amp;["&amp;P$54&amp;"]"),0)</f>
        <v>0</v>
      </c>
    </row>
    <row r="69" spans="2:16">
      <c r="B69" s="732" t="s">
        <v>369</v>
      </c>
      <c r="C69" s="30" t="s">
        <v>145</v>
      </c>
      <c r="D69" s="399">
        <f>IFERROR(GETPIVOTDATA("[Measures].[Somme de Conso_kWh_DEET]",TCD_Conso!$B$3,"[Tab_concat].[Type]","[Tab_concat].[Type].&amp;[Consommation]","[Tab_concat].[Detail usage]","[Tab_concat].[Detail usage].&amp;["&amp;$C69&amp;"]","[Tab_concat].[Annee]","[Tab_concat].[Annee].&amp;["&amp;D$54&amp;"]"),0)</f>
        <v>0</v>
      </c>
      <c r="E69" s="399">
        <f>IFERROR(GETPIVOTDATA("[Measures].[Somme de Conso_kWh_DEET]",TCD_Conso!$B$3,"[Tab_concat].[Type]","[Tab_concat].[Type].&amp;[Consommation]","[Tab_concat].[Detail usage]","[Tab_concat].[Detail usage].&amp;["&amp;$C69&amp;"]","[Tab_concat].[Annee]","[Tab_concat].[Annee].&amp;["&amp;E$54&amp;"]"),0)</f>
        <v>0</v>
      </c>
      <c r="F69" s="399">
        <f>IFERROR(GETPIVOTDATA("[Measures].[Somme de Conso_kWh_DEET]",TCD_Conso!$B$3,"[Tab_concat].[Type]","[Tab_concat].[Type].&amp;[Consommation]","[Tab_concat].[Detail usage]","[Tab_concat].[Detail usage].&amp;["&amp;$C69&amp;"]","[Tab_concat].[Annee]","[Tab_concat].[Annee].&amp;["&amp;F$54&amp;"]"),0)</f>
        <v>0</v>
      </c>
      <c r="G69" s="399">
        <f>IFERROR(GETPIVOTDATA("[Measures].[Somme de Conso_kWh_DEET]",TCD_Conso!$B$3,"[Tab_concat].[Type]","[Tab_concat].[Type].&amp;[Consommation]","[Tab_concat].[Detail usage]","[Tab_concat].[Detail usage].&amp;["&amp;$C69&amp;"]","[Tab_concat].[Annee]","[Tab_concat].[Annee].&amp;["&amp;G$54&amp;"]"),0)</f>
        <v>0</v>
      </c>
      <c r="H69" s="399">
        <f>IFERROR(GETPIVOTDATA("[Measures].[Somme de Conso_kWh_DEET]",TCD_Conso!$B$3,"[Tab_concat].[Type]","[Tab_concat].[Type].&amp;[Consommation]","[Tab_concat].[Detail usage]","[Tab_concat].[Detail usage].&amp;["&amp;$C69&amp;"]","[Tab_concat].[Annee]","[Tab_concat].[Annee].&amp;["&amp;H$54&amp;"]"),0)</f>
        <v>0</v>
      </c>
      <c r="I69" s="399">
        <f>IFERROR(GETPIVOTDATA("[Measures].[Somme de Conso_kWh_DEET]",TCD_Conso!$B$3,"[Tab_concat].[Type]","[Tab_concat].[Type].&amp;[Consommation]","[Tab_concat].[Detail usage]","[Tab_concat].[Detail usage].&amp;["&amp;$C69&amp;"]","[Tab_concat].[Annee]","[Tab_concat].[Annee].&amp;["&amp;I$54&amp;"]"),0)</f>
        <v>0</v>
      </c>
      <c r="J69" s="399">
        <f>IFERROR(GETPIVOTDATA("[Measures].[Somme de Conso_kWh_DEET]",TCD_Conso!$B$3,"[Tab_concat].[Type]","[Tab_concat].[Type].&amp;[Consommation]","[Tab_concat].[Detail usage]","[Tab_concat].[Detail usage].&amp;["&amp;$C69&amp;"]","[Tab_concat].[Annee]","[Tab_concat].[Annee].&amp;["&amp;J$54&amp;"]"),0)</f>
        <v>0</v>
      </c>
      <c r="K69" s="399">
        <f>IFERROR(GETPIVOTDATA("[Measures].[Somme de Conso_kWh_DEET]",TCD_Conso!$B$3,"[Tab_concat].[Type]","[Tab_concat].[Type].&amp;[Consommation]","[Tab_concat].[Detail usage]","[Tab_concat].[Detail usage].&amp;["&amp;$C69&amp;"]","[Tab_concat].[Annee]","[Tab_concat].[Annee].&amp;["&amp;K$54&amp;"]"),0)</f>
        <v>0</v>
      </c>
      <c r="L69" s="399">
        <f>IFERROR(GETPIVOTDATA("[Measures].[Somme de Conso_kWh_DEET]",TCD_Conso!$B$3,"[Tab_concat].[Type]","[Tab_concat].[Type].&amp;[Consommation]","[Tab_concat].[Detail usage]","[Tab_concat].[Detail usage].&amp;["&amp;$C69&amp;"]","[Tab_concat].[Annee]","[Tab_concat].[Annee].&amp;["&amp;L$54&amp;"]"),0)</f>
        <v>0</v>
      </c>
      <c r="M69" s="399">
        <f>IFERROR(GETPIVOTDATA("[Measures].[Somme de Conso_kWh_DEET]",TCD_Conso!$B$3,"[Tab_concat].[Type]","[Tab_concat].[Type].&amp;[Consommation]","[Tab_concat].[Detail usage]","[Tab_concat].[Detail usage].&amp;["&amp;$C69&amp;"]","[Tab_concat].[Annee]","[Tab_concat].[Annee].&amp;["&amp;M$54&amp;"]"),0)</f>
        <v>0</v>
      </c>
      <c r="N69" s="399">
        <f>IFERROR(GETPIVOTDATA("[Measures].[Somme de Conso_kWh_DEET]",TCD_Conso!$B$3,"[Tab_concat].[Type]","[Tab_concat].[Type].&amp;[Consommation]","[Tab_concat].[Detail usage]","[Tab_concat].[Detail usage].&amp;["&amp;$C69&amp;"]","[Tab_concat].[Annee]","[Tab_concat].[Annee].&amp;["&amp;N$54&amp;"]"),0)</f>
        <v>0</v>
      </c>
      <c r="O69" s="399">
        <f>IFERROR(GETPIVOTDATA("[Measures].[Somme de Conso_kWh_DEET]",TCD_Conso!$B$3,"[Tab_concat].[Type]","[Tab_concat].[Type].&amp;[Consommation]","[Tab_concat].[Detail usage]","[Tab_concat].[Detail usage].&amp;["&amp;$C69&amp;"]","[Tab_concat].[Annee]","[Tab_concat].[Annee].&amp;["&amp;O$54&amp;"]"),0)</f>
        <v>0</v>
      </c>
      <c r="P69" s="399">
        <f>IFERROR(GETPIVOTDATA("[Measures].[Somme de Conso_kWh_DEET]",TCD_Conso!$B$3,"[Tab_concat].[Type]","[Tab_concat].[Type].&amp;[Consommation]","[Tab_concat].[Detail usage]","[Tab_concat].[Detail usage].&amp;["&amp;$C69&amp;"]","[Tab_concat].[Annee]","[Tab_concat].[Annee].&amp;["&amp;P$54&amp;"]"),0)</f>
        <v>0</v>
      </c>
    </row>
    <row r="70" spans="2:16">
      <c r="B70" s="732"/>
      <c r="C70" s="30" t="s">
        <v>162</v>
      </c>
      <c r="D70" s="399">
        <f>IFERROR(GETPIVOTDATA("[Measures].[Somme de Conso_kWh_DEET]",TCD_Conso!$B$3,"[Tab_concat].[Type]","[Tab_concat].[Type].&amp;[Consommation]","[Tab_concat].[Detail usage]","[Tab_concat].[Detail usage].&amp;["&amp;$C70&amp;"]","[Tab_concat].[Annee]","[Tab_concat].[Annee].&amp;["&amp;D$54&amp;"]"),0)</f>
        <v>0</v>
      </c>
      <c r="E70" s="399">
        <f>IFERROR(GETPIVOTDATA("[Measures].[Somme de Conso_kWh_DEET]",TCD_Conso!$B$3,"[Tab_concat].[Type]","[Tab_concat].[Type].&amp;[Consommation]","[Tab_concat].[Detail usage]","[Tab_concat].[Detail usage].&amp;["&amp;$C70&amp;"]","[Tab_concat].[Annee]","[Tab_concat].[Annee].&amp;["&amp;E$54&amp;"]"),0)</f>
        <v>0</v>
      </c>
      <c r="F70" s="399">
        <f>IFERROR(GETPIVOTDATA("[Measures].[Somme de Conso_kWh_DEET]",TCD_Conso!$B$3,"[Tab_concat].[Type]","[Tab_concat].[Type].&amp;[Consommation]","[Tab_concat].[Detail usage]","[Tab_concat].[Detail usage].&amp;["&amp;$C70&amp;"]","[Tab_concat].[Annee]","[Tab_concat].[Annee].&amp;["&amp;F$54&amp;"]"),0)</f>
        <v>0</v>
      </c>
      <c r="G70" s="399">
        <f>IFERROR(GETPIVOTDATA("[Measures].[Somme de Conso_kWh_DEET]",TCD_Conso!$B$3,"[Tab_concat].[Type]","[Tab_concat].[Type].&amp;[Consommation]","[Tab_concat].[Detail usage]","[Tab_concat].[Detail usage].&amp;["&amp;$C70&amp;"]","[Tab_concat].[Annee]","[Tab_concat].[Annee].&amp;["&amp;G$54&amp;"]"),0)</f>
        <v>0</v>
      </c>
      <c r="H70" s="399">
        <f>IFERROR(GETPIVOTDATA("[Measures].[Somme de Conso_kWh_DEET]",TCD_Conso!$B$3,"[Tab_concat].[Type]","[Tab_concat].[Type].&amp;[Consommation]","[Tab_concat].[Detail usage]","[Tab_concat].[Detail usage].&amp;["&amp;$C70&amp;"]","[Tab_concat].[Annee]","[Tab_concat].[Annee].&amp;["&amp;H$54&amp;"]"),0)</f>
        <v>0</v>
      </c>
      <c r="I70" s="399">
        <f>IFERROR(GETPIVOTDATA("[Measures].[Somme de Conso_kWh_DEET]",TCD_Conso!$B$3,"[Tab_concat].[Type]","[Tab_concat].[Type].&amp;[Consommation]","[Tab_concat].[Detail usage]","[Tab_concat].[Detail usage].&amp;["&amp;$C70&amp;"]","[Tab_concat].[Annee]","[Tab_concat].[Annee].&amp;["&amp;I$54&amp;"]"),0)</f>
        <v>0</v>
      </c>
      <c r="J70" s="399">
        <f>IFERROR(GETPIVOTDATA("[Measures].[Somme de Conso_kWh_DEET]",TCD_Conso!$B$3,"[Tab_concat].[Type]","[Tab_concat].[Type].&amp;[Consommation]","[Tab_concat].[Detail usage]","[Tab_concat].[Detail usage].&amp;["&amp;$C70&amp;"]","[Tab_concat].[Annee]","[Tab_concat].[Annee].&amp;["&amp;J$54&amp;"]"),0)</f>
        <v>0</v>
      </c>
      <c r="K70" s="399">
        <f>IFERROR(GETPIVOTDATA("[Measures].[Somme de Conso_kWh_DEET]",TCD_Conso!$B$3,"[Tab_concat].[Type]","[Tab_concat].[Type].&amp;[Consommation]","[Tab_concat].[Detail usage]","[Tab_concat].[Detail usage].&amp;["&amp;$C70&amp;"]","[Tab_concat].[Annee]","[Tab_concat].[Annee].&amp;["&amp;K$54&amp;"]"),0)</f>
        <v>0</v>
      </c>
      <c r="L70" s="399">
        <f>IFERROR(GETPIVOTDATA("[Measures].[Somme de Conso_kWh_DEET]",TCD_Conso!$B$3,"[Tab_concat].[Type]","[Tab_concat].[Type].&amp;[Consommation]","[Tab_concat].[Detail usage]","[Tab_concat].[Detail usage].&amp;["&amp;$C70&amp;"]","[Tab_concat].[Annee]","[Tab_concat].[Annee].&amp;["&amp;L$54&amp;"]"),0)</f>
        <v>0</v>
      </c>
      <c r="M70" s="399">
        <f>IFERROR(GETPIVOTDATA("[Measures].[Somme de Conso_kWh_DEET]",TCD_Conso!$B$3,"[Tab_concat].[Type]","[Tab_concat].[Type].&amp;[Consommation]","[Tab_concat].[Detail usage]","[Tab_concat].[Detail usage].&amp;["&amp;$C70&amp;"]","[Tab_concat].[Annee]","[Tab_concat].[Annee].&amp;["&amp;M$54&amp;"]"),0)</f>
        <v>0</v>
      </c>
      <c r="N70" s="399">
        <f>IFERROR(GETPIVOTDATA("[Measures].[Somme de Conso_kWh_DEET]",TCD_Conso!$B$3,"[Tab_concat].[Type]","[Tab_concat].[Type].&amp;[Consommation]","[Tab_concat].[Detail usage]","[Tab_concat].[Detail usage].&amp;["&amp;$C70&amp;"]","[Tab_concat].[Annee]","[Tab_concat].[Annee].&amp;["&amp;N$54&amp;"]"),0)</f>
        <v>0</v>
      </c>
      <c r="O70" s="399">
        <f>IFERROR(GETPIVOTDATA("[Measures].[Somme de Conso_kWh_DEET]",TCD_Conso!$B$3,"[Tab_concat].[Type]","[Tab_concat].[Type].&amp;[Consommation]","[Tab_concat].[Detail usage]","[Tab_concat].[Detail usage].&amp;["&amp;$C70&amp;"]","[Tab_concat].[Annee]","[Tab_concat].[Annee].&amp;["&amp;O$54&amp;"]"),0)</f>
        <v>0</v>
      </c>
      <c r="P70" s="399">
        <f>IFERROR(GETPIVOTDATA("[Measures].[Somme de Conso_kWh_DEET]",TCD_Conso!$B$3,"[Tab_concat].[Type]","[Tab_concat].[Type].&amp;[Consommation]","[Tab_concat].[Detail usage]","[Tab_concat].[Detail usage].&amp;["&amp;$C70&amp;"]","[Tab_concat].[Annee]","[Tab_concat].[Annee].&amp;["&amp;P$54&amp;"]"),0)</f>
        <v>0</v>
      </c>
    </row>
    <row r="71" spans="2:16">
      <c r="B71" s="732"/>
      <c r="C71" t="s">
        <v>180</v>
      </c>
      <c r="D71" s="399">
        <f>IFERROR(GETPIVOTDATA("[Measures].[Somme de Conso_kWh_DEET]",TCD_Conso!$B$3,"[Tab_concat].[Type]","[Tab_concat].[Type].&amp;[Consommation]","[Tab_concat].[Detail usage]","[Tab_concat].[Detail usage].&amp;["&amp;$C71&amp;"]","[Tab_concat].[Annee]","[Tab_concat].[Annee].&amp;["&amp;D$54&amp;"]"),0)</f>
        <v>0</v>
      </c>
      <c r="E71" s="399">
        <f>IFERROR(GETPIVOTDATA("[Measures].[Somme de Conso_kWh_DEET]",TCD_Conso!$B$3,"[Tab_concat].[Type]","[Tab_concat].[Type].&amp;[Consommation]","[Tab_concat].[Detail usage]","[Tab_concat].[Detail usage].&amp;["&amp;$C71&amp;"]","[Tab_concat].[Annee]","[Tab_concat].[Annee].&amp;["&amp;E$54&amp;"]"),0)</f>
        <v>0</v>
      </c>
      <c r="F71" s="399">
        <f>IFERROR(GETPIVOTDATA("[Measures].[Somme de Conso_kWh_DEET]",TCD_Conso!$B$3,"[Tab_concat].[Type]","[Tab_concat].[Type].&amp;[Consommation]","[Tab_concat].[Detail usage]","[Tab_concat].[Detail usage].&amp;["&amp;$C71&amp;"]","[Tab_concat].[Annee]","[Tab_concat].[Annee].&amp;["&amp;F$54&amp;"]"),0)</f>
        <v>0</v>
      </c>
      <c r="G71" s="399">
        <f>IFERROR(GETPIVOTDATA("[Measures].[Somme de Conso_kWh_DEET]",TCD_Conso!$B$3,"[Tab_concat].[Type]","[Tab_concat].[Type].&amp;[Consommation]","[Tab_concat].[Detail usage]","[Tab_concat].[Detail usage].&amp;["&amp;$C71&amp;"]","[Tab_concat].[Annee]","[Tab_concat].[Annee].&amp;["&amp;G$54&amp;"]"),0)</f>
        <v>0</v>
      </c>
      <c r="H71" s="399">
        <f>IFERROR(GETPIVOTDATA("[Measures].[Somme de Conso_kWh_DEET]",TCD_Conso!$B$3,"[Tab_concat].[Type]","[Tab_concat].[Type].&amp;[Consommation]","[Tab_concat].[Detail usage]","[Tab_concat].[Detail usage].&amp;["&amp;$C71&amp;"]","[Tab_concat].[Annee]","[Tab_concat].[Annee].&amp;["&amp;H$54&amp;"]"),0)</f>
        <v>0</v>
      </c>
      <c r="I71" s="399">
        <f>IFERROR(GETPIVOTDATA("[Measures].[Somme de Conso_kWh_DEET]",TCD_Conso!$B$3,"[Tab_concat].[Type]","[Tab_concat].[Type].&amp;[Consommation]","[Tab_concat].[Detail usage]","[Tab_concat].[Detail usage].&amp;["&amp;$C71&amp;"]","[Tab_concat].[Annee]","[Tab_concat].[Annee].&amp;["&amp;I$54&amp;"]"),0)</f>
        <v>0</v>
      </c>
      <c r="J71" s="399">
        <f>IFERROR(GETPIVOTDATA("[Measures].[Somme de Conso_kWh_DEET]",TCD_Conso!$B$3,"[Tab_concat].[Type]","[Tab_concat].[Type].&amp;[Consommation]","[Tab_concat].[Detail usage]","[Tab_concat].[Detail usage].&amp;["&amp;$C71&amp;"]","[Tab_concat].[Annee]","[Tab_concat].[Annee].&amp;["&amp;J$54&amp;"]"),0)</f>
        <v>0</v>
      </c>
      <c r="K71" s="399">
        <f>IFERROR(GETPIVOTDATA("[Measures].[Somme de Conso_kWh_DEET]",TCD_Conso!$B$3,"[Tab_concat].[Type]","[Tab_concat].[Type].&amp;[Consommation]","[Tab_concat].[Detail usage]","[Tab_concat].[Detail usage].&amp;["&amp;$C71&amp;"]","[Tab_concat].[Annee]","[Tab_concat].[Annee].&amp;["&amp;K$54&amp;"]"),0)</f>
        <v>0</v>
      </c>
      <c r="L71" s="399">
        <f>IFERROR(GETPIVOTDATA("[Measures].[Somme de Conso_kWh_DEET]",TCD_Conso!$B$3,"[Tab_concat].[Type]","[Tab_concat].[Type].&amp;[Consommation]","[Tab_concat].[Detail usage]","[Tab_concat].[Detail usage].&amp;["&amp;$C71&amp;"]","[Tab_concat].[Annee]","[Tab_concat].[Annee].&amp;["&amp;L$54&amp;"]"),0)</f>
        <v>0</v>
      </c>
      <c r="M71" s="399">
        <f>IFERROR(GETPIVOTDATA("[Measures].[Somme de Conso_kWh_DEET]",TCD_Conso!$B$3,"[Tab_concat].[Type]","[Tab_concat].[Type].&amp;[Consommation]","[Tab_concat].[Detail usage]","[Tab_concat].[Detail usage].&amp;["&amp;$C71&amp;"]","[Tab_concat].[Annee]","[Tab_concat].[Annee].&amp;["&amp;M$54&amp;"]"),0)</f>
        <v>0</v>
      </c>
      <c r="N71" s="399">
        <f>IFERROR(GETPIVOTDATA("[Measures].[Somme de Conso_kWh_DEET]",TCD_Conso!$B$3,"[Tab_concat].[Type]","[Tab_concat].[Type].&amp;[Consommation]","[Tab_concat].[Detail usage]","[Tab_concat].[Detail usage].&amp;["&amp;$C71&amp;"]","[Tab_concat].[Annee]","[Tab_concat].[Annee].&amp;["&amp;N$54&amp;"]"),0)</f>
        <v>0</v>
      </c>
      <c r="O71" s="399">
        <f>IFERROR(GETPIVOTDATA("[Measures].[Somme de Conso_kWh_DEET]",TCD_Conso!$B$3,"[Tab_concat].[Type]","[Tab_concat].[Type].&amp;[Consommation]","[Tab_concat].[Detail usage]","[Tab_concat].[Detail usage].&amp;["&amp;$C71&amp;"]","[Tab_concat].[Annee]","[Tab_concat].[Annee].&amp;["&amp;O$54&amp;"]"),0)</f>
        <v>0</v>
      </c>
      <c r="P71" s="399">
        <f>IFERROR(GETPIVOTDATA("[Measures].[Somme de Conso_kWh_DEET]",TCD_Conso!$B$3,"[Tab_concat].[Type]","[Tab_concat].[Type].&amp;[Consommation]","[Tab_concat].[Detail usage]","[Tab_concat].[Detail usage].&amp;["&amp;$C71&amp;"]","[Tab_concat].[Annee]","[Tab_concat].[Annee].&amp;["&amp;P$54&amp;"]"),0)</f>
        <v>0</v>
      </c>
    </row>
    <row r="72" spans="2:16">
      <c r="B72" s="732"/>
      <c r="C72" s="30" t="s">
        <v>322</v>
      </c>
      <c r="D72" s="399">
        <f>IFERROR(GETPIVOTDATA("[Measures].[Somme de Conso_kWh_DEET]",TCD_Conso!$B$3,"[Tab_concat].[Type]","[Tab_concat].[Type].&amp;[Consommation]","[Tab_concat].[Detail usage]","[Tab_concat].[Detail usage].&amp;["&amp;$C72&amp;"]","[Tab_concat].[Annee]","[Tab_concat].[Annee].&amp;["&amp;D$54&amp;"]"),0)</f>
        <v>63963.963963963964</v>
      </c>
      <c r="E72" s="399">
        <f>IFERROR(GETPIVOTDATA("[Measures].[Somme de Conso_kWh_DEET]",TCD_Conso!$B$3,"[Tab_concat].[Type]","[Tab_concat].[Type].&amp;[Consommation]","[Tab_concat].[Detail usage]","[Tab_concat].[Detail usage].&amp;["&amp;$C72&amp;"]","[Tab_concat].[Annee]","[Tab_concat].[Annee].&amp;["&amp;E$54&amp;"]"),0)</f>
        <v>45045.045045045044</v>
      </c>
      <c r="F72" s="399">
        <f>IFERROR(GETPIVOTDATA("[Measures].[Somme de Conso_kWh_DEET]",TCD_Conso!$B$3,"[Tab_concat].[Type]","[Tab_concat].[Type].&amp;[Consommation]","[Tab_concat].[Detail usage]","[Tab_concat].[Detail usage].&amp;["&amp;$C72&amp;"]","[Tab_concat].[Annee]","[Tab_concat].[Annee].&amp;["&amp;F$54&amp;"]"),0)</f>
        <v>54954.954954954948</v>
      </c>
      <c r="G72" s="399">
        <f>IFERROR(GETPIVOTDATA("[Measures].[Somme de Conso_kWh_DEET]",TCD_Conso!$B$3,"[Tab_concat].[Type]","[Tab_concat].[Type].&amp;[Consommation]","[Tab_concat].[Detail usage]","[Tab_concat].[Detail usage].&amp;["&amp;$C72&amp;"]","[Tab_concat].[Annee]","[Tab_concat].[Annee].&amp;["&amp;G$54&amp;"]"),0)</f>
        <v>54954.954954954956</v>
      </c>
      <c r="H72" s="399">
        <f>IFERROR(GETPIVOTDATA("[Measures].[Somme de Conso_kWh_DEET]",TCD_Conso!$B$3,"[Tab_concat].[Type]","[Tab_concat].[Type].&amp;[Consommation]","[Tab_concat].[Detail usage]","[Tab_concat].[Detail usage].&amp;["&amp;$C72&amp;"]","[Tab_concat].[Annee]","[Tab_concat].[Annee].&amp;["&amp;H$54&amp;"]"),0)</f>
        <v>45045.045045045044</v>
      </c>
      <c r="I72" s="399">
        <f>IFERROR(GETPIVOTDATA("[Measures].[Somme de Conso_kWh_DEET]",TCD_Conso!$B$3,"[Tab_concat].[Type]","[Tab_concat].[Type].&amp;[Consommation]","[Tab_concat].[Detail usage]","[Tab_concat].[Detail usage].&amp;["&amp;$C72&amp;"]","[Tab_concat].[Annee]","[Tab_concat].[Annee].&amp;["&amp;I$54&amp;"]"),0)</f>
        <v>48648.648648648639</v>
      </c>
      <c r="J72" s="399">
        <f>IFERROR(GETPIVOTDATA("[Measures].[Somme de Conso_kWh_DEET]",TCD_Conso!$B$3,"[Tab_concat].[Type]","[Tab_concat].[Type].&amp;[Consommation]","[Tab_concat].[Detail usage]","[Tab_concat].[Detail usage].&amp;["&amp;$C72&amp;"]","[Tab_concat].[Annee]","[Tab_concat].[Annee].&amp;["&amp;J$54&amp;"]"),0)</f>
        <v>51351.351351351346</v>
      </c>
      <c r="K72" s="399">
        <f>IFERROR(GETPIVOTDATA("[Measures].[Somme de Conso_kWh_DEET]",TCD_Conso!$B$3,"[Tab_concat].[Type]","[Tab_concat].[Type].&amp;[Consommation]","[Tab_concat].[Detail usage]","[Tab_concat].[Detail usage].&amp;["&amp;$C72&amp;"]","[Tab_concat].[Annee]","[Tab_concat].[Annee].&amp;["&amp;K$54&amp;"]"),0)</f>
        <v>48648.648648648646</v>
      </c>
      <c r="L72" s="399">
        <f>IFERROR(GETPIVOTDATA("[Measures].[Somme de Conso_kWh_DEET]",TCD_Conso!$B$3,"[Tab_concat].[Type]","[Tab_concat].[Type].&amp;[Consommation]","[Tab_concat].[Detail usage]","[Tab_concat].[Detail usage].&amp;["&amp;$C72&amp;"]","[Tab_concat].[Annee]","[Tab_concat].[Annee].&amp;["&amp;L$54&amp;"]"),0)</f>
        <v>49549.549549549549</v>
      </c>
      <c r="M72" s="399">
        <f>IFERROR(GETPIVOTDATA("[Measures].[Somme de Conso_kWh_DEET]",TCD_Conso!$B$3,"[Tab_concat].[Type]","[Tab_concat].[Type].&amp;[Consommation]","[Tab_concat].[Detail usage]","[Tab_concat].[Detail usage].&amp;["&amp;$C72&amp;"]","[Tab_concat].[Annee]","[Tab_concat].[Annee].&amp;["&amp;M$54&amp;"]"),0)</f>
        <v>52252.252252252249</v>
      </c>
      <c r="N72" s="399">
        <f>IFERROR(GETPIVOTDATA("[Measures].[Somme de Conso_kWh_DEET]",TCD_Conso!$B$3,"[Tab_concat].[Type]","[Tab_concat].[Type].&amp;[Consommation]","[Tab_concat].[Detail usage]","[Tab_concat].[Detail usage].&amp;["&amp;$C72&amp;"]","[Tab_concat].[Annee]","[Tab_concat].[Annee].&amp;["&amp;N$54&amp;"]"),0)</f>
        <v>56137.169427492045</v>
      </c>
      <c r="O72" s="399">
        <f>IFERROR(GETPIVOTDATA("[Measures].[Somme de Conso_kWh_DEET]",TCD_Conso!$B$3,"[Tab_concat].[Type]","[Tab_concat].[Type].&amp;[Consommation]","[Tab_concat].[Detail usage]","[Tab_concat].[Detail usage].&amp;["&amp;$C72&amp;"]","[Tab_concat].[Annee]","[Tab_concat].[Annee].&amp;["&amp;O$54&amp;"]"),0)</f>
        <v>53613.455390874733</v>
      </c>
      <c r="P72" s="399">
        <f>IFERROR(GETPIVOTDATA("[Measures].[Somme de Conso_kWh_DEET]",TCD_Conso!$B$3,"[Tab_concat].[Type]","[Tab_concat].[Type].&amp;[Consommation]","[Tab_concat].[Detail usage]","[Tab_concat].[Detail usage].&amp;["&amp;$C72&amp;"]","[Tab_concat].[Annee]","[Tab_concat].[Annee].&amp;["&amp;P$54&amp;"]"),0)</f>
        <v>40521.44725370533</v>
      </c>
    </row>
    <row r="73" spans="2:16">
      <c r="B73" s="732"/>
      <c r="C73" s="30" t="s">
        <v>370</v>
      </c>
      <c r="D73">
        <f>SUM(D68:D72)</f>
        <v>63963.963963963964</v>
      </c>
      <c r="E73">
        <f t="shared" ref="E73:J73" si="24">SUM(E68:E72)</f>
        <v>45045.045045045044</v>
      </c>
      <c r="F73">
        <f t="shared" si="24"/>
        <v>54954.954954954948</v>
      </c>
      <c r="G73">
        <f t="shared" si="24"/>
        <v>54954.954954954956</v>
      </c>
      <c r="H73">
        <f t="shared" si="24"/>
        <v>45045.045045045044</v>
      </c>
      <c r="I73">
        <f t="shared" si="24"/>
        <v>48648.648648648639</v>
      </c>
      <c r="J73">
        <f t="shared" si="24"/>
        <v>51351.351351351346</v>
      </c>
      <c r="K73">
        <f t="shared" ref="K73:P73" si="25">SUM(K68:K72)</f>
        <v>48648.648648648646</v>
      </c>
      <c r="L73">
        <f t="shared" si="25"/>
        <v>49549.549549549549</v>
      </c>
      <c r="M73">
        <f t="shared" si="25"/>
        <v>52252.252252252249</v>
      </c>
      <c r="N73">
        <f t="shared" si="25"/>
        <v>56137.169427492045</v>
      </c>
      <c r="O73">
        <f t="shared" si="25"/>
        <v>53613.455390874733</v>
      </c>
      <c r="P73">
        <f t="shared" si="25"/>
        <v>40521.44725370533</v>
      </c>
    </row>
    <row r="74" spans="2:16">
      <c r="B74" s="732"/>
      <c r="C74" s="30" t="s">
        <v>371</v>
      </c>
    </row>
    <row r="75" spans="2:16">
      <c r="B75" s="733" t="s">
        <v>372</v>
      </c>
      <c r="C75" s="30" t="s">
        <v>373</v>
      </c>
      <c r="D75">
        <f>VLOOKUP(D54,Site!$B$8:$E$23,2,FALSE)</f>
        <v>0</v>
      </c>
      <c r="E75">
        <f>VLOOKUP(E54,Site!$B$8:$E$23,2,FALSE)</f>
        <v>0</v>
      </c>
      <c r="F75">
        <f>VLOOKUP(F54,Site!$B$8:$E$23,2,FALSE)</f>
        <v>0</v>
      </c>
      <c r="G75">
        <f>VLOOKUP(G54,Site!$B$8:$E$23,2,FALSE)</f>
        <v>0</v>
      </c>
      <c r="H75">
        <f>VLOOKUP(H54,Site!$B$8:$E$23,2,FALSE)</f>
        <v>0</v>
      </c>
      <c r="I75">
        <f>VLOOKUP(I54,Site!$B$8:$E$23,2,FALSE)</f>
        <v>0</v>
      </c>
      <c r="J75">
        <f>VLOOKUP(J54,Site!$B$8:$E$23,2,FALSE)</f>
        <v>0</v>
      </c>
      <c r="K75">
        <f>VLOOKUP(K54,Site!$B$8:$E$23,2,FALSE)</f>
        <v>0</v>
      </c>
      <c r="L75">
        <f>VLOOKUP(L54,Site!$B$8:$E$23,2,FALSE)</f>
        <v>0</v>
      </c>
      <c r="M75">
        <f>VLOOKUP(M54,Site!$B$8:$E$23,2,FALSE)</f>
        <v>0</v>
      </c>
      <c r="N75">
        <f>VLOOKUP(N54,Site!$B$8:$E$23,2,FALSE)</f>
        <v>0</v>
      </c>
      <c r="O75">
        <f>VLOOKUP(O54,Site!$B$8:$E$23,2,FALSE)</f>
        <v>0</v>
      </c>
      <c r="P75">
        <f>VLOOKUP(P54,Site!$B$8:$E$23,2,FALSE)</f>
        <v>0</v>
      </c>
    </row>
    <row r="76" spans="2:16">
      <c r="B76" s="733"/>
      <c r="C76" s="30" t="s">
        <v>27</v>
      </c>
      <c r="D76" t="e">
        <f t="shared" ref="D76:M76" si="26">D57/D75</f>
        <v>#DIV/0!</v>
      </c>
      <c r="E76" t="e">
        <f t="shared" si="26"/>
        <v>#DIV/0!</v>
      </c>
      <c r="F76" t="e">
        <f t="shared" si="26"/>
        <v>#DIV/0!</v>
      </c>
      <c r="G76" t="e">
        <f t="shared" si="26"/>
        <v>#DIV/0!</v>
      </c>
      <c r="H76" t="e">
        <f t="shared" si="26"/>
        <v>#DIV/0!</v>
      </c>
      <c r="I76" t="e">
        <f t="shared" si="26"/>
        <v>#DIV/0!</v>
      </c>
      <c r="J76" t="e">
        <f t="shared" si="26"/>
        <v>#DIV/0!</v>
      </c>
      <c r="K76" t="e">
        <f t="shared" si="26"/>
        <v>#DIV/0!</v>
      </c>
      <c r="L76" t="e">
        <f t="shared" si="26"/>
        <v>#DIV/0!</v>
      </c>
      <c r="M76" t="e">
        <f t="shared" si="26"/>
        <v>#DIV/0!</v>
      </c>
      <c r="N76" t="e">
        <f>N57/N75</f>
        <v>#DIV/0!</v>
      </c>
      <c r="O76" t="e">
        <f>O57/O75</f>
        <v>#DIV/0!</v>
      </c>
      <c r="P76" t="e">
        <f>P57/P75</f>
        <v>#DIV/0!</v>
      </c>
    </row>
    <row r="77" spans="2:16">
      <c r="B77" s="733"/>
      <c r="C77" s="30" t="s">
        <v>315</v>
      </c>
      <c r="D77" t="e">
        <f>D73/D75</f>
        <v>#DIV/0!</v>
      </c>
      <c r="E77" t="e">
        <f>E73/E75</f>
        <v>#DIV/0!</v>
      </c>
      <c r="F77" t="e">
        <f>F73/F75</f>
        <v>#DIV/0!</v>
      </c>
      <c r="G77" t="e">
        <f>G73/G75</f>
        <v>#DIV/0!</v>
      </c>
      <c r="H77" t="e">
        <f t="shared" ref="H77:M77" si="27">H73/H75</f>
        <v>#DIV/0!</v>
      </c>
      <c r="I77" t="e">
        <f t="shared" si="27"/>
        <v>#DIV/0!</v>
      </c>
      <c r="J77" t="e">
        <f t="shared" si="27"/>
        <v>#DIV/0!</v>
      </c>
      <c r="K77" t="e">
        <f t="shared" si="27"/>
        <v>#DIV/0!</v>
      </c>
      <c r="L77" t="e">
        <f t="shared" si="27"/>
        <v>#DIV/0!</v>
      </c>
      <c r="M77" t="e">
        <f t="shared" si="27"/>
        <v>#DIV/0!</v>
      </c>
      <c r="N77" t="e">
        <f>N73/N75</f>
        <v>#DIV/0!</v>
      </c>
      <c r="O77" t="e">
        <f>O73/O75</f>
        <v>#DIV/0!</v>
      </c>
      <c r="P77" t="e">
        <f>P73/P75</f>
        <v>#DIV/0!</v>
      </c>
    </row>
    <row r="78" spans="2:16">
      <c r="B78" s="45"/>
      <c r="C78" s="30" t="str">
        <f>IF(D69&gt;0,"ECS", IF(D72&gt;0,"ECS estimée","ECS+Cuisson estimées"))</f>
        <v>ECS estimée</v>
      </c>
      <c r="D78" t="e">
        <f>IF(D69&gt;0,D69,HLOOKUP(D54,Estimation_ECS!$C$27:$R$30,4))/D75</f>
        <v>#DIV/0!</v>
      </c>
      <c r="E78" t="e">
        <f>IF(E69&gt;0,E69,HLOOKUP(E54,Estimation_ECS!$C$27:$R$30,4))/E75</f>
        <v>#DIV/0!</v>
      </c>
      <c r="F78" t="e">
        <f>IF(F69&gt;0,F69,HLOOKUP(F54,Estimation_ECS!$C$27:$R$30,4))/F75</f>
        <v>#DIV/0!</v>
      </c>
      <c r="G78" t="e">
        <f>IF(G69&gt;0,G69,HLOOKUP(G54,Estimation_ECS!$C$27:$R$30,4))/G75</f>
        <v>#DIV/0!</v>
      </c>
      <c r="H78" t="e">
        <f>IF(H69&gt;0,H69,HLOOKUP(H54,Estimation_ECS!$C$27:$R$30,4))/H75</f>
        <v>#DIV/0!</v>
      </c>
      <c r="I78" t="e">
        <f>IF(I69&gt;0,I69,HLOOKUP(I54,Estimation_ECS!$C$27:$R$30,4))/I75</f>
        <v>#DIV/0!</v>
      </c>
      <c r="J78" t="e">
        <f>IF(J69&gt;0,J69,HLOOKUP(J54,Estimation_ECS!$C$27:$R$30,4))/J75</f>
        <v>#DIV/0!</v>
      </c>
      <c r="K78" t="e">
        <f>IF(K69&gt;0,K69,HLOOKUP(K54,Estimation_ECS!$C$27:$R$30,4))/K75</f>
        <v>#DIV/0!</v>
      </c>
      <c r="L78" t="e">
        <f>IF(L69&gt;0,L69,HLOOKUP(L54,Estimation_ECS!$C$27:$R$30,4))/L75</f>
        <v>#DIV/0!</v>
      </c>
      <c r="M78" t="e">
        <f>IF(M69&gt;0,M69,HLOOKUP(M54,Estimation_ECS!$C$27:$R$30,4))/M75</f>
        <v>#DIV/0!</v>
      </c>
      <c r="N78" t="e">
        <f>IF(N69&gt;0,N69,HLOOKUP(N54,Estimation_ECS!$C$27:$R$30,4))/N75</f>
        <v>#DIV/0!</v>
      </c>
      <c r="O78" t="e">
        <f>IF(O69&gt;0,O69,HLOOKUP(O54,Estimation_ECS!$C$27:$R$30,4))/O75</f>
        <v>#DIV/0!</v>
      </c>
      <c r="P78" t="e">
        <f>IF(P69&gt;0,P69,HLOOKUP(P54,Estimation_ECS!$C$27:$R$30,4))/P75</f>
        <v>#DIV/0!</v>
      </c>
    </row>
    <row r="79" spans="2:16">
      <c r="B79" s="45"/>
      <c r="C79" s="30" t="s">
        <v>374</v>
      </c>
      <c r="D79" t="e">
        <f>D77-D78</f>
        <v>#DIV/0!</v>
      </c>
      <c r="E79" t="e">
        <f t="shared" ref="E79:M79" si="28">E77-E78</f>
        <v>#DIV/0!</v>
      </c>
      <c r="F79" t="e">
        <f t="shared" si="28"/>
        <v>#DIV/0!</v>
      </c>
      <c r="G79" t="e">
        <f t="shared" si="28"/>
        <v>#DIV/0!</v>
      </c>
      <c r="H79" t="e">
        <f t="shared" si="28"/>
        <v>#DIV/0!</v>
      </c>
      <c r="I79" t="e">
        <f t="shared" si="28"/>
        <v>#DIV/0!</v>
      </c>
      <c r="J79" t="e">
        <f t="shared" si="28"/>
        <v>#DIV/0!</v>
      </c>
      <c r="K79" t="e">
        <f t="shared" si="28"/>
        <v>#DIV/0!</v>
      </c>
      <c r="L79" t="e">
        <f t="shared" si="28"/>
        <v>#DIV/0!</v>
      </c>
      <c r="M79" t="e">
        <f t="shared" si="28"/>
        <v>#DIV/0!</v>
      </c>
      <c r="N79" t="e">
        <f>N77-N78</f>
        <v>#DIV/0!</v>
      </c>
      <c r="O79" t="e">
        <f>O77-O78</f>
        <v>#DIV/0!</v>
      </c>
      <c r="P79" t="e">
        <f>P77-P78</f>
        <v>#DIV/0!</v>
      </c>
    </row>
    <row r="80" spans="2:16">
      <c r="B80" s="45"/>
      <c r="C80" s="30" t="s">
        <v>375</v>
      </c>
      <c r="D80" t="e">
        <f>D62/D75</f>
        <v>#DIV/0!</v>
      </c>
      <c r="E80" t="e">
        <f t="shared" ref="E80:M80" si="29">E62/E75</f>
        <v>#DIV/0!</v>
      </c>
      <c r="F80" t="e">
        <f t="shared" si="29"/>
        <v>#DIV/0!</v>
      </c>
      <c r="G80" t="e">
        <f t="shared" si="29"/>
        <v>#DIV/0!</v>
      </c>
      <c r="H80" t="e">
        <f t="shared" si="29"/>
        <v>#DIV/0!</v>
      </c>
      <c r="I80" t="e">
        <f t="shared" si="29"/>
        <v>#DIV/0!</v>
      </c>
      <c r="J80" t="e">
        <f t="shared" si="29"/>
        <v>#DIV/0!</v>
      </c>
      <c r="K80" t="e">
        <f t="shared" si="29"/>
        <v>#DIV/0!</v>
      </c>
      <c r="L80" t="e">
        <f t="shared" si="29"/>
        <v>#DIV/0!</v>
      </c>
      <c r="M80" t="e">
        <f t="shared" si="29"/>
        <v>#DIV/0!</v>
      </c>
      <c r="N80" t="e">
        <f>N62/N75</f>
        <v>#DIV/0!</v>
      </c>
      <c r="O80" t="e">
        <f>O62/O75</f>
        <v>#DIV/0!</v>
      </c>
      <c r="P80" t="e">
        <f>P62/P75</f>
        <v>#DIV/0!</v>
      </c>
    </row>
    <row r="81" spans="2:16">
      <c r="B81" s="45"/>
      <c r="C81" s="30" t="s">
        <v>376</v>
      </c>
      <c r="D81" t="e">
        <f>D67/D75</f>
        <v>#DIV/0!</v>
      </c>
      <c r="E81" t="e">
        <f t="shared" ref="E81:M81" si="30">E67/E75</f>
        <v>#DIV/0!</v>
      </c>
      <c r="F81" t="e">
        <f t="shared" si="30"/>
        <v>#DIV/0!</v>
      </c>
      <c r="G81" t="e">
        <f t="shared" si="30"/>
        <v>#DIV/0!</v>
      </c>
      <c r="H81" t="e">
        <f t="shared" si="30"/>
        <v>#DIV/0!</v>
      </c>
      <c r="I81" t="e">
        <f t="shared" si="30"/>
        <v>#DIV/0!</v>
      </c>
      <c r="J81" t="e">
        <f t="shared" si="30"/>
        <v>#DIV/0!</v>
      </c>
      <c r="K81" t="e">
        <f t="shared" si="30"/>
        <v>#DIV/0!</v>
      </c>
      <c r="L81" t="e">
        <f t="shared" si="30"/>
        <v>#DIV/0!</v>
      </c>
      <c r="M81" t="e">
        <f t="shared" si="30"/>
        <v>#DIV/0!</v>
      </c>
      <c r="N81" t="e">
        <f>N67/N75</f>
        <v>#DIV/0!</v>
      </c>
      <c r="O81" t="e">
        <f>O67/O75</f>
        <v>#DIV/0!</v>
      </c>
      <c r="P81" t="e">
        <f>P67/P75</f>
        <v>#DIV/0!</v>
      </c>
    </row>
    <row r="82" spans="2:16">
      <c r="C82" s="30" t="s">
        <v>377</v>
      </c>
      <c r="D82" t="e">
        <f>D76+D77+D80+D81</f>
        <v>#DIV/0!</v>
      </c>
      <c r="E82" t="e">
        <f t="shared" ref="E82:M82" si="31">E76+E77+E80+E81</f>
        <v>#DIV/0!</v>
      </c>
      <c r="F82" t="e">
        <f t="shared" si="31"/>
        <v>#DIV/0!</v>
      </c>
      <c r="G82" t="e">
        <f>G76+G77+G80+G81</f>
        <v>#DIV/0!</v>
      </c>
      <c r="H82" t="e">
        <f t="shared" si="31"/>
        <v>#DIV/0!</v>
      </c>
      <c r="I82" t="e">
        <f t="shared" si="31"/>
        <v>#DIV/0!</v>
      </c>
      <c r="J82" t="e">
        <f t="shared" si="31"/>
        <v>#DIV/0!</v>
      </c>
      <c r="K82" t="e">
        <f t="shared" si="31"/>
        <v>#DIV/0!</v>
      </c>
      <c r="L82" t="e">
        <f t="shared" si="31"/>
        <v>#DIV/0!</v>
      </c>
      <c r="M82" t="e">
        <f t="shared" si="31"/>
        <v>#DIV/0!</v>
      </c>
      <c r="N82" t="e">
        <f>N76+N77+N80+N81</f>
        <v>#DIV/0!</v>
      </c>
      <c r="O82" t="e">
        <f>O76+O77+O80+O81</f>
        <v>#DIV/0!</v>
      </c>
      <c r="P82" t="e">
        <f>P76+P77+P80+P81</f>
        <v>#DIV/0!</v>
      </c>
    </row>
    <row r="83" spans="2:16">
      <c r="C83" s="30" t="s">
        <v>13</v>
      </c>
      <c r="D83" t="e">
        <f>VLOOKUP(D11,Site!$B$8:$H$23,7,FALSE)</f>
        <v>#N/A</v>
      </c>
      <c r="E83" t="str">
        <f>VLOOKUP(E11,Site!$B$8:$H$23,7,FALSE)</f>
        <v/>
      </c>
      <c r="F83" t="str">
        <f>VLOOKUP(F11,Site!$B$8:$H$23,7,FALSE)</f>
        <v/>
      </c>
      <c r="G83" t="str">
        <f>VLOOKUP(G11,Site!$B$8:$H$23,7,FALSE)</f>
        <v/>
      </c>
      <c r="H83" t="str">
        <f>VLOOKUP(H11,Site!$B$8:$H$23,7,FALSE)</f>
        <v/>
      </c>
      <c r="I83" t="str">
        <f>VLOOKUP(I11,Site!$B$8:$H$23,7,FALSE)</f>
        <v/>
      </c>
      <c r="J83" t="str">
        <f>VLOOKUP(J11,Site!$B$8:$H$23,7,FALSE)</f>
        <v/>
      </c>
      <c r="K83" t="e">
        <f>VLOOKUP(K11,Site!$B$8:$H$23,7,FALSE)</f>
        <v>#N/A</v>
      </c>
      <c r="L83" t="e">
        <f>VLOOKUP(L11,Site!$B$8:$H$23,7,FALSE)</f>
        <v>#N/A</v>
      </c>
      <c r="M83" t="e">
        <f>VLOOKUP(M11,Site!$B$8:$H$23,7,FALSE)</f>
        <v>#N/A</v>
      </c>
      <c r="N83" t="e">
        <f>VLOOKUP(N11,Site!$B$8:$H$23,7,FALSE)</f>
        <v>#N/A</v>
      </c>
      <c r="O83" t="e">
        <f>VLOOKUP(O11,Site!$B$8:$H$23,7,FALSE)</f>
        <v>#N/A</v>
      </c>
      <c r="P83" t="e">
        <f>VLOOKUP(P11,Site!$B$8:$H$23,7,FALSE)</f>
        <v>#N/A</v>
      </c>
    </row>
    <row r="86" spans="2:16">
      <c r="C86" s="30" t="s">
        <v>383</v>
      </c>
      <c r="D86" s="51">
        <f>(D58-$G$3)/$G$3</f>
        <v>0.17573778942394427</v>
      </c>
      <c r="E86" s="51">
        <f t="shared" ref="E86:M86" si="32">(E58-$G$3)/$G$3</f>
        <v>-8.4153099359938172E-2</v>
      </c>
      <c r="F86" s="51">
        <f t="shared" si="32"/>
        <v>6.0182997551441172E-2</v>
      </c>
      <c r="G86" s="51">
        <f t="shared" si="32"/>
        <v>8.7675587439322952E-2</v>
      </c>
      <c r="H86" s="51">
        <f t="shared" si="32"/>
        <v>-9.9617681171871683E-2</v>
      </c>
      <c r="I86" s="51">
        <f t="shared" si="32"/>
        <v>-5.2364792302074865E-2</v>
      </c>
      <c r="J86" s="51">
        <f t="shared" si="32"/>
        <v>4.0852270286524293E-2</v>
      </c>
      <c r="K86" s="51">
        <f t="shared" si="32"/>
        <v>-3.4752351905150601E-2</v>
      </c>
      <c r="L86" s="51">
        <f t="shared" si="32"/>
        <v>-2.7020060999183852E-2</v>
      </c>
      <c r="M86" s="51">
        <f t="shared" si="32"/>
        <v>-2.4872202414193089E-2</v>
      </c>
      <c r="N86" s="51">
        <f>(N58-$G$3)/$G$3</f>
        <v>-9.4892392284892005E-2</v>
      </c>
      <c r="O86" s="51">
        <f>(O58-$G$3)/$G$3</f>
        <v>2.9683405644572322E-2</v>
      </c>
      <c r="P86" s="51">
        <f>(P58-$G$3)/$G$3</f>
        <v>-0.10348382662485506</v>
      </c>
    </row>
    <row r="87" spans="2:16">
      <c r="C87" s="30" t="s">
        <v>384</v>
      </c>
      <c r="D87" s="51">
        <f t="shared" ref="D87:P87" si="33">IF(D86&lt;0,"",D86)</f>
        <v>0.17573778942394427</v>
      </c>
      <c r="E87" s="51" t="str">
        <f t="shared" si="33"/>
        <v/>
      </c>
      <c r="F87" s="51">
        <f t="shared" si="33"/>
        <v>6.0182997551441172E-2</v>
      </c>
      <c r="G87" s="51">
        <f t="shared" si="33"/>
        <v>8.7675587439322952E-2</v>
      </c>
      <c r="H87" s="51" t="str">
        <f t="shared" si="33"/>
        <v/>
      </c>
      <c r="I87" s="51" t="str">
        <f t="shared" si="33"/>
        <v/>
      </c>
      <c r="J87" s="51">
        <f t="shared" si="33"/>
        <v>4.0852270286524293E-2</v>
      </c>
      <c r="K87" s="51" t="str">
        <f t="shared" si="33"/>
        <v/>
      </c>
      <c r="L87" s="51" t="str">
        <f t="shared" si="33"/>
        <v/>
      </c>
      <c r="M87" s="51" t="str">
        <f t="shared" si="33"/>
        <v/>
      </c>
      <c r="N87" s="51" t="str">
        <f t="shared" si="33"/>
        <v/>
      </c>
      <c r="O87" s="51">
        <f t="shared" si="33"/>
        <v>2.9683405644572322E-2</v>
      </c>
      <c r="P87" s="51" t="str">
        <f t="shared" si="33"/>
        <v/>
      </c>
    </row>
    <row r="88" spans="2:16">
      <c r="C88" s="30" t="s">
        <v>385</v>
      </c>
      <c r="D88" s="51" t="str">
        <f>IF(D86&gt;0,"",D86)</f>
        <v/>
      </c>
      <c r="E88" s="51">
        <f t="shared" ref="E88:M88" si="34">IF(E86&gt;0,"",E86)</f>
        <v>-8.4153099359938172E-2</v>
      </c>
      <c r="F88" s="51" t="str">
        <f t="shared" si="34"/>
        <v/>
      </c>
      <c r="G88" s="51" t="str">
        <f t="shared" si="34"/>
        <v/>
      </c>
      <c r="H88" s="51">
        <f t="shared" si="34"/>
        <v>-9.9617681171871683E-2</v>
      </c>
      <c r="I88" s="51">
        <f t="shared" si="34"/>
        <v>-5.2364792302074865E-2</v>
      </c>
      <c r="J88" s="51" t="str">
        <f t="shared" si="34"/>
        <v/>
      </c>
      <c r="K88" s="51">
        <f t="shared" si="34"/>
        <v>-3.4752351905150601E-2</v>
      </c>
      <c r="L88" s="51">
        <f t="shared" si="34"/>
        <v>-2.7020060999183852E-2</v>
      </c>
      <c r="M88" s="51">
        <f t="shared" si="34"/>
        <v>-2.4872202414193089E-2</v>
      </c>
      <c r="N88" s="51">
        <f>IF(N86&gt;0,"",N86)</f>
        <v>-9.4892392284892005E-2</v>
      </c>
      <c r="O88" s="51" t="str">
        <f>IF(O86&gt;0,"",O86)</f>
        <v/>
      </c>
      <c r="P88" s="51">
        <f>IF(P86&gt;0,"",P86)</f>
        <v>-0.10348382662485506</v>
      </c>
    </row>
    <row r="90" spans="2:16">
      <c r="D90" s="112">
        <f>IF(D91="",0,-30%)</f>
        <v>0</v>
      </c>
      <c r="E90" s="112">
        <f t="shared" ref="E90:P90" si="35">IF(E91="",0,-30%)</f>
        <v>0</v>
      </c>
      <c r="F90" s="112">
        <f t="shared" si="35"/>
        <v>0</v>
      </c>
      <c r="G90" s="112">
        <f t="shared" si="35"/>
        <v>0</v>
      </c>
      <c r="H90" s="112">
        <f t="shared" si="35"/>
        <v>0</v>
      </c>
      <c r="I90" s="112">
        <f t="shared" si="35"/>
        <v>0</v>
      </c>
      <c r="J90" s="112">
        <f t="shared" si="35"/>
        <v>0</v>
      </c>
      <c r="K90" s="112">
        <f t="shared" si="35"/>
        <v>0</v>
      </c>
      <c r="L90" s="112">
        <f t="shared" si="35"/>
        <v>0</v>
      </c>
      <c r="M90" s="112">
        <f t="shared" si="35"/>
        <v>0</v>
      </c>
      <c r="N90" s="112">
        <f t="shared" si="35"/>
        <v>0</v>
      </c>
      <c r="O90" s="112">
        <f t="shared" si="35"/>
        <v>0</v>
      </c>
      <c r="P90" s="112">
        <f t="shared" si="35"/>
        <v>0</v>
      </c>
    </row>
    <row r="91" spans="2:16">
      <c r="D91" t="str">
        <f>IF(VLOOKUP('CALCUL DEET'!D54,Site!$B$8:$M$23,8,0)=0,"",(VLOOKUP('CALCUL DEET'!D54,Site!$B$8:$M$23,8,0)))</f>
        <v/>
      </c>
      <c r="E91" t="str">
        <f>IF(VLOOKUP('CALCUL DEET'!E54,Site!$B$8:$M$23,8,0)=0,"",(VLOOKUP('CALCUL DEET'!E54,Site!$B$8:$M$23,8,0)))</f>
        <v/>
      </c>
      <c r="F91" t="str">
        <f>IF(VLOOKUP('CALCUL DEET'!F54,Site!$B$8:$M$23,8,0)=0,"",(VLOOKUP('CALCUL DEET'!F54,Site!$B$8:$M$23,8,0)))</f>
        <v/>
      </c>
      <c r="G91" t="str">
        <f>IF(VLOOKUP('CALCUL DEET'!G54,Site!$B$8:$M$23,8,0)=0,"",(VLOOKUP('CALCUL DEET'!G54,Site!$B$8:$M$23,8,0)))</f>
        <v/>
      </c>
      <c r="H91" t="str">
        <f>IF(VLOOKUP('CALCUL DEET'!H54,Site!$B$8:$M$23,8,0)=0,"",(VLOOKUP('CALCUL DEET'!H54,Site!$B$8:$M$23,8,0)))</f>
        <v/>
      </c>
      <c r="I91" t="str">
        <f>IF(VLOOKUP('CALCUL DEET'!I54,Site!$B$8:$M$23,8,0)=0,"",(VLOOKUP('CALCUL DEET'!I54,Site!$B$8:$M$23,8,0)))</f>
        <v/>
      </c>
      <c r="J91" t="str">
        <f>IF(VLOOKUP('CALCUL DEET'!J54,Site!$B$8:$M$23,8,0)=0,"",(VLOOKUP('CALCUL DEET'!J54,Site!$B$8:$M$23,8,0)))</f>
        <v/>
      </c>
      <c r="K91" t="str">
        <f>IF(VLOOKUP('CALCUL DEET'!K54,Site!$B$8:$M$23,8,0)=0,"",(VLOOKUP('CALCUL DEET'!K54,Site!$B$8:$M$23,8,0)))</f>
        <v/>
      </c>
      <c r="L91" t="str">
        <f>IF(VLOOKUP('CALCUL DEET'!L54,Site!$B$8:$M$23,8,0)=0,"",(VLOOKUP('CALCUL DEET'!L54,Site!$B$8:$M$23,8,0)))</f>
        <v/>
      </c>
      <c r="M91" t="str">
        <f>IF(VLOOKUP('CALCUL DEET'!M54,Site!$B$8:$M$23,8,0)=0,"",(VLOOKUP('CALCUL DEET'!M54,Site!$B$8:$M$23,8,0)))</f>
        <v/>
      </c>
      <c r="N91" s="414" t="str">
        <f>IF(VLOOKUP('CALCUL DEET'!N54,Site!$B$8:$M$23,8,0)=0,"",(VLOOKUP('CALCUL DEET'!N54,Site!$B$8:$M$23,8,0)))</f>
        <v/>
      </c>
      <c r="O91" s="414" t="str">
        <f>IF(VLOOKUP('CALCUL DEET'!O54,Site!$B$8:$M$23,8,0)=0,"",(VLOOKUP('CALCUL DEET'!O54,Site!$B$8:$M$23,8,0)))</f>
        <v/>
      </c>
      <c r="P91" s="414" t="str">
        <f>IF(VLOOKUP('CALCUL DEET'!P54,Site!$B$8:$M$23,8,0)=0,"",(VLOOKUP('CALCUL DEET'!P54,Site!$B$8:$M$23,8,0)))</f>
        <v/>
      </c>
    </row>
  </sheetData>
  <mergeCells count="10">
    <mergeCell ref="B55:B57"/>
    <mergeCell ref="B58:B62"/>
    <mergeCell ref="B63:B67"/>
    <mergeCell ref="B69:B74"/>
    <mergeCell ref="B75:B77"/>
    <mergeCell ref="B12:B14"/>
    <mergeCell ref="B32:B34"/>
    <mergeCell ref="B26:B31"/>
    <mergeCell ref="B15:B19"/>
    <mergeCell ref="B20:B2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3"/>
  <dimension ref="A1:AJ51"/>
  <sheetViews>
    <sheetView zoomScale="55" zoomScaleNormal="55" workbookViewId="0">
      <selection activeCell="B3" sqref="B3"/>
    </sheetView>
  </sheetViews>
  <sheetFormatPr baseColWidth="10" defaultColWidth="11.36328125" defaultRowHeight="14.5"/>
  <cols>
    <col min="2" max="2" width="30" bestFit="1" customWidth="1"/>
    <col min="3" max="3" width="37.6328125" bestFit="1" customWidth="1"/>
    <col min="4" max="4" width="39.81640625" bestFit="1" customWidth="1"/>
    <col min="5" max="5" width="37.6328125" bestFit="1" customWidth="1"/>
    <col min="6" max="6" width="39.81640625" bestFit="1" customWidth="1"/>
    <col min="7" max="7" width="37.6328125" bestFit="1" customWidth="1"/>
    <col min="8" max="8" width="39.81640625" bestFit="1" customWidth="1"/>
    <col min="9" max="9" width="37.6328125" bestFit="1" customWidth="1"/>
    <col min="10" max="10" width="39.81640625" bestFit="1" customWidth="1"/>
    <col min="11" max="11" width="37.6328125" bestFit="1" customWidth="1"/>
    <col min="12" max="12" width="39.81640625" bestFit="1" customWidth="1"/>
    <col min="13" max="13" width="37.6328125" bestFit="1" customWidth="1"/>
    <col min="14" max="14" width="39.81640625" bestFit="1" customWidth="1"/>
    <col min="15" max="15" width="37.6328125" bestFit="1" customWidth="1"/>
    <col min="16" max="16" width="39.81640625" bestFit="1" customWidth="1"/>
    <col min="17" max="17" width="37.6328125" bestFit="1" customWidth="1"/>
    <col min="18" max="18" width="39.81640625" bestFit="1" customWidth="1"/>
    <col min="19" max="19" width="37.6328125" bestFit="1" customWidth="1"/>
    <col min="20" max="20" width="39.81640625" bestFit="1" customWidth="1"/>
    <col min="21" max="21" width="37.6328125" bestFit="1" customWidth="1"/>
    <col min="22" max="22" width="39.81640625" bestFit="1" customWidth="1"/>
    <col min="23" max="23" width="37.6328125" bestFit="1" customWidth="1"/>
    <col min="24" max="24" width="39.81640625" bestFit="1" customWidth="1"/>
    <col min="25" max="25" width="37.6328125" bestFit="1" customWidth="1"/>
    <col min="26" max="26" width="39.81640625" bestFit="1" customWidth="1"/>
    <col min="27" max="27" width="37.6328125" bestFit="1" customWidth="1"/>
    <col min="28" max="28" width="39.81640625" bestFit="1" customWidth="1"/>
    <col min="29" max="29" width="37.6328125" bestFit="1" customWidth="1"/>
    <col min="30" max="30" width="39.81640625" bestFit="1" customWidth="1"/>
    <col min="31" max="31" width="37.6328125" bestFit="1" customWidth="1"/>
    <col min="32" max="32" width="39.81640625" bestFit="1" customWidth="1"/>
    <col min="33" max="33" width="37.6328125" bestFit="1" customWidth="1"/>
    <col min="34" max="34" width="39.81640625" bestFit="1" customWidth="1"/>
    <col min="35" max="35" width="44.81640625" bestFit="1" customWidth="1"/>
    <col min="36" max="36" width="47.08984375" bestFit="1" customWidth="1"/>
    <col min="37" max="37" width="44.81640625" bestFit="1" customWidth="1"/>
    <col min="38" max="38" width="47.08984375" bestFit="1" customWidth="1"/>
    <col min="39" max="39" width="44.81640625" bestFit="1" customWidth="1"/>
    <col min="40" max="40" width="47.08984375" bestFit="1" customWidth="1"/>
    <col min="41" max="41" width="37.6328125" bestFit="1" customWidth="1"/>
    <col min="42" max="42" width="39.81640625" bestFit="1" customWidth="1"/>
    <col min="43" max="43" width="37.6328125" bestFit="1" customWidth="1"/>
    <col min="44" max="44" width="39.81640625" bestFit="1" customWidth="1"/>
    <col min="45" max="45" width="37.6328125" bestFit="1" customWidth="1"/>
    <col min="46" max="46" width="39.81640625" bestFit="1" customWidth="1"/>
    <col min="47" max="47" width="37.6328125" bestFit="1" customWidth="1"/>
    <col min="48" max="48" width="39.81640625" bestFit="1" customWidth="1"/>
    <col min="49" max="49" width="37.6328125" bestFit="1" customWidth="1"/>
    <col min="50" max="50" width="39.81640625" bestFit="1" customWidth="1"/>
    <col min="51" max="51" width="37.6328125" bestFit="1" customWidth="1"/>
    <col min="52" max="52" width="39.81640625" bestFit="1" customWidth="1"/>
    <col min="53" max="53" width="37.6328125" bestFit="1" customWidth="1"/>
    <col min="54" max="54" width="39.81640625" bestFit="1" customWidth="1"/>
    <col min="55" max="55" width="37.6328125" bestFit="1" customWidth="1"/>
    <col min="56" max="56" width="39.81640625" bestFit="1" customWidth="1"/>
    <col min="57" max="57" width="37.6328125" bestFit="1" customWidth="1"/>
    <col min="58" max="58" width="39.81640625" bestFit="1" customWidth="1"/>
    <col min="59" max="59" width="37.6328125" bestFit="1" customWidth="1"/>
    <col min="60" max="60" width="39.81640625" bestFit="1" customWidth="1"/>
    <col min="61" max="61" width="37.6328125" bestFit="1" customWidth="1"/>
    <col min="62" max="62" width="39.81640625" bestFit="1" customWidth="1"/>
    <col min="63" max="63" width="37.6328125" bestFit="1" customWidth="1"/>
    <col min="64" max="64" width="39.81640625" bestFit="1" customWidth="1"/>
    <col min="65" max="65" width="37.6328125" bestFit="1" customWidth="1"/>
    <col min="66" max="66" width="39.81640625" bestFit="1" customWidth="1"/>
    <col min="67" max="67" width="37.6328125" bestFit="1" customWidth="1"/>
    <col min="68" max="68" width="39.81640625" bestFit="1" customWidth="1"/>
    <col min="69" max="69" width="37.6328125" bestFit="1" customWidth="1"/>
    <col min="70" max="70" width="39.81640625" bestFit="1" customWidth="1"/>
    <col min="71" max="71" width="37.6328125" bestFit="1" customWidth="1"/>
    <col min="72" max="72" width="39.81640625" bestFit="1" customWidth="1"/>
    <col min="73" max="73" width="37.6328125" bestFit="1" customWidth="1"/>
    <col min="74" max="74" width="39.81640625" bestFit="1" customWidth="1"/>
    <col min="75" max="75" width="37.6328125" bestFit="1" customWidth="1"/>
    <col min="76" max="76" width="39.81640625" bestFit="1" customWidth="1"/>
    <col min="77" max="77" width="37.6328125" bestFit="1" customWidth="1"/>
    <col min="78" max="78" width="39.81640625" bestFit="1" customWidth="1"/>
    <col min="79" max="79" width="37.6328125" bestFit="1" customWidth="1"/>
    <col min="80" max="80" width="39.81640625" bestFit="1" customWidth="1"/>
    <col min="81" max="81" width="37.6328125" bestFit="1" customWidth="1"/>
    <col min="82" max="82" width="39.81640625" bestFit="1" customWidth="1"/>
    <col min="83" max="83" width="37.6328125" bestFit="1" customWidth="1"/>
    <col min="84" max="84" width="39.81640625" bestFit="1" customWidth="1"/>
    <col min="85" max="85" width="37.6328125" bestFit="1" customWidth="1"/>
    <col min="86" max="86" width="39.81640625" bestFit="1" customWidth="1"/>
    <col min="87" max="87" width="37.6328125" bestFit="1" customWidth="1"/>
    <col min="88" max="88" width="39.81640625" bestFit="1" customWidth="1"/>
    <col min="89" max="89" width="37.6328125" bestFit="1" customWidth="1"/>
    <col min="90" max="90" width="39.81640625" bestFit="1" customWidth="1"/>
    <col min="91" max="91" width="37.6328125" bestFit="1" customWidth="1"/>
    <col min="92" max="92" width="39.81640625" bestFit="1" customWidth="1"/>
    <col min="93" max="93" width="37.6328125" bestFit="1" customWidth="1"/>
    <col min="94" max="94" width="39.81640625" bestFit="1" customWidth="1"/>
    <col min="95" max="95" width="37.6328125" bestFit="1" customWidth="1"/>
    <col min="96" max="96" width="39.81640625" bestFit="1" customWidth="1"/>
    <col min="97" max="97" width="37.6328125" bestFit="1" customWidth="1"/>
    <col min="98" max="98" width="39.81640625" bestFit="1" customWidth="1"/>
    <col min="99" max="99" width="37.6328125" bestFit="1" customWidth="1"/>
    <col min="100" max="100" width="39.81640625" bestFit="1" customWidth="1"/>
    <col min="101" max="101" width="37.6328125" bestFit="1" customWidth="1"/>
    <col min="102" max="102" width="39.81640625" bestFit="1" customWidth="1"/>
    <col min="103" max="103" width="37.6328125" bestFit="1" customWidth="1"/>
    <col min="104" max="104" width="39.81640625" bestFit="1" customWidth="1"/>
    <col min="105" max="105" width="37.6328125" bestFit="1" customWidth="1"/>
    <col min="106" max="106" width="39.81640625" bestFit="1" customWidth="1"/>
    <col min="107" max="107" width="37.6328125" bestFit="1" customWidth="1"/>
    <col min="108" max="108" width="39.81640625" bestFit="1" customWidth="1"/>
    <col min="109" max="109" width="37.6328125" bestFit="1" customWidth="1"/>
    <col min="110" max="110" width="39.81640625" bestFit="1" customWidth="1"/>
    <col min="111" max="111" width="37.6328125" bestFit="1" customWidth="1"/>
    <col min="112" max="112" width="39.81640625" bestFit="1" customWidth="1"/>
    <col min="113" max="113" width="37.6328125" bestFit="1" customWidth="1"/>
    <col min="114" max="114" width="39.81640625" bestFit="1" customWidth="1"/>
    <col min="115" max="115" width="37.6328125" bestFit="1" customWidth="1"/>
    <col min="116" max="116" width="39.81640625" bestFit="1" customWidth="1"/>
    <col min="117" max="117" width="37.6328125" bestFit="1" customWidth="1"/>
    <col min="118" max="118" width="39.81640625" bestFit="1" customWidth="1"/>
    <col min="119" max="119" width="37.6328125" bestFit="1" customWidth="1"/>
    <col min="120" max="120" width="39.81640625" bestFit="1" customWidth="1"/>
    <col min="121" max="121" width="37.6328125" bestFit="1" customWidth="1"/>
    <col min="122" max="122" width="39.81640625" bestFit="1" customWidth="1"/>
    <col min="123" max="123" width="37.6328125" bestFit="1" customWidth="1"/>
    <col min="124" max="124" width="39.81640625" bestFit="1" customWidth="1"/>
    <col min="125" max="125" width="37.6328125" bestFit="1" customWidth="1"/>
    <col min="126" max="126" width="39.81640625" bestFit="1" customWidth="1"/>
    <col min="127" max="127" width="37.6328125" bestFit="1" customWidth="1"/>
    <col min="128" max="128" width="39.81640625" bestFit="1" customWidth="1"/>
    <col min="129" max="129" width="37.6328125" bestFit="1" customWidth="1"/>
    <col min="130" max="130" width="39.81640625" bestFit="1" customWidth="1"/>
    <col min="131" max="131" width="37.6328125" bestFit="1" customWidth="1"/>
    <col min="132" max="132" width="39.81640625" bestFit="1" customWidth="1"/>
    <col min="133" max="133" width="37.6328125" bestFit="1" customWidth="1"/>
    <col min="134" max="134" width="39.81640625" bestFit="1" customWidth="1"/>
    <col min="135" max="135" width="37.6328125" bestFit="1" customWidth="1"/>
    <col min="136" max="136" width="39.81640625" bestFit="1" customWidth="1"/>
    <col min="137" max="137" width="37.6328125" bestFit="1" customWidth="1"/>
    <col min="138" max="138" width="39.81640625" bestFit="1" customWidth="1"/>
    <col min="139" max="139" width="37.6328125" bestFit="1" customWidth="1"/>
    <col min="140" max="140" width="39.81640625" bestFit="1" customWidth="1"/>
    <col min="141" max="141" width="37.6328125" bestFit="1" customWidth="1"/>
    <col min="142" max="142" width="39.81640625" bestFit="1" customWidth="1"/>
    <col min="143" max="143" width="37.6328125" bestFit="1" customWidth="1"/>
    <col min="144" max="144" width="39.81640625" bestFit="1" customWidth="1"/>
    <col min="145" max="145" width="37.6328125" bestFit="1" customWidth="1"/>
    <col min="146" max="146" width="39.81640625" bestFit="1" customWidth="1"/>
    <col min="147" max="147" width="37.6328125" bestFit="1" customWidth="1"/>
    <col min="148" max="148" width="39.81640625" bestFit="1" customWidth="1"/>
    <col min="149" max="149" width="37.6328125" bestFit="1" customWidth="1"/>
    <col min="150" max="150" width="39.81640625" bestFit="1" customWidth="1"/>
    <col min="151" max="151" width="37.6328125" bestFit="1" customWidth="1"/>
    <col min="152" max="152" width="39.81640625" bestFit="1" customWidth="1"/>
    <col min="153" max="153" width="37.6328125" bestFit="1" customWidth="1"/>
    <col min="154" max="154" width="39.81640625" bestFit="1" customWidth="1"/>
    <col min="155" max="155" width="37.6328125" bestFit="1" customWidth="1"/>
    <col min="156" max="156" width="39.81640625" bestFit="1" customWidth="1"/>
    <col min="157" max="157" width="37.6328125" bestFit="1" customWidth="1"/>
    <col min="158" max="158" width="39.81640625" bestFit="1" customWidth="1"/>
    <col min="159" max="159" width="37.6328125" bestFit="1" customWidth="1"/>
    <col min="160" max="160" width="39.81640625" bestFit="1" customWidth="1"/>
    <col min="161" max="161" width="37.6328125" bestFit="1" customWidth="1"/>
    <col min="162" max="162" width="39.81640625" bestFit="1" customWidth="1"/>
    <col min="163" max="163" width="37.6328125" bestFit="1" customWidth="1"/>
    <col min="164" max="164" width="39.81640625" bestFit="1" customWidth="1"/>
    <col min="165" max="165" width="37.6328125" bestFit="1" customWidth="1"/>
    <col min="166" max="166" width="39.81640625" bestFit="1" customWidth="1"/>
    <col min="167" max="167" width="37.6328125" bestFit="1" customWidth="1"/>
    <col min="168" max="168" width="39.81640625" bestFit="1" customWidth="1"/>
    <col min="169" max="169" width="37.6328125" bestFit="1" customWidth="1"/>
    <col min="170" max="170" width="39.81640625" bestFit="1" customWidth="1"/>
    <col min="171" max="171" width="37.6328125" bestFit="1" customWidth="1"/>
    <col min="172" max="172" width="39.81640625" bestFit="1" customWidth="1"/>
    <col min="173" max="173" width="37.6328125" bestFit="1" customWidth="1"/>
    <col min="174" max="174" width="39.81640625" bestFit="1" customWidth="1"/>
    <col min="175" max="175" width="37.6328125" bestFit="1" customWidth="1"/>
    <col min="176" max="176" width="39.81640625" bestFit="1" customWidth="1"/>
    <col min="177" max="177" width="37.6328125" bestFit="1" customWidth="1"/>
    <col min="178" max="178" width="39.81640625" bestFit="1" customWidth="1"/>
    <col min="179" max="179" width="37.6328125" bestFit="1" customWidth="1"/>
    <col min="180" max="180" width="39.81640625" bestFit="1" customWidth="1"/>
    <col min="181" max="181" width="37.6328125" bestFit="1" customWidth="1"/>
    <col min="182" max="182" width="39.81640625" bestFit="1" customWidth="1"/>
    <col min="183" max="183" width="37.6328125" bestFit="1" customWidth="1"/>
    <col min="184" max="184" width="39.81640625" bestFit="1" customWidth="1"/>
    <col min="185" max="185" width="37.6328125" bestFit="1" customWidth="1"/>
    <col min="186" max="186" width="39.81640625" bestFit="1" customWidth="1"/>
    <col min="187" max="187" width="37.6328125" bestFit="1" customWidth="1"/>
    <col min="188" max="188" width="39.81640625" bestFit="1" customWidth="1"/>
    <col min="189" max="189" width="37.6328125" bestFit="1" customWidth="1"/>
    <col min="190" max="190" width="39.81640625" bestFit="1" customWidth="1"/>
    <col min="191" max="191" width="37.6328125" bestFit="1" customWidth="1"/>
    <col min="192" max="192" width="39.81640625" bestFit="1" customWidth="1"/>
    <col min="193" max="193" width="37.6328125" bestFit="1" customWidth="1"/>
    <col min="194" max="194" width="39.81640625" bestFit="1" customWidth="1"/>
    <col min="195" max="195" width="37.6328125" bestFit="1" customWidth="1"/>
    <col min="196" max="196" width="39.81640625" bestFit="1" customWidth="1"/>
    <col min="197" max="197" width="37.6328125" bestFit="1" customWidth="1"/>
    <col min="198" max="198" width="39.81640625" bestFit="1" customWidth="1"/>
    <col min="199" max="199" width="37.6328125" bestFit="1" customWidth="1"/>
    <col min="200" max="200" width="39.81640625" bestFit="1" customWidth="1"/>
    <col min="201" max="201" width="37.6328125" bestFit="1" customWidth="1"/>
    <col min="202" max="202" width="39.81640625" bestFit="1" customWidth="1"/>
    <col min="203" max="203" width="37.6328125" bestFit="1" customWidth="1"/>
    <col min="204" max="204" width="39.81640625" bestFit="1" customWidth="1"/>
    <col min="205" max="205" width="37.6328125" bestFit="1" customWidth="1"/>
    <col min="206" max="206" width="39.81640625" bestFit="1" customWidth="1"/>
    <col min="207" max="207" width="37.6328125" bestFit="1" customWidth="1"/>
    <col min="208" max="208" width="39.81640625" bestFit="1" customWidth="1"/>
    <col min="209" max="209" width="37.6328125" bestFit="1" customWidth="1"/>
    <col min="210" max="210" width="39.81640625" bestFit="1" customWidth="1"/>
    <col min="211" max="211" width="37.6328125" bestFit="1" customWidth="1"/>
    <col min="212" max="212" width="39.81640625" bestFit="1" customWidth="1"/>
    <col min="213" max="213" width="37.6328125" bestFit="1" customWidth="1"/>
    <col min="214" max="214" width="39.81640625" bestFit="1" customWidth="1"/>
    <col min="215" max="215" width="37.6328125" bestFit="1" customWidth="1"/>
    <col min="216" max="216" width="39.81640625" bestFit="1" customWidth="1"/>
    <col min="217" max="217" width="37.6328125" bestFit="1" customWidth="1"/>
    <col min="218" max="218" width="39.81640625" bestFit="1" customWidth="1"/>
    <col min="219" max="219" width="37.6328125" bestFit="1" customWidth="1"/>
    <col min="220" max="220" width="39.81640625" bestFit="1" customWidth="1"/>
    <col min="221" max="221" width="37.6328125" bestFit="1" customWidth="1"/>
    <col min="222" max="222" width="39.81640625" bestFit="1" customWidth="1"/>
    <col min="223" max="223" width="37.6328125" bestFit="1" customWidth="1"/>
    <col min="224" max="224" width="39.81640625" bestFit="1" customWidth="1"/>
    <col min="225" max="225" width="37.6328125" bestFit="1" customWidth="1"/>
    <col min="226" max="226" width="39.81640625" bestFit="1" customWidth="1"/>
    <col min="227" max="227" width="37.6328125" bestFit="1" customWidth="1"/>
    <col min="228" max="228" width="39.81640625" bestFit="1" customWidth="1"/>
    <col min="229" max="229" width="37.6328125" bestFit="1" customWidth="1"/>
    <col min="230" max="230" width="39.81640625" bestFit="1" customWidth="1"/>
    <col min="231" max="231" width="37.6328125" bestFit="1" customWidth="1"/>
    <col min="232" max="232" width="39.81640625" bestFit="1" customWidth="1"/>
    <col min="233" max="233" width="37.6328125" bestFit="1" customWidth="1"/>
    <col min="234" max="234" width="39.81640625" bestFit="1" customWidth="1"/>
    <col min="235" max="235" width="37.6328125" bestFit="1" customWidth="1"/>
    <col min="236" max="236" width="39.81640625" bestFit="1" customWidth="1"/>
    <col min="237" max="237" width="37.6328125" bestFit="1" customWidth="1"/>
    <col min="238" max="238" width="39.81640625" bestFit="1" customWidth="1"/>
    <col min="239" max="239" width="37.6328125" bestFit="1" customWidth="1"/>
    <col min="240" max="240" width="39.81640625" bestFit="1" customWidth="1"/>
    <col min="241" max="241" width="37.6328125" bestFit="1" customWidth="1"/>
    <col min="242" max="242" width="39.81640625" bestFit="1" customWidth="1"/>
    <col min="243" max="243" width="37.6328125" bestFit="1" customWidth="1"/>
    <col min="244" max="244" width="39.81640625" bestFit="1" customWidth="1"/>
    <col min="245" max="245" width="37.6328125" bestFit="1" customWidth="1"/>
    <col min="246" max="246" width="39.81640625" bestFit="1" customWidth="1"/>
    <col min="247" max="247" width="37.6328125" bestFit="1" customWidth="1"/>
    <col min="248" max="248" width="39.81640625" bestFit="1" customWidth="1"/>
    <col min="249" max="249" width="37.6328125" bestFit="1" customWidth="1"/>
    <col min="250" max="250" width="39.81640625" bestFit="1" customWidth="1"/>
    <col min="251" max="251" width="37.6328125" bestFit="1" customWidth="1"/>
    <col min="252" max="252" width="39.81640625" bestFit="1" customWidth="1"/>
    <col min="253" max="253" width="44.81640625" bestFit="1" customWidth="1"/>
    <col min="254" max="254" width="47.08984375" bestFit="1" customWidth="1"/>
    <col min="255" max="255" width="44.81640625" bestFit="1" customWidth="1"/>
    <col min="256" max="256" width="47.08984375" bestFit="1" customWidth="1"/>
  </cols>
  <sheetData>
    <row r="1" spans="2:36">
      <c r="B1" s="166" t="s">
        <v>68</v>
      </c>
      <c r="C1" s="679" t="s" vm="2">
        <v>855</v>
      </c>
    </row>
    <row r="3" spans="2:36">
      <c r="C3" s="166" t="s">
        <v>74</v>
      </c>
    </row>
    <row r="4" spans="2:36">
      <c r="C4" s="679">
        <v>2010</v>
      </c>
      <c r="E4" s="679">
        <v>2011</v>
      </c>
      <c r="G4" s="679">
        <v>2012</v>
      </c>
      <c r="I4" s="679">
        <v>2013</v>
      </c>
      <c r="K4" s="679">
        <v>2014</v>
      </c>
      <c r="M4" s="679">
        <v>2015</v>
      </c>
      <c r="O4" s="679">
        <v>2016</v>
      </c>
      <c r="Q4" s="679">
        <v>2017</v>
      </c>
      <c r="S4" s="679">
        <v>2018</v>
      </c>
      <c r="U4" s="679">
        <v>2019</v>
      </c>
      <c r="W4" s="679">
        <v>2020</v>
      </c>
      <c r="Y4" s="679">
        <v>2021</v>
      </c>
      <c r="AA4" s="679">
        <v>2022</v>
      </c>
      <c r="AC4" s="679">
        <v>2023</v>
      </c>
      <c r="AE4" s="679">
        <v>2024</v>
      </c>
      <c r="AG4" s="679">
        <v>2025</v>
      </c>
      <c r="AI4" s="679" t="s">
        <v>900</v>
      </c>
      <c r="AJ4" s="679" t="s">
        <v>901</v>
      </c>
    </row>
    <row r="5" spans="2:36">
      <c r="B5" s="166" t="s">
        <v>64</v>
      </c>
      <c r="C5" s="679" t="s">
        <v>843</v>
      </c>
      <c r="D5" s="679" t="s">
        <v>902</v>
      </c>
      <c r="E5" s="679" t="s">
        <v>843</v>
      </c>
      <c r="F5" s="679" t="s">
        <v>902</v>
      </c>
      <c r="G5" s="679" t="s">
        <v>843</v>
      </c>
      <c r="H5" s="679" t="s">
        <v>902</v>
      </c>
      <c r="I5" s="679" t="s">
        <v>843</v>
      </c>
      <c r="J5" s="679" t="s">
        <v>902</v>
      </c>
      <c r="K5" s="679" t="s">
        <v>843</v>
      </c>
      <c r="L5" s="679" t="s">
        <v>902</v>
      </c>
      <c r="M5" s="679" t="s">
        <v>843</v>
      </c>
      <c r="N5" s="679" t="s">
        <v>902</v>
      </c>
      <c r="O5" s="679" t="s">
        <v>843</v>
      </c>
      <c r="P5" s="679" t="s">
        <v>902</v>
      </c>
      <c r="Q5" s="679" t="s">
        <v>843</v>
      </c>
      <c r="R5" s="679" t="s">
        <v>902</v>
      </c>
      <c r="S5" s="679" t="s">
        <v>843</v>
      </c>
      <c r="T5" s="679" t="s">
        <v>902</v>
      </c>
      <c r="U5" s="679" t="s">
        <v>843</v>
      </c>
      <c r="V5" s="679" t="s">
        <v>902</v>
      </c>
      <c r="W5" s="679" t="s">
        <v>843</v>
      </c>
      <c r="X5" s="679" t="s">
        <v>902</v>
      </c>
      <c r="Y5" s="679" t="s">
        <v>843</v>
      </c>
      <c r="Z5" s="679" t="s">
        <v>902</v>
      </c>
      <c r="AA5" s="679" t="s">
        <v>843</v>
      </c>
      <c r="AB5" s="679" t="s">
        <v>902</v>
      </c>
      <c r="AC5" s="679" t="s">
        <v>843</v>
      </c>
      <c r="AD5" s="679" t="s">
        <v>902</v>
      </c>
      <c r="AE5" s="679" t="s">
        <v>843</v>
      </c>
      <c r="AF5" s="679" t="s">
        <v>902</v>
      </c>
      <c r="AG5" s="679" t="s">
        <v>843</v>
      </c>
      <c r="AH5" s="679" t="s">
        <v>902</v>
      </c>
    </row>
    <row r="6" spans="2:36">
      <c r="B6" s="85" t="s">
        <v>32</v>
      </c>
      <c r="C6" s="205">
        <v>175.24373688757254</v>
      </c>
      <c r="D6" s="205">
        <v>175.24373688757251</v>
      </c>
      <c r="E6" s="205">
        <v>123.41108231519192</v>
      </c>
      <c r="F6" s="205">
        <v>123.41108231519189</v>
      </c>
      <c r="G6" s="205">
        <v>150.15015015015015</v>
      </c>
      <c r="H6" s="205">
        <v>150.15015015015013</v>
      </c>
      <c r="I6" s="205">
        <v>150.56152042453414</v>
      </c>
      <c r="J6" s="205">
        <v>150.56152042453411</v>
      </c>
      <c r="K6" s="205">
        <v>123.41108231519192</v>
      </c>
      <c r="L6" s="205">
        <v>123.41108231519189</v>
      </c>
      <c r="M6" s="205">
        <v>133.28396890040727</v>
      </c>
      <c r="N6" s="205">
        <v>133.28396890040725</v>
      </c>
      <c r="O6" s="205">
        <v>140.30423866489443</v>
      </c>
      <c r="P6" s="205">
        <v>140.3042386648944</v>
      </c>
      <c r="Q6" s="205">
        <v>133.28396890040727</v>
      </c>
      <c r="R6" s="205">
        <v>133.28396890040725</v>
      </c>
      <c r="S6" s="205">
        <v>135.75219054671112</v>
      </c>
      <c r="T6" s="205">
        <v>135.75219054671109</v>
      </c>
      <c r="U6" s="205">
        <v>143.15685548562263</v>
      </c>
      <c r="V6" s="205">
        <v>143.15685548562263</v>
      </c>
      <c r="W6" s="205">
        <v>16.356132407120985</v>
      </c>
      <c r="X6" s="205">
        <v>16.356132407120981</v>
      </c>
      <c r="Y6" s="205">
        <v>18.539012477618108</v>
      </c>
      <c r="Z6" s="205">
        <v>18.539012477618101</v>
      </c>
      <c r="AA6" s="205">
        <v>6.5969195001453054</v>
      </c>
      <c r="AB6" s="205">
        <v>6.5969195001453045</v>
      </c>
      <c r="AC6" s="205">
        <v>17.035299714121603</v>
      </c>
      <c r="AD6" s="205">
        <v>17.035299714121589</v>
      </c>
      <c r="AE6" s="205">
        <v>6.2875570679941246</v>
      </c>
      <c r="AF6" s="205">
        <v>6.2875570679941246</v>
      </c>
      <c r="AG6" s="205">
        <v>6.105220725408028</v>
      </c>
      <c r="AH6" s="205">
        <v>6.105220725408028</v>
      </c>
      <c r="AI6" s="205">
        <v>92.467433530193219</v>
      </c>
      <c r="AJ6" s="205">
        <v>92.467433530193219</v>
      </c>
    </row>
    <row r="7" spans="2:36">
      <c r="B7" s="85" t="s">
        <v>28</v>
      </c>
      <c r="C7" s="205"/>
      <c r="D7" s="205"/>
      <c r="E7" s="205">
        <v>9.8199863107460637</v>
      </c>
      <c r="F7" s="205">
        <v>9.8199863107460637</v>
      </c>
      <c r="G7" s="205">
        <v>9.8199863107460637</v>
      </c>
      <c r="H7" s="205">
        <v>9.8199863107460637</v>
      </c>
      <c r="I7" s="205">
        <v>9.8199863107460637</v>
      </c>
      <c r="J7" s="205">
        <v>9.8199863107460637</v>
      </c>
      <c r="K7" s="205">
        <v>9.8199863107460637</v>
      </c>
      <c r="L7" s="205">
        <v>9.8199863107460637</v>
      </c>
      <c r="M7" s="205">
        <v>40.42739726027397</v>
      </c>
      <c r="N7" s="205">
        <v>40.42739726027397</v>
      </c>
      <c r="O7" s="205">
        <v>38.647540983606561</v>
      </c>
      <c r="P7" s="205">
        <v>38.647540983606561</v>
      </c>
      <c r="Q7" s="205">
        <v>38.167123287671231</v>
      </c>
      <c r="R7" s="205">
        <v>38.167123287671231</v>
      </c>
      <c r="S7" s="205">
        <v>36.704109589041096</v>
      </c>
      <c r="T7" s="205">
        <v>36.704109589041096</v>
      </c>
      <c r="U7" s="205">
        <v>37.57260273972603</v>
      </c>
      <c r="V7" s="205">
        <v>37.57260273972603</v>
      </c>
      <c r="W7" s="205">
        <v>31.822845055526159</v>
      </c>
      <c r="X7" s="205">
        <v>31.822845055526159</v>
      </c>
      <c r="Y7" s="205">
        <v>36.751983077736647</v>
      </c>
      <c r="Z7" s="205">
        <v>36.751983077736647</v>
      </c>
      <c r="AA7" s="205">
        <v>32.783183500793236</v>
      </c>
      <c r="AB7" s="205">
        <v>32.783183500793236</v>
      </c>
      <c r="AC7" s="205">
        <v>31.978847170809072</v>
      </c>
      <c r="AD7" s="205">
        <v>31.978847170809072</v>
      </c>
      <c r="AE7" s="205">
        <v>32.549785912898159</v>
      </c>
      <c r="AF7" s="205">
        <v>32.549785912898159</v>
      </c>
      <c r="AG7" s="205">
        <v>33.643608945599652</v>
      </c>
      <c r="AH7" s="205">
        <v>33.643608945599652</v>
      </c>
      <c r="AI7" s="205">
        <v>28.688598184444444</v>
      </c>
      <c r="AJ7" s="205">
        <v>28.688598184444444</v>
      </c>
    </row>
    <row r="8" spans="2:36">
      <c r="B8" s="85" t="s">
        <v>36</v>
      </c>
      <c r="C8" s="205"/>
      <c r="D8" s="205"/>
      <c r="E8" s="205"/>
      <c r="F8" s="205"/>
      <c r="G8" s="205"/>
      <c r="H8" s="205"/>
      <c r="I8" s="205"/>
      <c r="J8" s="205"/>
      <c r="K8" s="205"/>
      <c r="L8" s="205"/>
      <c r="M8" s="205"/>
      <c r="N8" s="205"/>
      <c r="O8" s="205"/>
      <c r="P8" s="205"/>
      <c r="Q8" s="205"/>
      <c r="R8" s="205"/>
      <c r="S8" s="205"/>
      <c r="T8" s="205"/>
      <c r="U8" s="205">
        <v>0</v>
      </c>
      <c r="V8" s="205">
        <v>0</v>
      </c>
      <c r="W8" s="205">
        <v>0</v>
      </c>
      <c r="X8" s="205">
        <v>0</v>
      </c>
      <c r="Y8" s="205">
        <v>0</v>
      </c>
      <c r="Z8" s="205">
        <v>0</v>
      </c>
      <c r="AA8" s="205">
        <v>0</v>
      </c>
      <c r="AB8" s="205">
        <v>0</v>
      </c>
      <c r="AC8" s="205">
        <v>0</v>
      </c>
      <c r="AD8" s="205">
        <v>0</v>
      </c>
      <c r="AE8" s="205">
        <v>0</v>
      </c>
      <c r="AF8" s="205">
        <v>0</v>
      </c>
      <c r="AG8" s="205">
        <v>0</v>
      </c>
      <c r="AH8" s="205">
        <v>0</v>
      </c>
      <c r="AI8" s="205">
        <v>0</v>
      </c>
      <c r="AJ8" s="205">
        <v>0</v>
      </c>
    </row>
    <row r="9" spans="2:36">
      <c r="B9" s="85" t="s">
        <v>86</v>
      </c>
      <c r="C9" s="205">
        <v>175.24373688757254</v>
      </c>
      <c r="D9" s="205">
        <v>175.24373688757251</v>
      </c>
      <c r="E9" s="205">
        <v>66.61553431296899</v>
      </c>
      <c r="F9" s="205">
        <v>66.615534312968975</v>
      </c>
      <c r="G9" s="205">
        <v>79.985068230448121</v>
      </c>
      <c r="H9" s="205">
        <v>79.985068230448107</v>
      </c>
      <c r="I9" s="205">
        <v>80.190753367640099</v>
      </c>
      <c r="J9" s="205">
        <v>80.190753367640085</v>
      </c>
      <c r="K9" s="205">
        <v>66.61553431296899</v>
      </c>
      <c r="L9" s="205">
        <v>66.615534312968975</v>
      </c>
      <c r="M9" s="205">
        <v>86.855683080340611</v>
      </c>
      <c r="N9" s="205">
        <v>86.855683080340597</v>
      </c>
      <c r="O9" s="205">
        <v>89.475889824250501</v>
      </c>
      <c r="P9" s="205">
        <v>89.475889824250473</v>
      </c>
      <c r="Q9" s="205">
        <v>85.725546094039245</v>
      </c>
      <c r="R9" s="205">
        <v>85.725546094039231</v>
      </c>
      <c r="S9" s="205">
        <v>86.228150067876101</v>
      </c>
      <c r="T9" s="205">
        <v>86.228150067876086</v>
      </c>
      <c r="U9" s="205">
        <v>60.243152741782879</v>
      </c>
      <c r="V9" s="205">
        <v>60.243152741782879</v>
      </c>
      <c r="W9" s="205">
        <v>16.059659154215716</v>
      </c>
      <c r="X9" s="205">
        <v>16.059659154215712</v>
      </c>
      <c r="Y9" s="205">
        <v>18.430331851784917</v>
      </c>
      <c r="Z9" s="205">
        <v>18.430331851784914</v>
      </c>
      <c r="AA9" s="205">
        <v>13.126701000312847</v>
      </c>
      <c r="AB9" s="205">
        <v>13.126701000312847</v>
      </c>
      <c r="AC9" s="205">
        <v>16.338048961643558</v>
      </c>
      <c r="AD9" s="205">
        <v>16.338048961643558</v>
      </c>
      <c r="AE9" s="205">
        <v>12.945780993630763</v>
      </c>
      <c r="AF9" s="205">
        <v>12.945780993630763</v>
      </c>
      <c r="AG9" s="205">
        <v>13.249609890335893</v>
      </c>
      <c r="AH9" s="205">
        <v>13.249609890335893</v>
      </c>
      <c r="AI9" s="205">
        <v>50.258102874993632</v>
      </c>
      <c r="AJ9" s="205">
        <v>50.258102874993632</v>
      </c>
    </row>
    <row r="19" spans="2:23" ht="21">
      <c r="B19" s="143" t="s">
        <v>387</v>
      </c>
    </row>
    <row r="20" spans="2:23">
      <c r="B20" s="139" t="s">
        <v>388</v>
      </c>
      <c r="C20">
        <v>2010</v>
      </c>
      <c r="D20">
        <v>2011</v>
      </c>
      <c r="E20">
        <v>2012</v>
      </c>
      <c r="F20">
        <v>2013</v>
      </c>
      <c r="G20">
        <v>2014</v>
      </c>
      <c r="H20">
        <v>2015</v>
      </c>
      <c r="I20">
        <v>2016</v>
      </c>
      <c r="J20">
        <v>2017</v>
      </c>
      <c r="K20">
        <v>2018</v>
      </c>
      <c r="L20">
        <v>2019</v>
      </c>
      <c r="M20">
        <v>2020</v>
      </c>
      <c r="N20">
        <v>2021</v>
      </c>
      <c r="O20">
        <v>2022</v>
      </c>
      <c r="P20">
        <v>2023</v>
      </c>
      <c r="Q20">
        <v>2024</v>
      </c>
      <c r="R20">
        <v>2025</v>
      </c>
      <c r="S20" s="365">
        <v>2026</v>
      </c>
      <c r="T20" s="365">
        <v>2027</v>
      </c>
      <c r="U20" s="365">
        <v>2028</v>
      </c>
      <c r="V20" s="365">
        <v>2029</v>
      </c>
      <c r="W20" s="365">
        <v>2030</v>
      </c>
    </row>
    <row r="21" spans="2:23">
      <c r="B21" t="s">
        <v>322</v>
      </c>
      <c r="C21" s="400">
        <f>IFERROR(GETPIVOTDATA("[Measures].[Somme de Conso_kWh_DEET]",TCD_Conso!$B$3,"[Tab_concat].[Type]","[Tab_concat].[Type].&amp;[Consommation]","[Tab_concat].[Detail usage]","[Tab_concat].[Detail usage].&amp;["&amp;$B34&amp;"]","[Tab_concat].[Annee]","[Tab_concat].[Annee].&amp;["&amp;C$33&amp;"]"),0)</f>
        <v>63963.963963963964</v>
      </c>
      <c r="D21" s="400">
        <f>IFERROR(GETPIVOTDATA("[Measures].[Somme de Conso_kWh_DEET]",TCD_Conso!$B$3,"[Tab_concat].[Type]","[Tab_concat].[Type].&amp;[Consommation]","[Tab_concat].[Detail usage]","[Tab_concat].[Detail usage].&amp;["&amp;$B34&amp;"]","[Tab_concat].[Annee]","[Tab_concat].[Annee].&amp;["&amp;D$33&amp;"]"),0)</f>
        <v>45045.045045045044</v>
      </c>
      <c r="E21" s="400">
        <f>IFERROR(GETPIVOTDATA("[Measures].[Somme de Conso_kWh_DEET]",TCD_Conso!$B$3,"[Tab_concat].[Type]","[Tab_concat].[Type].&amp;[Consommation]","[Tab_concat].[Detail usage]","[Tab_concat].[Detail usage].&amp;["&amp;$B34&amp;"]","[Tab_concat].[Annee]","[Tab_concat].[Annee].&amp;["&amp;E$33&amp;"]"),0)</f>
        <v>54954.954954954948</v>
      </c>
      <c r="F21" s="400">
        <f>IFERROR(GETPIVOTDATA("[Measures].[Somme de Conso_kWh_DEET]",TCD_Conso!$B$3,"[Tab_concat].[Type]","[Tab_concat].[Type].&amp;[Consommation]","[Tab_concat].[Detail usage]","[Tab_concat].[Detail usage].&amp;["&amp;$B34&amp;"]","[Tab_concat].[Annee]","[Tab_concat].[Annee].&amp;["&amp;F$33&amp;"]"),0)</f>
        <v>54954.954954954956</v>
      </c>
      <c r="G21" s="400">
        <f>IFERROR(GETPIVOTDATA("[Measures].[Somme de Conso_kWh_DEET]",TCD_Conso!$B$3,"[Tab_concat].[Type]","[Tab_concat].[Type].&amp;[Consommation]","[Tab_concat].[Detail usage]","[Tab_concat].[Detail usage].&amp;["&amp;$B34&amp;"]","[Tab_concat].[Annee]","[Tab_concat].[Annee].&amp;["&amp;G$33&amp;"]"),0)</f>
        <v>45045.045045045044</v>
      </c>
      <c r="H21" s="400">
        <f>IFERROR(GETPIVOTDATA("[Measures].[Somme de Conso_kWh_DEET]",TCD_Conso!$B$3,"[Tab_concat].[Type]","[Tab_concat].[Type].&amp;[Consommation]","[Tab_concat].[Detail usage]","[Tab_concat].[Detail usage].&amp;["&amp;$B34&amp;"]","[Tab_concat].[Annee]","[Tab_concat].[Annee].&amp;["&amp;H$33&amp;"]"),0)</f>
        <v>48648.648648648639</v>
      </c>
      <c r="I21" s="400">
        <f>IFERROR(GETPIVOTDATA("[Measures].[Somme de Conso_kWh_DEET]",TCD_Conso!$B$3,"[Tab_concat].[Type]","[Tab_concat].[Type].&amp;[Consommation]","[Tab_concat].[Detail usage]","[Tab_concat].[Detail usage].&amp;["&amp;$B34&amp;"]","[Tab_concat].[Annee]","[Tab_concat].[Annee].&amp;["&amp;I$33&amp;"]"),0)</f>
        <v>51351.351351351346</v>
      </c>
      <c r="J21" s="400">
        <f>IFERROR(GETPIVOTDATA("[Measures].[Somme de Conso_kWh_DEET]",TCD_Conso!$B$3,"[Tab_concat].[Type]","[Tab_concat].[Type].&amp;[Consommation]","[Tab_concat].[Detail usage]","[Tab_concat].[Detail usage].&amp;["&amp;$B34&amp;"]","[Tab_concat].[Annee]","[Tab_concat].[Annee].&amp;["&amp;J$33&amp;"]"),0)</f>
        <v>48648.648648648646</v>
      </c>
      <c r="K21" s="400">
        <f>IFERROR(GETPIVOTDATA("[Measures].[Somme de Conso_kWh_DEET]",TCD_Conso!$B$3,"[Tab_concat].[Type]","[Tab_concat].[Type].&amp;[Consommation]","[Tab_concat].[Detail usage]","[Tab_concat].[Detail usage].&amp;["&amp;$B34&amp;"]","[Tab_concat].[Annee]","[Tab_concat].[Annee].&amp;["&amp;K$33&amp;"]"),0)</f>
        <v>49549.549549549549</v>
      </c>
      <c r="L21" s="400">
        <f>IFERROR(GETPIVOTDATA("[Measures].[Somme de Conso_kWh_DEET]",TCD_Conso!$B$3,"[Tab_concat].[Type]","[Tab_concat].[Type].&amp;[Consommation]","[Tab_concat].[Detail usage]","[Tab_concat].[Detail usage].&amp;["&amp;$B34&amp;"]","[Tab_concat].[Annee]","[Tab_concat].[Annee].&amp;["&amp;L$33&amp;"]"),0)</f>
        <v>52252.252252252249</v>
      </c>
      <c r="M21" s="400">
        <f>IFERROR(GETPIVOTDATA("[Measures].[Somme de Conso_kWh_DEET]",TCD_Conso!$B$3,"[Tab_concat].[Type]","[Tab_concat].[Type].&amp;[Consommation]","[Tab_concat].[Detail usage]","[Tab_concat].[Detail usage].&amp;["&amp;$B34&amp;"]","[Tab_concat].[Annee]","[Tab_concat].[Annee].&amp;["&amp;M$33&amp;"]"),0)</f>
        <v>56137.169427492045</v>
      </c>
      <c r="N21" s="400">
        <f>IFERROR(GETPIVOTDATA("[Measures].[Somme de Conso_kWh_DEET]",TCD_Conso!$B$3,"[Tab_concat].[Type]","[Tab_concat].[Type].&amp;[Consommation]","[Tab_concat].[Detail usage]","[Tab_concat].[Detail usage].&amp;["&amp;$B34&amp;"]","[Tab_concat].[Annee]","[Tab_concat].[Annee].&amp;["&amp;N$33&amp;"]"),0)</f>
        <v>53613.455390874733</v>
      </c>
      <c r="O21" s="400">
        <f>IFERROR(GETPIVOTDATA("[Measures].[Somme de Conso_kWh_DEET]",TCD_Conso!$B$3,"[Tab_concat].[Type]","[Tab_concat].[Type].&amp;[Consommation]","[Tab_concat].[Detail usage]","[Tab_concat].[Detail usage].&amp;["&amp;$B34&amp;"]","[Tab_concat].[Annee]","[Tab_concat].[Annee].&amp;["&amp;O$33&amp;"]"),0)</f>
        <v>40521.44725370533</v>
      </c>
      <c r="P21" s="400">
        <f>IFERROR(GETPIVOTDATA("[Measures].[Somme de Conso_kWh_DEET]",TCD_Conso!$B$3,"[Tab_concat].[Type]","[Tab_concat].[Type].&amp;[Consommation]","[Tab_concat].[Detail usage]","[Tab_concat].[Detail usage].&amp;["&amp;$B34&amp;"]","[Tab_concat].[Annee]","[Tab_concat].[Annee].&amp;["&amp;P$33&amp;"]"),0)</f>
        <v>54070.270270270121</v>
      </c>
      <c r="Q21" s="400">
        <f>IFERROR(GETPIVOTDATA("[Measures].[Somme de Conso_kWh_DEET]",TCD_Conso!$B$3,"[Tab_concat].[Type]","[Tab_concat].[Type].&amp;[Consommation]","[Tab_concat].[Detail usage]","[Tab_concat].[Detail usage].&amp;["&amp;$B34&amp;"]","[Tab_concat].[Annee]","[Tab_concat].[Annee].&amp;["&amp;Q$33&amp;"]"),0)</f>
        <v>56700.464981110257</v>
      </c>
      <c r="R21" s="400">
        <f>IFERROR(GETPIVOTDATA("[Measures].[Somme de Conso_kWh_DEET]",TCD_Conso!$B$3,"[Tab_concat].[Type]","[Tab_concat].[Type].&amp;[Consommation]","[Tab_concat].[Detail usage]","[Tab_concat].[Detail usage].&amp;["&amp;$B34&amp;"]","[Tab_concat].[Annee]","[Tab_concat].[Annee].&amp;["&amp;R$33&amp;"]"),0)</f>
        <v>55124.411508282436</v>
      </c>
      <c r="S21" s="400">
        <f>IFERROR(GETPIVOTDATA("[Measures].[Somme de Conso_kWh_DEET]",TCD_Conso!$B$3,"[Tab_concat].[Type]","[Tab_concat].[Type].&amp;[Consommation]","[Tab_concat].[Detail usage]","[Tab_concat].[Detail usage].&amp;["&amp;$B34&amp;"]","[Tab_concat].[Annee]","[Tab_concat].[Annee].&amp;["&amp;S$33&amp;"]"),0)</f>
        <v>30815.664051147975</v>
      </c>
      <c r="T21" s="400">
        <f>IFERROR(GETPIVOTDATA("[Measures].[Somme de Conso_kWh_DEET]",TCD_Conso!$B$3,"[Tab_concat].[Type]","[Tab_concat].[Type].&amp;[Consommation]","[Tab_concat].[Detail usage]","[Tab_concat].[Detail usage].&amp;["&amp;$B34&amp;"]","[Tab_concat].[Annee]","[Tab_concat].[Annee].&amp;["&amp;T$33&amp;"]"),0)</f>
        <v>0</v>
      </c>
      <c r="U21" s="400">
        <f>IFERROR(GETPIVOTDATA("[Measures].[Somme de Conso_kWh_DEET]",TCD_Conso!$B$3,"[Tab_concat].[Type]","[Tab_concat].[Type].&amp;[Consommation]","[Tab_concat].[Detail usage]","[Tab_concat].[Detail usage].&amp;["&amp;$B34&amp;"]","[Tab_concat].[Annee]","[Tab_concat].[Annee].&amp;["&amp;U$33&amp;"]"),0)</f>
        <v>0</v>
      </c>
      <c r="V21" s="400">
        <f>IFERROR(GETPIVOTDATA("[Measures].[Somme de Conso_kWh_DEET]",TCD_Conso!$B$3,"[Tab_concat].[Type]","[Tab_concat].[Type].&amp;[Consommation]","[Tab_concat].[Detail usage]","[Tab_concat].[Detail usage].&amp;["&amp;$B34&amp;"]","[Tab_concat].[Annee]","[Tab_concat].[Annee].&amp;["&amp;V$33&amp;"]"),0)</f>
        <v>0</v>
      </c>
      <c r="W21" s="400">
        <f>IFERROR(GETPIVOTDATA("[Measures].[Somme de Conso_kWh_DEET]",TCD_Conso!$B$3,"[Tab_concat].[Type]","[Tab_concat].[Type].&amp;[Consommation]","[Tab_concat].[Detail usage]","[Tab_concat].[Detail usage].&amp;["&amp;$B34&amp;"]","[Tab_concat].[Annee]","[Tab_concat].[Annee].&amp;["&amp;W$33&amp;"]"),0)</f>
        <v>0</v>
      </c>
    </row>
    <row r="22" spans="2:23">
      <c r="B22" t="s">
        <v>180</v>
      </c>
      <c r="C22" s="400">
        <f>IFERROR(GETPIVOTDATA("[Measures].[Somme de Conso_kWh_DEET]",TCD_Conso!$B$3,"[Tab_concat].[Type]","[Tab_concat].[Type].&amp;[Consommation]","[Tab_concat].[Detail usage]","[Tab_concat].[Detail usage].&amp;["&amp;$B35&amp;"]","[Tab_concat].[Annee]","[Tab_concat].[Annee].&amp;["&amp;C$33&amp;"]"),0)</f>
        <v>0</v>
      </c>
      <c r="D22" s="400">
        <f>IFERROR(GETPIVOTDATA("[Measures].[Somme de Conso_kWh_DEET]",TCD_Conso!$B$3,"[Tab_concat].[Type]","[Tab_concat].[Type].&amp;[Consommation]","[Tab_concat].[Detail usage]","[Tab_concat].[Detail usage].&amp;["&amp;$B35&amp;"]","[Tab_concat].[Annee]","[Tab_concat].[Annee].&amp;["&amp;D$33&amp;"]"),0)</f>
        <v>0</v>
      </c>
      <c r="E22" s="400">
        <f>IFERROR(GETPIVOTDATA("[Measures].[Somme de Conso_kWh_DEET]",TCD_Conso!$B$3,"[Tab_concat].[Type]","[Tab_concat].[Type].&amp;[Consommation]","[Tab_concat].[Detail usage]","[Tab_concat].[Detail usage].&amp;["&amp;$B35&amp;"]","[Tab_concat].[Annee]","[Tab_concat].[Annee].&amp;["&amp;E$33&amp;"]"),0)</f>
        <v>0</v>
      </c>
      <c r="F22" s="400">
        <f>IFERROR(GETPIVOTDATA("[Measures].[Somme de Conso_kWh_DEET]",TCD_Conso!$B$3,"[Tab_concat].[Type]","[Tab_concat].[Type].&amp;[Consommation]","[Tab_concat].[Detail usage]","[Tab_concat].[Detail usage].&amp;["&amp;$B35&amp;"]","[Tab_concat].[Annee]","[Tab_concat].[Annee].&amp;["&amp;F$33&amp;"]"),0)</f>
        <v>0</v>
      </c>
      <c r="G22" s="400">
        <f>IFERROR(GETPIVOTDATA("[Measures].[Somme de Conso_kWh_DEET]",TCD_Conso!$B$3,"[Tab_concat].[Type]","[Tab_concat].[Type].&amp;[Consommation]","[Tab_concat].[Detail usage]","[Tab_concat].[Detail usage].&amp;["&amp;$B35&amp;"]","[Tab_concat].[Annee]","[Tab_concat].[Annee].&amp;["&amp;G$33&amp;"]"),0)</f>
        <v>0</v>
      </c>
      <c r="H22" s="400">
        <f>IFERROR(GETPIVOTDATA("[Measures].[Somme de Conso_kWh_DEET]",TCD_Conso!$B$3,"[Tab_concat].[Type]","[Tab_concat].[Type].&amp;[Consommation]","[Tab_concat].[Detail usage]","[Tab_concat].[Detail usage].&amp;["&amp;$B35&amp;"]","[Tab_concat].[Annee]","[Tab_concat].[Annee].&amp;["&amp;H$33&amp;"]"),0)</f>
        <v>0</v>
      </c>
      <c r="I22" s="400">
        <f>IFERROR(GETPIVOTDATA("[Measures].[Somme de Conso_kWh_DEET]",TCD_Conso!$B$3,"[Tab_concat].[Type]","[Tab_concat].[Type].&amp;[Consommation]","[Tab_concat].[Detail usage]","[Tab_concat].[Detail usage].&amp;["&amp;$B35&amp;"]","[Tab_concat].[Annee]","[Tab_concat].[Annee].&amp;["&amp;I$33&amp;"]"),0)</f>
        <v>0</v>
      </c>
      <c r="J22" s="400">
        <f>IFERROR(GETPIVOTDATA("[Measures].[Somme de Conso_kWh_DEET]",TCD_Conso!$B$3,"[Tab_concat].[Type]","[Tab_concat].[Type].&amp;[Consommation]","[Tab_concat].[Detail usage]","[Tab_concat].[Detail usage].&amp;["&amp;$B35&amp;"]","[Tab_concat].[Annee]","[Tab_concat].[Annee].&amp;["&amp;J$33&amp;"]"),0)</f>
        <v>0</v>
      </c>
      <c r="K22" s="400">
        <f>IFERROR(GETPIVOTDATA("[Measures].[Somme de Conso_kWh_DEET]",TCD_Conso!$B$3,"[Tab_concat].[Type]","[Tab_concat].[Type].&amp;[Consommation]","[Tab_concat].[Detail usage]","[Tab_concat].[Detail usage].&amp;["&amp;$B35&amp;"]","[Tab_concat].[Annee]","[Tab_concat].[Annee].&amp;["&amp;K$33&amp;"]"),0)</f>
        <v>0</v>
      </c>
      <c r="L22" s="400">
        <f>IFERROR(GETPIVOTDATA("[Measures].[Somme de Conso_kWh_DEET]",TCD_Conso!$B$3,"[Tab_concat].[Type]","[Tab_concat].[Type].&amp;[Consommation]","[Tab_concat].[Detail usage]","[Tab_concat].[Detail usage].&amp;["&amp;$B35&amp;"]","[Tab_concat].[Annee]","[Tab_concat].[Annee].&amp;["&amp;L$33&amp;"]"),0)</f>
        <v>0</v>
      </c>
      <c r="M22" s="400">
        <f>IFERROR(GETPIVOTDATA("[Measures].[Somme de Conso_kWh_DEET]",TCD_Conso!$B$3,"[Tab_concat].[Type]","[Tab_concat].[Type].&amp;[Consommation]","[Tab_concat].[Detail usage]","[Tab_concat].[Detail usage].&amp;["&amp;$B35&amp;"]","[Tab_concat].[Annee]","[Tab_concat].[Annee].&amp;["&amp;M$33&amp;"]"),0)</f>
        <v>0</v>
      </c>
      <c r="N22" s="400">
        <f>IFERROR(GETPIVOTDATA("[Measures].[Somme de Conso_kWh_DEET]",TCD_Conso!$B$3,"[Tab_concat].[Type]","[Tab_concat].[Type].&amp;[Consommation]","[Tab_concat].[Detail usage]","[Tab_concat].[Detail usage].&amp;["&amp;$B35&amp;"]","[Tab_concat].[Annee]","[Tab_concat].[Annee].&amp;["&amp;N$33&amp;"]"),0)</f>
        <v>0</v>
      </c>
      <c r="O22" s="400">
        <f>IFERROR(GETPIVOTDATA("[Measures].[Somme de Conso_kWh_DEET]",TCD_Conso!$B$3,"[Tab_concat].[Type]","[Tab_concat].[Type].&amp;[Consommation]","[Tab_concat].[Detail usage]","[Tab_concat].[Detail usage].&amp;["&amp;$B35&amp;"]","[Tab_concat].[Annee]","[Tab_concat].[Annee].&amp;["&amp;O$33&amp;"]"),0)</f>
        <v>0</v>
      </c>
      <c r="P22" s="400">
        <f>IFERROR(GETPIVOTDATA("[Measures].[Somme de Conso_kWh_DEET]",TCD_Conso!$B$3,"[Tab_concat].[Type]","[Tab_concat].[Type].&amp;[Consommation]","[Tab_concat].[Detail usage]","[Tab_concat].[Detail usage].&amp;["&amp;$B35&amp;"]","[Tab_concat].[Annee]","[Tab_concat].[Annee].&amp;["&amp;P$33&amp;"]"),0)</f>
        <v>0</v>
      </c>
      <c r="Q22" s="400">
        <f>IFERROR(GETPIVOTDATA("[Measures].[Somme de Conso_kWh_DEET]",TCD_Conso!$B$3,"[Tab_concat].[Type]","[Tab_concat].[Type].&amp;[Consommation]","[Tab_concat].[Detail usage]","[Tab_concat].[Detail usage].&amp;["&amp;$B35&amp;"]","[Tab_concat].[Annee]","[Tab_concat].[Annee].&amp;["&amp;Q$33&amp;"]"),0)</f>
        <v>0</v>
      </c>
      <c r="R22" s="400">
        <f>IFERROR(GETPIVOTDATA("[Measures].[Somme de Conso_kWh_DEET]",TCD_Conso!$B$3,"[Tab_concat].[Type]","[Tab_concat].[Type].&amp;[Consommation]","[Tab_concat].[Detail usage]","[Tab_concat].[Detail usage].&amp;["&amp;$B35&amp;"]","[Tab_concat].[Annee]","[Tab_concat].[Annee].&amp;["&amp;R$33&amp;"]"),0)</f>
        <v>0</v>
      </c>
      <c r="S22" s="400">
        <f>IFERROR(GETPIVOTDATA("[Measures].[Somme de Conso_kWh_DEET]",TCD_Conso!$B$3,"[Tab_concat].[Type]","[Tab_concat].[Type].&amp;[Consommation]","[Tab_concat].[Detail usage]","[Tab_concat].[Detail usage].&amp;["&amp;$B35&amp;"]","[Tab_concat].[Annee]","[Tab_concat].[Annee].&amp;["&amp;S$33&amp;"]"),0)</f>
        <v>0</v>
      </c>
      <c r="T22" s="400">
        <f>IFERROR(GETPIVOTDATA("[Measures].[Somme de Conso_kWh_DEET]",TCD_Conso!$B$3,"[Tab_concat].[Type]","[Tab_concat].[Type].&amp;[Consommation]","[Tab_concat].[Detail usage]","[Tab_concat].[Detail usage].&amp;["&amp;$B35&amp;"]","[Tab_concat].[Annee]","[Tab_concat].[Annee].&amp;["&amp;T$33&amp;"]"),0)</f>
        <v>0</v>
      </c>
      <c r="U22" s="400">
        <f>IFERROR(GETPIVOTDATA("[Measures].[Somme de Conso_kWh_DEET]",TCD_Conso!$B$3,"[Tab_concat].[Type]","[Tab_concat].[Type].&amp;[Consommation]","[Tab_concat].[Detail usage]","[Tab_concat].[Detail usage].&amp;["&amp;$B35&amp;"]","[Tab_concat].[Annee]","[Tab_concat].[Annee].&amp;["&amp;U$33&amp;"]"),0)</f>
        <v>0</v>
      </c>
      <c r="V22" s="400">
        <f>IFERROR(GETPIVOTDATA("[Measures].[Somme de Conso_kWh_DEET]",TCD_Conso!$B$3,"[Tab_concat].[Type]","[Tab_concat].[Type].&amp;[Consommation]","[Tab_concat].[Detail usage]","[Tab_concat].[Detail usage].&amp;["&amp;$B35&amp;"]","[Tab_concat].[Annee]","[Tab_concat].[Annee].&amp;["&amp;V$33&amp;"]"),0)</f>
        <v>0</v>
      </c>
      <c r="W22" s="400">
        <f>IFERROR(GETPIVOTDATA("[Measures].[Somme de Conso_kWh_DEET]",TCD_Conso!$B$3,"[Tab_concat].[Type]","[Tab_concat].[Type].&amp;[Consommation]","[Tab_concat].[Detail usage]","[Tab_concat].[Detail usage].&amp;["&amp;$B35&amp;"]","[Tab_concat].[Annee]","[Tab_concat].[Annee].&amp;["&amp;W$33&amp;"]"),0)</f>
        <v>0</v>
      </c>
    </row>
    <row r="23" spans="2:23">
      <c r="B23" t="s">
        <v>389</v>
      </c>
      <c r="C23">
        <f>SUM(C21:C22)</f>
        <v>63963.963963963964</v>
      </c>
      <c r="D23">
        <f t="shared" ref="D23:I23" si="0">SUM(D21:D22)</f>
        <v>45045.045045045044</v>
      </c>
      <c r="E23">
        <f t="shared" si="0"/>
        <v>54954.954954954948</v>
      </c>
      <c r="F23">
        <f t="shared" si="0"/>
        <v>54954.954954954956</v>
      </c>
      <c r="G23">
        <f t="shared" si="0"/>
        <v>45045.045045045044</v>
      </c>
      <c r="H23">
        <f t="shared" si="0"/>
        <v>48648.648648648639</v>
      </c>
      <c r="I23">
        <f t="shared" si="0"/>
        <v>51351.351351351346</v>
      </c>
      <c r="J23">
        <f t="shared" ref="J23:P23" si="1">SUM(J21:J22)</f>
        <v>48648.648648648646</v>
      </c>
      <c r="K23">
        <f t="shared" si="1"/>
        <v>49549.549549549549</v>
      </c>
      <c r="L23">
        <f t="shared" si="1"/>
        <v>52252.252252252249</v>
      </c>
      <c r="M23">
        <f t="shared" si="1"/>
        <v>56137.169427492045</v>
      </c>
      <c r="N23">
        <f t="shared" si="1"/>
        <v>53613.455390874733</v>
      </c>
      <c r="O23">
        <f t="shared" si="1"/>
        <v>40521.44725370533</v>
      </c>
      <c r="P23">
        <f t="shared" si="1"/>
        <v>54070.270270270121</v>
      </c>
      <c r="Q23">
        <f t="shared" ref="Q23:W23" si="2">SUM(Q21:Q22)</f>
        <v>56700.464981110257</v>
      </c>
      <c r="R23">
        <f>SUM(R21:R22)</f>
        <v>55124.411508282436</v>
      </c>
      <c r="S23" s="365">
        <f t="shared" si="2"/>
        <v>30815.664051147975</v>
      </c>
      <c r="T23" s="365">
        <f>SUM(T21:T22)</f>
        <v>0</v>
      </c>
      <c r="U23" s="365">
        <f t="shared" si="2"/>
        <v>0</v>
      </c>
      <c r="V23" s="365">
        <f>SUM(V21:V22)</f>
        <v>0</v>
      </c>
      <c r="W23" s="365">
        <f t="shared" si="2"/>
        <v>0</v>
      </c>
    </row>
    <row r="26" spans="2:23">
      <c r="B26" s="30" t="s">
        <v>390</v>
      </c>
    </row>
    <row r="27" spans="2:23">
      <c r="C27">
        <v>2010</v>
      </c>
      <c r="D27">
        <v>2011</v>
      </c>
      <c r="E27">
        <v>2012</v>
      </c>
      <c r="F27">
        <v>2013</v>
      </c>
      <c r="G27">
        <v>2014</v>
      </c>
      <c r="H27">
        <v>2015</v>
      </c>
      <c r="I27">
        <v>2016</v>
      </c>
      <c r="J27">
        <v>2017</v>
      </c>
      <c r="K27">
        <v>2018</v>
      </c>
      <c r="L27">
        <v>2019</v>
      </c>
      <c r="M27">
        <v>2020</v>
      </c>
      <c r="N27">
        <v>2021</v>
      </c>
      <c r="O27">
        <v>2022</v>
      </c>
      <c r="P27">
        <v>2023</v>
      </c>
      <c r="Q27">
        <v>2024</v>
      </c>
      <c r="R27">
        <v>2025</v>
      </c>
      <c r="S27" s="365">
        <v>2026</v>
      </c>
      <c r="T27" s="365">
        <v>2027</v>
      </c>
      <c r="U27" s="365">
        <v>2028</v>
      </c>
      <c r="V27" s="365">
        <v>2029</v>
      </c>
      <c r="W27" s="365">
        <v>2030</v>
      </c>
    </row>
    <row r="28" spans="2:23">
      <c r="B28" t="s">
        <v>322</v>
      </c>
      <c r="C28" s="400">
        <f>IFERROR(GETPIVOTDATA("[Measures].[Moyenne de Conso_kWh_DEET]",$B$3,"[Tab_concat].[Annee]","[Tab_concat].[Annee].&amp;["&amp;C$20&amp;"]","[Tab_concat].[Detail usage]","[Tab_concat].[Detail usage].&amp;["&amp;$B28&amp;"]"),0)*366</f>
        <v>64139.207700851541</v>
      </c>
      <c r="D28" s="400">
        <f>IFERROR(GETPIVOTDATA("[Measures].[Moyenne de Conso_kWh_DEET]",$B$3,"[Tab_concat].[Annee]","[Tab_concat].[Annee].&amp;["&amp;D$20&amp;"]","[Tab_concat].[Detail usage]","[Tab_concat].[Detail usage].&amp;["&amp;$B28&amp;"]"),0)*366</f>
        <v>45168.45612736023</v>
      </c>
      <c r="E28" s="400">
        <f>IFERROR(GETPIVOTDATA("[Measures].[Moyenne de Conso_kWh_DEET]",$B$3,"[Tab_concat].[Annee]","[Tab_concat].[Annee].&amp;["&amp;E$20&amp;"]","[Tab_concat].[Detail usage]","[Tab_concat].[Detail usage].&amp;["&amp;$B28&amp;"]"),0)*366</f>
        <v>54954.954954954948</v>
      </c>
      <c r="F28" s="400">
        <f t="shared" ref="F28:W29" si="3">IFERROR(GETPIVOTDATA("[Measures].[Moyenne de Conso_kWh_DEET]",$B$3,"[Tab_concat].[Annee]","[Tab_concat].[Annee].&amp;["&amp;F$20&amp;"]","[Tab_concat].[Detail usage]","[Tab_concat].[Detail usage].&amp;["&amp;$B28&amp;"]"),0)*366</f>
        <v>55105.516475379482</v>
      </c>
      <c r="G28" s="400">
        <f t="shared" si="3"/>
        <v>45168.45612736023</v>
      </c>
      <c r="H28" s="400">
        <f t="shared" si="3"/>
        <v>48781.93261754905</v>
      </c>
      <c r="I28" s="400">
        <f t="shared" si="3"/>
        <v>51351.351351351354</v>
      </c>
      <c r="J28" s="400">
        <f t="shared" si="3"/>
        <v>48781.93261754905</v>
      </c>
      <c r="K28" s="400">
        <f t="shared" si="3"/>
        <v>49685.301740096256</v>
      </c>
      <c r="L28" s="400">
        <f t="shared" si="3"/>
        <v>52395.409107737883</v>
      </c>
      <c r="M28" s="400">
        <f t="shared" si="3"/>
        <v>5986.3444610062788</v>
      </c>
      <c r="N28" s="400">
        <f t="shared" si="3"/>
        <v>6785.2785668082252</v>
      </c>
      <c r="O28" s="400">
        <f t="shared" si="3"/>
        <v>2414.4725370531814</v>
      </c>
      <c r="P28" s="400">
        <f t="shared" si="3"/>
        <v>6234.9196953685014</v>
      </c>
      <c r="Q28" s="400">
        <f t="shared" si="3"/>
        <v>2301.2458868858498</v>
      </c>
      <c r="R28" s="400">
        <f t="shared" si="3"/>
        <v>2234.5107854993385</v>
      </c>
      <c r="S28" s="400">
        <f t="shared" si="3"/>
        <v>0</v>
      </c>
      <c r="T28" s="400">
        <f t="shared" si="3"/>
        <v>0</v>
      </c>
      <c r="U28" s="400">
        <f t="shared" si="3"/>
        <v>0</v>
      </c>
      <c r="V28" s="400">
        <f t="shared" si="3"/>
        <v>0</v>
      </c>
      <c r="W28" s="400">
        <f t="shared" si="3"/>
        <v>0</v>
      </c>
    </row>
    <row r="29" spans="2:23">
      <c r="B29" t="s">
        <v>180</v>
      </c>
      <c r="C29" s="400">
        <f>IFERROR(GETPIVOTDATA("[Measures].[Moyenne de Conso_kWh_DEET]",$B$3,"[Tab_concat].[Annee]","[Tab_concat].[Annee].&amp;["&amp;C$20&amp;"]","[Tab_concat].[Detail usage]","[Tab_concat].[Detail usage].&amp;["&amp;$B29&amp;"]"),0)*12</f>
        <v>0</v>
      </c>
      <c r="D29" s="400">
        <f>IFERROR(GETPIVOTDATA("[Measures].[Moyenne de Conso_kWh_DEET]",$B$3,"[Tab_concat].[Annee]","[Tab_concat].[Annee].&amp;["&amp;D$20&amp;"]","[Tab_concat].[Detail usage]","[Tab_concat].[Detail usage].&amp;["&amp;$B29&amp;"]"),0)*366</f>
        <v>0</v>
      </c>
      <c r="E29" s="400">
        <f>IFERROR(GETPIVOTDATA("[Measures].[Moyenne de Conso_kWh_DEET]",$B$3,"[Tab_concat].[Annee]","[Tab_concat].[Annee].&amp;["&amp;E$20&amp;"]","[Tab_concat].[Detail usage]","[Tab_concat].[Detail usage].&amp;["&amp;$B29&amp;"]"),0)*366</f>
        <v>0</v>
      </c>
      <c r="F29" s="400">
        <f t="shared" si="3"/>
        <v>0</v>
      </c>
      <c r="G29" s="400">
        <f t="shared" si="3"/>
        <v>0</v>
      </c>
      <c r="H29" s="400">
        <f t="shared" si="3"/>
        <v>0</v>
      </c>
      <c r="I29" s="400">
        <f t="shared" si="3"/>
        <v>0</v>
      </c>
      <c r="J29" s="400">
        <f t="shared" si="3"/>
        <v>0</v>
      </c>
      <c r="K29" s="400">
        <f t="shared" si="3"/>
        <v>0</v>
      </c>
      <c r="L29" s="400">
        <f t="shared" si="3"/>
        <v>0</v>
      </c>
      <c r="M29" s="400">
        <f t="shared" si="3"/>
        <v>0</v>
      </c>
      <c r="N29" s="400">
        <f t="shared" si="3"/>
        <v>0</v>
      </c>
      <c r="O29" s="400">
        <f t="shared" si="3"/>
        <v>0</v>
      </c>
      <c r="P29" s="400">
        <f t="shared" si="3"/>
        <v>0</v>
      </c>
      <c r="Q29" s="400">
        <f t="shared" si="3"/>
        <v>0</v>
      </c>
      <c r="R29" s="400">
        <f t="shared" si="3"/>
        <v>0</v>
      </c>
      <c r="S29" s="400">
        <f t="shared" si="3"/>
        <v>0</v>
      </c>
      <c r="T29" s="400">
        <f t="shared" si="3"/>
        <v>0</v>
      </c>
      <c r="U29" s="400">
        <f t="shared" si="3"/>
        <v>0</v>
      </c>
      <c r="V29" s="400">
        <f t="shared" si="3"/>
        <v>0</v>
      </c>
      <c r="W29" s="400">
        <f t="shared" si="3"/>
        <v>0</v>
      </c>
    </row>
    <row r="30" spans="2:23">
      <c r="B30" t="s">
        <v>389</v>
      </c>
      <c r="C30">
        <f>IF($C$49="Oui",IF($C$50="Oui",(100-$C$51)*C23/100,SUM(C28:C29)),0)</f>
        <v>0</v>
      </c>
      <c r="D30">
        <f t="shared" ref="D30:R30" si="4">IF($C$49="Oui",IF($C$50="Oui",(100-$C$51)*D23/100,SUM(D28:D29)),0)</f>
        <v>0</v>
      </c>
      <c r="E30">
        <f t="shared" si="4"/>
        <v>0</v>
      </c>
      <c r="F30">
        <f t="shared" si="4"/>
        <v>0</v>
      </c>
      <c r="G30">
        <f t="shared" si="4"/>
        <v>0</v>
      </c>
      <c r="H30">
        <f t="shared" si="4"/>
        <v>0</v>
      </c>
      <c r="I30">
        <f t="shared" si="4"/>
        <v>0</v>
      </c>
      <c r="J30">
        <f t="shared" si="4"/>
        <v>0</v>
      </c>
      <c r="K30">
        <f t="shared" si="4"/>
        <v>0</v>
      </c>
      <c r="L30">
        <f t="shared" si="4"/>
        <v>0</v>
      </c>
      <c r="M30">
        <f t="shared" si="4"/>
        <v>0</v>
      </c>
      <c r="N30">
        <f t="shared" si="4"/>
        <v>0</v>
      </c>
      <c r="O30">
        <f t="shared" si="4"/>
        <v>0</v>
      </c>
      <c r="P30">
        <f t="shared" si="4"/>
        <v>0</v>
      </c>
      <c r="Q30">
        <f t="shared" si="4"/>
        <v>0</v>
      </c>
      <c r="R30">
        <f t="shared" si="4"/>
        <v>0</v>
      </c>
      <c r="S30" s="365">
        <f>IF($C$49="Oui",IF($C$50="Oui",(100-$C$51)*S23/100,SUM(S28:S29)),0)</f>
        <v>0</v>
      </c>
      <c r="T30" s="365">
        <f>IF($C$49="Oui",IF($C$50="Oui",(100-$C$51)*T23/100,SUM(T28:T29)),0)</f>
        <v>0</v>
      </c>
      <c r="U30" s="365">
        <f>IF($C$49="Oui",IF($C$50="Oui",(100-$C$51)*U23/100,SUM(U28:U29)),0)</f>
        <v>0</v>
      </c>
      <c r="V30" s="365">
        <f>IF($C$49="Oui",IF($C$50="Oui",(100-$C$51)*V23/100,SUM(V28:V29)),0)</f>
        <v>0</v>
      </c>
      <c r="W30" s="365">
        <f>IF($C$49="Oui",IF($C$50="Oui",(100-$C$51)*W23/100,SUM(W28:W29)),0)</f>
        <v>0</v>
      </c>
    </row>
    <row r="32" spans="2:23" ht="21">
      <c r="B32" s="143" t="s">
        <v>391</v>
      </c>
    </row>
    <row r="33" spans="1:23">
      <c r="B33" s="139" t="s">
        <v>388</v>
      </c>
      <c r="C33">
        <v>2010</v>
      </c>
      <c r="D33">
        <v>2011</v>
      </c>
      <c r="E33">
        <v>2012</v>
      </c>
      <c r="F33">
        <v>2013</v>
      </c>
      <c r="G33">
        <v>2014</v>
      </c>
      <c r="H33">
        <v>2015</v>
      </c>
      <c r="I33">
        <v>2016</v>
      </c>
      <c r="J33">
        <v>2017</v>
      </c>
      <c r="K33">
        <v>2018</v>
      </c>
      <c r="L33">
        <v>2019</v>
      </c>
      <c r="M33">
        <v>2020</v>
      </c>
      <c r="N33">
        <v>2021</v>
      </c>
      <c r="O33">
        <v>2022</v>
      </c>
      <c r="P33">
        <v>2023</v>
      </c>
      <c r="Q33">
        <v>2024</v>
      </c>
      <c r="R33">
        <v>2025</v>
      </c>
      <c r="S33" s="365">
        <v>2026</v>
      </c>
      <c r="T33" s="365">
        <v>2027</v>
      </c>
      <c r="U33" s="365">
        <v>2028</v>
      </c>
      <c r="V33" s="365">
        <v>2029</v>
      </c>
      <c r="W33" s="365">
        <v>2030</v>
      </c>
    </row>
    <row r="34" spans="1:23">
      <c r="B34" t="s">
        <v>322</v>
      </c>
      <c r="C34">
        <f>IFERROR(GETPIVOTDATA("[Measures].[Somme de Conso_kWh_PCI]",TCD_Conso!$B$3,"[Tab_concat].[Type]","[Tab_concat].[Type].&amp;[Consommation]","[Tab_concat].[Detail usage]","[Tab_concat].[Detail usage].&amp;["&amp;$B34&amp;"]","[Tab_concat].[Annee]","[Tab_concat].[Annee].&amp;["&amp;C$33&amp;"]"),0)</f>
        <v>63963.963963963979</v>
      </c>
      <c r="D34" s="400">
        <f>IFERROR(GETPIVOTDATA("[Measures].[Somme de Conso_kWh_PCI]",TCD_Conso!$B$3,"[Tab_concat].[Type]","[Tab_concat].[Type].&amp;[Consommation]","[Tab_concat].[Detail usage]","[Tab_concat].[Detail usage].&amp;["&amp;$B34&amp;"]","[Tab_concat].[Annee]","[Tab_concat].[Annee].&amp;["&amp;D$33&amp;"]"),0)</f>
        <v>45045.045045045052</v>
      </c>
      <c r="E34" s="400">
        <f>IFERROR(GETPIVOTDATA("[Measures].[Somme de Conso_kWh_PCI]",TCD_Conso!$B$3,"[Tab_concat].[Type]","[Tab_concat].[Type].&amp;[Consommation]","[Tab_concat].[Detail usage]","[Tab_concat].[Detail usage].&amp;["&amp;$B34&amp;"]","[Tab_concat].[Annee]","[Tab_concat].[Annee].&amp;["&amp;E$33&amp;"]"),0)</f>
        <v>54954.954954954956</v>
      </c>
      <c r="F34" s="400">
        <f>IFERROR(GETPIVOTDATA("[Measures].[Somme de Conso_kWh_PCI]",TCD_Conso!$B$3,"[Tab_concat].[Type]","[Tab_concat].[Type].&amp;[Consommation]","[Tab_concat].[Detail usage]","[Tab_concat].[Detail usage].&amp;["&amp;$B34&amp;"]","[Tab_concat].[Annee]","[Tab_concat].[Annee].&amp;["&amp;F$33&amp;"]"),0)</f>
        <v>54954.954954954963</v>
      </c>
      <c r="G34" s="400">
        <f>IFERROR(GETPIVOTDATA("[Measures].[Somme de Conso_kWh_PCI]",TCD_Conso!$B$3,"[Tab_concat].[Type]","[Tab_concat].[Type].&amp;[Consommation]","[Tab_concat].[Detail usage]","[Tab_concat].[Detail usage].&amp;["&amp;$B34&amp;"]","[Tab_concat].[Annee]","[Tab_concat].[Annee].&amp;["&amp;G$33&amp;"]"),0)</f>
        <v>45045.045045045052</v>
      </c>
      <c r="H34" s="400">
        <f>IFERROR(GETPIVOTDATA("[Measures].[Somme de Conso_kWh_PCI]",TCD_Conso!$B$3,"[Tab_concat].[Type]","[Tab_concat].[Type].&amp;[Consommation]","[Tab_concat].[Detail usage]","[Tab_concat].[Detail usage].&amp;["&amp;$B34&amp;"]","[Tab_concat].[Annee]","[Tab_concat].[Annee].&amp;["&amp;H$33&amp;"]"),0)</f>
        <v>48648.648648648654</v>
      </c>
      <c r="I34" s="400">
        <f>IFERROR(GETPIVOTDATA("[Measures].[Somme de Conso_kWh_PCI]",TCD_Conso!$B$3,"[Tab_concat].[Type]","[Tab_concat].[Type].&amp;[Consommation]","[Tab_concat].[Detail usage]","[Tab_concat].[Detail usage].&amp;["&amp;$B34&amp;"]","[Tab_concat].[Annee]","[Tab_concat].[Annee].&amp;["&amp;I$33&amp;"]"),0)</f>
        <v>51351.351351351361</v>
      </c>
      <c r="J34" s="400">
        <f>IFERROR(GETPIVOTDATA("[Measures].[Somme de Conso_kWh_PCI]",TCD_Conso!$B$3,"[Tab_concat].[Type]","[Tab_concat].[Type].&amp;[Consommation]","[Tab_concat].[Detail usage]","[Tab_concat].[Detail usage].&amp;["&amp;$B34&amp;"]","[Tab_concat].[Annee]","[Tab_concat].[Annee].&amp;["&amp;J$33&amp;"]"),0)</f>
        <v>48648.648648648654</v>
      </c>
      <c r="K34" s="400">
        <f>IFERROR(GETPIVOTDATA("[Measures].[Somme de Conso_kWh_PCI]",TCD_Conso!$B$3,"[Tab_concat].[Type]","[Tab_concat].[Type].&amp;[Consommation]","[Tab_concat].[Detail usage]","[Tab_concat].[Detail usage].&amp;["&amp;$B34&amp;"]","[Tab_concat].[Annee]","[Tab_concat].[Annee].&amp;["&amp;K$33&amp;"]"),0)</f>
        <v>49549.549549549556</v>
      </c>
      <c r="L34" s="400">
        <f>IFERROR(GETPIVOTDATA("[Measures].[Somme de Conso_kWh_PCI]",TCD_Conso!$B$3,"[Tab_concat].[Type]","[Tab_concat].[Type].&amp;[Consommation]","[Tab_concat].[Detail usage]","[Tab_concat].[Detail usage].&amp;["&amp;$B34&amp;"]","[Tab_concat].[Annee]","[Tab_concat].[Annee].&amp;["&amp;L$33&amp;"]"),0)</f>
        <v>52252.252252252263</v>
      </c>
      <c r="M34" s="400">
        <f>IFERROR(GETPIVOTDATA("[Measures].[Somme de Conso_kWh_PCI]",TCD_Conso!$B$3,"[Tab_concat].[Type]","[Tab_concat].[Type].&amp;[Consommation]","[Tab_concat].[Detail usage]","[Tab_concat].[Detail usage].&amp;["&amp;$B34&amp;"]","[Tab_concat].[Annee]","[Tab_concat].[Annee].&amp;["&amp;M$33&amp;"]"),0)</f>
        <v>56137.169427492045</v>
      </c>
      <c r="N34" s="400">
        <f>IFERROR(GETPIVOTDATA("[Measures].[Somme de Conso_kWh_PCI]",TCD_Conso!$B$3,"[Tab_concat].[Type]","[Tab_concat].[Type].&amp;[Consommation]","[Tab_concat].[Detail usage]","[Tab_concat].[Detail usage].&amp;["&amp;$B34&amp;"]","[Tab_concat].[Annee]","[Tab_concat].[Annee].&amp;["&amp;N$33&amp;"]"),0)</f>
        <v>53613.455390874733</v>
      </c>
      <c r="O34" s="400">
        <f>IFERROR(GETPIVOTDATA("[Measures].[Somme de Conso_kWh_PCI]",TCD_Conso!$B$3,"[Tab_concat].[Type]","[Tab_concat].[Type].&amp;[Consommation]","[Tab_concat].[Detail usage]","[Tab_concat].[Detail usage].&amp;["&amp;$B34&amp;"]","[Tab_concat].[Annee]","[Tab_concat].[Annee].&amp;["&amp;O$33&amp;"]"),0)</f>
        <v>40521.447253705337</v>
      </c>
      <c r="P34" s="400">
        <f>IFERROR(GETPIVOTDATA("[Measures].[Somme de Conso_kWh_PCI]",TCD_Conso!$B$3,"[Tab_concat].[Type]","[Tab_concat].[Type].&amp;[Consommation]","[Tab_concat].[Detail usage]","[Tab_concat].[Detail usage].&amp;["&amp;$B34&amp;"]","[Tab_concat].[Annee]","[Tab_concat].[Annee].&amp;["&amp;P$33&amp;"]"),0)</f>
        <v>54070.270270270121</v>
      </c>
      <c r="Q34" s="400">
        <f>IFERROR(GETPIVOTDATA("[Measures].[Somme de Conso_kWh_PCI]",TCD_Conso!$B$3,"[Tab_concat].[Type]","[Tab_concat].[Type].&amp;[Consommation]","[Tab_concat].[Detail usage]","[Tab_concat].[Detail usage].&amp;["&amp;$B34&amp;"]","[Tab_concat].[Annee]","[Tab_concat].[Annee].&amp;["&amp;Q$33&amp;"]"),0)</f>
        <v>56700.464981110272</v>
      </c>
      <c r="R34" s="400">
        <f>IFERROR(GETPIVOTDATA("[Measures].[Somme de Conso_kWh_PCI]",TCD_Conso!$B$3,"[Tab_concat].[Type]","[Tab_concat].[Type].&amp;[Consommation]","[Tab_concat].[Detail usage]","[Tab_concat].[Detail usage].&amp;["&amp;$B34&amp;"]","[Tab_concat].[Annee]","[Tab_concat].[Annee].&amp;["&amp;R$33&amp;"]"),0)</f>
        <v>55124.411508282443</v>
      </c>
      <c r="S34" s="400">
        <f>IFERROR(GETPIVOTDATA("[Measures].[Somme de Conso_kWh_PCI]",TCD_Conso!$B$3,"[Tab_concat].[Type]","[Tab_concat].[Type].&amp;[Consommation]","[Tab_concat].[Detail usage]","[Tab_concat].[Detail usage].&amp;["&amp;$B34&amp;"]","[Tab_concat].[Annee]","[Tab_concat].[Annee].&amp;["&amp;S$33&amp;"]"),0)</f>
        <v>30815.664051147978</v>
      </c>
      <c r="T34" s="400">
        <f>IFERROR(GETPIVOTDATA("[Measures].[Somme de Conso_kWh_PCI]",TCD_Conso!$B$3,"[Tab_concat].[Type]","[Tab_concat].[Type].&amp;[Consommation]","[Tab_concat].[Detail usage]","[Tab_concat].[Detail usage].&amp;["&amp;$B34&amp;"]","[Tab_concat].[Annee]","[Tab_concat].[Annee].&amp;["&amp;T$33&amp;"]"),0)</f>
        <v>0</v>
      </c>
      <c r="U34" s="400">
        <f>IFERROR(GETPIVOTDATA("[Measures].[Somme de Conso_kWh_PCI]",TCD_Conso!$B$3,"[Tab_concat].[Type]","[Tab_concat].[Type].&amp;[Consommation]","[Tab_concat].[Detail usage]","[Tab_concat].[Detail usage].&amp;["&amp;$B34&amp;"]","[Tab_concat].[Annee]","[Tab_concat].[Annee].&amp;["&amp;U$33&amp;"]"),0)</f>
        <v>0</v>
      </c>
      <c r="V34" s="400">
        <f>IFERROR(GETPIVOTDATA("[Measures].[Somme de Conso_kWh_PCI]",TCD_Conso!$B$3,"[Tab_concat].[Type]","[Tab_concat].[Type].&amp;[Consommation]","[Tab_concat].[Detail usage]","[Tab_concat].[Detail usage].&amp;["&amp;$B34&amp;"]","[Tab_concat].[Annee]","[Tab_concat].[Annee].&amp;["&amp;V$33&amp;"]"),0)</f>
        <v>0</v>
      </c>
      <c r="W34" s="400">
        <f>IFERROR(GETPIVOTDATA("[Measures].[Somme de Conso_kWh_PCI]",TCD_Conso!$B$3,"[Tab_concat].[Type]","[Tab_concat].[Type].&amp;[Consommation]","[Tab_concat].[Detail usage]","[Tab_concat].[Detail usage].&amp;["&amp;$B34&amp;"]","[Tab_concat].[Annee]","[Tab_concat].[Annee].&amp;["&amp;W$33&amp;"]"),0)</f>
        <v>0</v>
      </c>
    </row>
    <row r="35" spans="1:23">
      <c r="B35" t="s">
        <v>180</v>
      </c>
      <c r="C35" s="400">
        <f>IFERROR(GETPIVOTDATA("[Measures].[Somme de Conso_kWh_PCI]",TCD_Conso!$B$3,"[Tab_concat].[Type]","[Tab_concat].[Type].&amp;[Consommation]","[Tab_concat].[Detail usage]","[Tab_concat].[Detail usage].&amp;["&amp;$B35&amp;"]","[Tab_concat].[Annee]","[Tab_concat].[Annee].&amp;["&amp;C$33&amp;"]"),0)</f>
        <v>0</v>
      </c>
      <c r="D35" s="400">
        <f>IFERROR(GETPIVOTDATA("[Measures].[Somme de Conso_kWh_PCI]",TCD_Conso!$B$3,"[Tab_concat].[Type]","[Tab_concat].[Type].&amp;[Consommation]","[Tab_concat].[Detail usage]","[Tab_concat].[Detail usage].&amp;["&amp;$B35&amp;"]","[Tab_concat].[Annee]","[Tab_concat].[Annee].&amp;["&amp;D$33&amp;"]"),0)</f>
        <v>0</v>
      </c>
      <c r="E35" s="400">
        <f>IFERROR(GETPIVOTDATA("[Measures].[Somme de Conso_kWh_PCI]",TCD_Conso!$B$3,"[Tab_concat].[Type]","[Tab_concat].[Type].&amp;[Consommation]","[Tab_concat].[Detail usage]","[Tab_concat].[Detail usage].&amp;["&amp;$B35&amp;"]","[Tab_concat].[Annee]","[Tab_concat].[Annee].&amp;["&amp;E$33&amp;"]"),0)</f>
        <v>0</v>
      </c>
      <c r="F35" s="400">
        <f>IFERROR(GETPIVOTDATA("[Measures].[Somme de Conso_kWh_PCI]",TCD_Conso!$B$3,"[Tab_concat].[Type]","[Tab_concat].[Type].&amp;[Consommation]","[Tab_concat].[Detail usage]","[Tab_concat].[Detail usage].&amp;["&amp;$B35&amp;"]","[Tab_concat].[Annee]","[Tab_concat].[Annee].&amp;["&amp;F$33&amp;"]"),0)</f>
        <v>0</v>
      </c>
      <c r="G35" s="400">
        <f>IFERROR(GETPIVOTDATA("[Measures].[Somme de Conso_kWh_PCI]",TCD_Conso!$B$3,"[Tab_concat].[Type]","[Tab_concat].[Type].&amp;[Consommation]","[Tab_concat].[Detail usage]","[Tab_concat].[Detail usage].&amp;["&amp;$B35&amp;"]","[Tab_concat].[Annee]","[Tab_concat].[Annee].&amp;["&amp;G$33&amp;"]"),0)</f>
        <v>0</v>
      </c>
      <c r="H35" s="400">
        <f>IFERROR(GETPIVOTDATA("[Measures].[Somme de Conso_kWh_PCI]",TCD_Conso!$B$3,"[Tab_concat].[Type]","[Tab_concat].[Type].&amp;[Consommation]","[Tab_concat].[Detail usage]","[Tab_concat].[Detail usage].&amp;["&amp;$B35&amp;"]","[Tab_concat].[Annee]","[Tab_concat].[Annee].&amp;["&amp;H$33&amp;"]"),0)</f>
        <v>0</v>
      </c>
      <c r="I35" s="400">
        <f>IFERROR(GETPIVOTDATA("[Measures].[Somme de Conso_kWh_PCI]",TCD_Conso!$B$3,"[Tab_concat].[Type]","[Tab_concat].[Type].&amp;[Consommation]","[Tab_concat].[Detail usage]","[Tab_concat].[Detail usage].&amp;["&amp;$B35&amp;"]","[Tab_concat].[Annee]","[Tab_concat].[Annee].&amp;["&amp;I$33&amp;"]"),0)</f>
        <v>0</v>
      </c>
      <c r="J35" s="400">
        <f>IFERROR(GETPIVOTDATA("[Measures].[Somme de Conso_kWh_PCI]",TCD_Conso!$B$3,"[Tab_concat].[Type]","[Tab_concat].[Type].&amp;[Consommation]","[Tab_concat].[Detail usage]","[Tab_concat].[Detail usage].&amp;["&amp;$B35&amp;"]","[Tab_concat].[Annee]","[Tab_concat].[Annee].&amp;["&amp;J$33&amp;"]"),0)</f>
        <v>0</v>
      </c>
      <c r="K35" s="400">
        <f>IFERROR(GETPIVOTDATA("[Measures].[Somme de Conso_kWh_PCI]",TCD_Conso!$B$3,"[Tab_concat].[Type]","[Tab_concat].[Type].&amp;[Consommation]","[Tab_concat].[Detail usage]","[Tab_concat].[Detail usage].&amp;["&amp;$B35&amp;"]","[Tab_concat].[Annee]","[Tab_concat].[Annee].&amp;["&amp;K$33&amp;"]"),0)</f>
        <v>0</v>
      </c>
      <c r="L35" s="400">
        <f>IFERROR(GETPIVOTDATA("[Measures].[Somme de Conso_kWh_PCI]",TCD_Conso!$B$3,"[Tab_concat].[Type]","[Tab_concat].[Type].&amp;[Consommation]","[Tab_concat].[Detail usage]","[Tab_concat].[Detail usage].&amp;["&amp;$B35&amp;"]","[Tab_concat].[Annee]","[Tab_concat].[Annee].&amp;["&amp;L$33&amp;"]"),0)</f>
        <v>0</v>
      </c>
      <c r="M35" s="400">
        <f>IFERROR(GETPIVOTDATA("[Measures].[Somme de Conso_kWh_PCI]",TCD_Conso!$B$3,"[Tab_concat].[Type]","[Tab_concat].[Type].&amp;[Consommation]","[Tab_concat].[Detail usage]","[Tab_concat].[Detail usage].&amp;["&amp;$B35&amp;"]","[Tab_concat].[Annee]","[Tab_concat].[Annee].&amp;["&amp;M$33&amp;"]"),0)</f>
        <v>0</v>
      </c>
      <c r="N35" s="400">
        <f>IFERROR(GETPIVOTDATA("[Measures].[Somme de Conso_kWh_PCI]",TCD_Conso!$B$3,"[Tab_concat].[Type]","[Tab_concat].[Type].&amp;[Consommation]","[Tab_concat].[Detail usage]","[Tab_concat].[Detail usage].&amp;["&amp;$B35&amp;"]","[Tab_concat].[Annee]","[Tab_concat].[Annee].&amp;["&amp;N$33&amp;"]"),0)</f>
        <v>0</v>
      </c>
      <c r="O35" s="400">
        <f>IFERROR(GETPIVOTDATA("[Measures].[Somme de Conso_kWh_PCI]",TCD_Conso!$B$3,"[Tab_concat].[Type]","[Tab_concat].[Type].&amp;[Consommation]","[Tab_concat].[Detail usage]","[Tab_concat].[Detail usage].&amp;["&amp;$B35&amp;"]","[Tab_concat].[Annee]","[Tab_concat].[Annee].&amp;["&amp;O$33&amp;"]"),0)</f>
        <v>0</v>
      </c>
      <c r="P35" s="400">
        <f>IFERROR(GETPIVOTDATA("[Measures].[Somme de Conso_kWh_PCI]",TCD_Conso!$B$3,"[Tab_concat].[Type]","[Tab_concat].[Type].&amp;[Consommation]","[Tab_concat].[Detail usage]","[Tab_concat].[Detail usage].&amp;["&amp;$B35&amp;"]","[Tab_concat].[Annee]","[Tab_concat].[Annee].&amp;["&amp;P$33&amp;"]"),0)</f>
        <v>0</v>
      </c>
      <c r="Q35" s="400">
        <f>IFERROR(GETPIVOTDATA("[Measures].[Somme de Conso_kWh_PCI]",TCD_Conso!$B$3,"[Tab_concat].[Type]","[Tab_concat].[Type].&amp;[Consommation]","[Tab_concat].[Detail usage]","[Tab_concat].[Detail usage].&amp;["&amp;$B35&amp;"]","[Tab_concat].[Annee]","[Tab_concat].[Annee].&amp;["&amp;Q$33&amp;"]"),0)</f>
        <v>0</v>
      </c>
      <c r="R35" s="400">
        <f>IFERROR(GETPIVOTDATA("[Measures].[Somme de Conso_kWh_PCI]",TCD_Conso!$B$3,"[Tab_concat].[Type]","[Tab_concat].[Type].&amp;[Consommation]","[Tab_concat].[Detail usage]","[Tab_concat].[Detail usage].&amp;["&amp;$B35&amp;"]","[Tab_concat].[Annee]","[Tab_concat].[Annee].&amp;["&amp;R$33&amp;"]"),0)</f>
        <v>0</v>
      </c>
      <c r="S35" s="400">
        <f>IFERROR(GETPIVOTDATA("[Measures].[Somme de Conso_kWh_PCI]",TCD_Conso!$B$3,"[Tab_concat].[Type]","[Tab_concat].[Type].&amp;[Consommation]","[Tab_concat].[Detail usage]","[Tab_concat].[Detail usage].&amp;["&amp;$B35&amp;"]","[Tab_concat].[Annee]","[Tab_concat].[Annee].&amp;["&amp;S$33&amp;"]"),0)</f>
        <v>0</v>
      </c>
      <c r="T35" s="400">
        <f>IFERROR(GETPIVOTDATA("[Measures].[Somme de Conso_kWh_PCI]",TCD_Conso!$B$3,"[Tab_concat].[Type]","[Tab_concat].[Type].&amp;[Consommation]","[Tab_concat].[Detail usage]","[Tab_concat].[Detail usage].&amp;["&amp;$B35&amp;"]","[Tab_concat].[Annee]","[Tab_concat].[Annee].&amp;["&amp;T$33&amp;"]"),0)</f>
        <v>0</v>
      </c>
      <c r="U35" s="400">
        <f>IFERROR(GETPIVOTDATA("[Measures].[Somme de Conso_kWh_PCI]",TCD_Conso!$B$3,"[Tab_concat].[Type]","[Tab_concat].[Type].&amp;[Consommation]","[Tab_concat].[Detail usage]","[Tab_concat].[Detail usage].&amp;["&amp;$B35&amp;"]","[Tab_concat].[Annee]","[Tab_concat].[Annee].&amp;["&amp;U$33&amp;"]"),0)</f>
        <v>0</v>
      </c>
      <c r="V35" s="400">
        <f>IFERROR(GETPIVOTDATA("[Measures].[Somme de Conso_kWh_PCI]",TCD_Conso!$B$3,"[Tab_concat].[Type]","[Tab_concat].[Type].&amp;[Consommation]","[Tab_concat].[Detail usage]","[Tab_concat].[Detail usage].&amp;["&amp;$B35&amp;"]","[Tab_concat].[Annee]","[Tab_concat].[Annee].&amp;["&amp;V$33&amp;"]"),0)</f>
        <v>0</v>
      </c>
      <c r="W35" s="400">
        <f>IFERROR(GETPIVOTDATA("[Measures].[Somme de Conso_kWh_PCI]",TCD_Conso!$B$3,"[Tab_concat].[Type]","[Tab_concat].[Type].&amp;[Consommation]","[Tab_concat].[Detail usage]","[Tab_concat].[Detail usage].&amp;["&amp;$B35&amp;"]","[Tab_concat].[Annee]","[Tab_concat].[Annee].&amp;["&amp;W$33&amp;"]"),0)</f>
        <v>0</v>
      </c>
    </row>
    <row r="36" spans="1:23">
      <c r="B36" t="s">
        <v>389</v>
      </c>
      <c r="C36">
        <f>SUM(C34:C35)</f>
        <v>63963.963963963979</v>
      </c>
      <c r="D36">
        <f t="shared" ref="D36:R36" si="5">SUM(D34:D35)</f>
        <v>45045.045045045052</v>
      </c>
      <c r="E36">
        <f t="shared" si="5"/>
        <v>54954.954954954956</v>
      </c>
      <c r="F36">
        <f t="shared" si="5"/>
        <v>54954.954954954963</v>
      </c>
      <c r="G36">
        <f t="shared" si="5"/>
        <v>45045.045045045052</v>
      </c>
      <c r="H36">
        <f t="shared" si="5"/>
        <v>48648.648648648654</v>
      </c>
      <c r="I36">
        <f t="shared" si="5"/>
        <v>51351.351351351361</v>
      </c>
      <c r="J36">
        <f t="shared" si="5"/>
        <v>48648.648648648654</v>
      </c>
      <c r="K36">
        <f t="shared" si="5"/>
        <v>49549.549549549556</v>
      </c>
      <c r="L36">
        <f t="shared" si="5"/>
        <v>52252.252252252263</v>
      </c>
      <c r="M36">
        <f t="shared" si="5"/>
        <v>56137.169427492045</v>
      </c>
      <c r="N36">
        <f t="shared" si="5"/>
        <v>53613.455390874733</v>
      </c>
      <c r="O36">
        <f t="shared" si="5"/>
        <v>40521.447253705337</v>
      </c>
      <c r="P36">
        <f t="shared" si="5"/>
        <v>54070.270270270121</v>
      </c>
      <c r="Q36">
        <f t="shared" si="5"/>
        <v>56700.464981110272</v>
      </c>
      <c r="R36">
        <f t="shared" si="5"/>
        <v>55124.411508282443</v>
      </c>
      <c r="S36" s="365">
        <f>SUM(S34:S35)</f>
        <v>30815.664051147978</v>
      </c>
      <c r="T36" s="365">
        <f>SUM(T34:T35)</f>
        <v>0</v>
      </c>
      <c r="U36" s="365">
        <f>SUM(U34:U35)</f>
        <v>0</v>
      </c>
      <c r="V36" s="365">
        <f>SUM(V34:V35)</f>
        <v>0</v>
      </c>
      <c r="W36" s="365">
        <f>SUM(W34:W35)</f>
        <v>0</v>
      </c>
    </row>
    <row r="37" spans="1:23" ht="21">
      <c r="B37" s="143"/>
    </row>
    <row r="38" spans="1:23" ht="21">
      <c r="B38" s="143"/>
    </row>
    <row r="40" spans="1:23">
      <c r="C40">
        <v>2010</v>
      </c>
      <c r="D40">
        <v>2011</v>
      </c>
      <c r="E40">
        <v>2012</v>
      </c>
      <c r="F40">
        <v>2013</v>
      </c>
      <c r="G40">
        <v>2014</v>
      </c>
      <c r="H40">
        <v>2015</v>
      </c>
      <c r="I40">
        <v>2016</v>
      </c>
      <c r="J40">
        <v>2017</v>
      </c>
      <c r="K40">
        <v>2018</v>
      </c>
      <c r="L40">
        <v>2019</v>
      </c>
      <c r="M40">
        <v>2020</v>
      </c>
      <c r="N40">
        <v>2021</v>
      </c>
      <c r="O40">
        <v>2022</v>
      </c>
      <c r="P40">
        <v>2023</v>
      </c>
      <c r="Q40">
        <v>2024</v>
      </c>
      <c r="R40">
        <v>2025</v>
      </c>
      <c r="S40" s="365">
        <v>2026</v>
      </c>
      <c r="T40" s="365">
        <v>2027</v>
      </c>
      <c r="U40" s="365">
        <v>2028</v>
      </c>
      <c r="V40" s="365">
        <v>2029</v>
      </c>
      <c r="W40" s="365">
        <v>2030</v>
      </c>
    </row>
    <row r="41" spans="1:23">
      <c r="B41" s="30" t="s">
        <v>322</v>
      </c>
      <c r="C41" s="400">
        <f>IFERROR(GETPIVOTDATA("[Measures].[Moyenne de Conso_kWh_PCI]",$B$3,"[Tab_concat].[Annee]","[Tab_concat].[Annee].&amp;["&amp;C$20&amp;"]","[Tab_concat].[Detail usage]","[Tab_concat].[Detail usage].&amp;["&amp;$B41&amp;"]"),0)*366</f>
        <v>64139.207700851548</v>
      </c>
      <c r="D41" s="400">
        <f t="shared" ref="D41:S43" si="6">IFERROR(GETPIVOTDATA("[Measures].[Moyenne de Conso_kWh_PCI]",$B$3,"[Tab_concat].[Annee]","[Tab_concat].[Annee].&amp;["&amp;D$20&amp;"]","[Tab_concat].[Detail usage]","[Tab_concat].[Detail usage].&amp;["&amp;$B41&amp;"]"),0)*366</f>
        <v>45168.456127360245</v>
      </c>
      <c r="E41" s="400">
        <f t="shared" si="6"/>
        <v>54954.954954954956</v>
      </c>
      <c r="F41" s="400">
        <f t="shared" si="6"/>
        <v>55105.516475379496</v>
      </c>
      <c r="G41" s="400">
        <f t="shared" si="6"/>
        <v>45168.456127360245</v>
      </c>
      <c r="H41" s="400">
        <f t="shared" si="6"/>
        <v>48781.932617549064</v>
      </c>
      <c r="I41" s="400">
        <f t="shared" si="6"/>
        <v>51351.351351351361</v>
      </c>
      <c r="J41" s="400">
        <f t="shared" si="6"/>
        <v>48781.932617549064</v>
      </c>
      <c r="K41" s="400">
        <f t="shared" si="6"/>
        <v>49685.301740096271</v>
      </c>
      <c r="L41" s="400">
        <f t="shared" si="6"/>
        <v>52395.409107737883</v>
      </c>
      <c r="M41" s="400">
        <f t="shared" si="6"/>
        <v>5986.3444610062807</v>
      </c>
      <c r="N41" s="400">
        <f t="shared" si="6"/>
        <v>6785.2785668082279</v>
      </c>
      <c r="O41" s="400">
        <f t="shared" si="6"/>
        <v>2414.4725370531819</v>
      </c>
      <c r="P41" s="400">
        <f t="shared" si="6"/>
        <v>6234.9196953685068</v>
      </c>
      <c r="Q41" s="400">
        <f t="shared" si="6"/>
        <v>2301.2458868858498</v>
      </c>
      <c r="R41" s="400">
        <f>IFERROR(GETPIVOTDATA("[Measures].[Moyenne de Conso_kWh_PCI]",$B$3,"[Tab_concat].[Annee]","[Tab_concat].[Annee].&amp;["&amp;R$20&amp;"]","[Tab_concat].[Detail usage]","[Tab_concat].[Detail usage].&amp;["&amp;$B41&amp;"]"),0)*366</f>
        <v>2234.5107854993385</v>
      </c>
      <c r="S41" s="400">
        <f t="shared" si="6"/>
        <v>0</v>
      </c>
      <c r="T41" s="400">
        <f t="shared" ref="S41:W43" si="7">IFERROR(GETPIVOTDATA("[Measures].[Moyenne de Conso_kWh_PCI]",$B$3,"[Tab_concat].[Annee]","[Tab_concat].[Annee].&amp;["&amp;T$20&amp;"]","[Tab_concat].[Detail usage]","[Tab_concat].[Detail usage].&amp;["&amp;$B41&amp;"]"),0)*366</f>
        <v>0</v>
      </c>
      <c r="U41" s="400">
        <f t="shared" si="7"/>
        <v>0</v>
      </c>
      <c r="V41" s="400">
        <f t="shared" si="7"/>
        <v>0</v>
      </c>
      <c r="W41" s="400">
        <f t="shared" si="7"/>
        <v>0</v>
      </c>
    </row>
    <row r="42" spans="1:23">
      <c r="B42" t="s">
        <v>180</v>
      </c>
      <c r="C42" s="400">
        <f>IFERROR(GETPIVOTDATA("[Measures].[Moyenne de Conso_kWh_PCI]",$B$3,"[Tab_concat].[Annee]","[Tab_concat].[Annee].&amp;["&amp;C$20&amp;"]","[Tab_concat].[Detail usage]","[Tab_concat].[Detail usage].&amp;["&amp;$B42&amp;"]"),0)*366</f>
        <v>0</v>
      </c>
      <c r="D42" s="400">
        <f t="shared" si="6"/>
        <v>0</v>
      </c>
      <c r="E42" s="400">
        <f t="shared" si="6"/>
        <v>0</v>
      </c>
      <c r="F42" s="400">
        <f t="shared" si="6"/>
        <v>0</v>
      </c>
      <c r="G42" s="400">
        <f t="shared" si="6"/>
        <v>0</v>
      </c>
      <c r="H42" s="400">
        <f t="shared" si="6"/>
        <v>0</v>
      </c>
      <c r="I42" s="400">
        <f t="shared" si="6"/>
        <v>0</v>
      </c>
      <c r="J42" s="400">
        <f t="shared" si="6"/>
        <v>0</v>
      </c>
      <c r="K42" s="400">
        <f t="shared" si="6"/>
        <v>0</v>
      </c>
      <c r="L42" s="400">
        <f t="shared" si="6"/>
        <v>0</v>
      </c>
      <c r="M42" s="400">
        <f t="shared" si="6"/>
        <v>0</v>
      </c>
      <c r="N42" s="400">
        <f t="shared" si="6"/>
        <v>0</v>
      </c>
      <c r="O42" s="400">
        <f t="shared" si="6"/>
        <v>0</v>
      </c>
      <c r="P42" s="400">
        <f t="shared" si="6"/>
        <v>0</v>
      </c>
      <c r="Q42" s="400">
        <f t="shared" si="6"/>
        <v>0</v>
      </c>
      <c r="R42" s="400">
        <f>IFERROR(GETPIVOTDATA("[Measures].[Moyenne de Conso_kWh_PCI]",$B$3,"[Tab_concat].[Annee]","[Tab_concat].[Annee].&amp;["&amp;R$20&amp;"]","[Tab_concat].[Detail usage]","[Tab_concat].[Detail usage].&amp;["&amp;$B42&amp;"]"),0)*366</f>
        <v>0</v>
      </c>
      <c r="S42" s="400">
        <f t="shared" si="7"/>
        <v>0</v>
      </c>
      <c r="T42" s="400">
        <f t="shared" si="7"/>
        <v>0</v>
      </c>
      <c r="U42" s="400">
        <f t="shared" si="7"/>
        <v>0</v>
      </c>
      <c r="V42" s="400">
        <f t="shared" si="7"/>
        <v>0</v>
      </c>
      <c r="W42" s="400">
        <f t="shared" si="7"/>
        <v>0</v>
      </c>
    </row>
    <row r="43" spans="1:23">
      <c r="B43" t="s">
        <v>392</v>
      </c>
      <c r="C43" s="400">
        <f>IFERROR(GETPIVOTDATA("[Measures].[Moyenne de Conso_kWh_PCI]",$B$3,"[Tab_concat].[Annee]","[Tab_concat].[Annee].&amp;["&amp;C$20&amp;"]","[Tab_concat].[Detail usage]","[Tab_concat].[Detail usage].&amp;["&amp;$B43&amp;"]"),0)*366</f>
        <v>0</v>
      </c>
      <c r="D43" s="400">
        <f t="shared" si="6"/>
        <v>0</v>
      </c>
      <c r="E43" s="400">
        <f t="shared" si="6"/>
        <v>0</v>
      </c>
      <c r="F43" s="400">
        <f t="shared" si="6"/>
        <v>0</v>
      </c>
      <c r="G43" s="400">
        <f t="shared" si="6"/>
        <v>0</v>
      </c>
      <c r="H43" s="400">
        <f t="shared" si="6"/>
        <v>0</v>
      </c>
      <c r="I43" s="400">
        <f t="shared" si="6"/>
        <v>0</v>
      </c>
      <c r="J43" s="400">
        <f t="shared" si="6"/>
        <v>0</v>
      </c>
      <c r="K43" s="400">
        <f t="shared" si="6"/>
        <v>0</v>
      </c>
      <c r="L43" s="400">
        <f t="shared" si="6"/>
        <v>0</v>
      </c>
      <c r="M43" s="400">
        <f t="shared" si="6"/>
        <v>0</v>
      </c>
      <c r="N43" s="400">
        <f t="shared" si="6"/>
        <v>0</v>
      </c>
      <c r="O43" s="400">
        <f t="shared" si="6"/>
        <v>0</v>
      </c>
      <c r="P43" s="400">
        <f t="shared" si="6"/>
        <v>0</v>
      </c>
      <c r="Q43" s="400">
        <f t="shared" si="6"/>
        <v>0</v>
      </c>
      <c r="R43" s="400">
        <f>IFERROR(GETPIVOTDATA("[Measures].[Moyenne de Conso_kWh_PCI]",$B$3,"[Tab_concat].[Annee]","[Tab_concat].[Annee].&amp;["&amp;R$20&amp;"]","[Tab_concat].[Detail usage]","[Tab_concat].[Detail usage].&amp;["&amp;$B43&amp;"]"),0)*366</f>
        <v>0</v>
      </c>
      <c r="S43" s="400">
        <f t="shared" si="6"/>
        <v>0</v>
      </c>
      <c r="T43" s="400">
        <f t="shared" si="7"/>
        <v>0</v>
      </c>
      <c r="U43" s="400">
        <f t="shared" si="7"/>
        <v>0</v>
      </c>
      <c r="V43" s="400">
        <f t="shared" si="7"/>
        <v>0</v>
      </c>
      <c r="W43" s="400">
        <f t="shared" si="7"/>
        <v>0</v>
      </c>
    </row>
    <row r="44" spans="1:23">
      <c r="A44" t="s">
        <v>310</v>
      </c>
      <c r="B44" t="str">
        <f>IF(C43&gt;0,"ECS seule", IF(C41&gt;0,"ECS seule estimée","ECS+Cuisson estimées"))</f>
        <v>ECS seule estimée</v>
      </c>
      <c r="C44">
        <f>IF($C$49="Oui",IF($C$50="Oui",(100-$C$51)*C36/100,SUM(C41:C43)),0)</f>
        <v>0</v>
      </c>
      <c r="D44" s="365">
        <f t="shared" ref="D44:W44" si="8">IF($C$49="Oui",IF($C$50="Oui",(100-$C$51)*D36/100,SUM(D41:D43)),0)</f>
        <v>0</v>
      </c>
      <c r="E44" s="365">
        <f t="shared" si="8"/>
        <v>0</v>
      </c>
      <c r="F44" s="365">
        <f t="shared" si="8"/>
        <v>0</v>
      </c>
      <c r="G44" s="365">
        <f t="shared" si="8"/>
        <v>0</v>
      </c>
      <c r="H44" s="365">
        <f t="shared" si="8"/>
        <v>0</v>
      </c>
      <c r="I44" s="365">
        <f t="shared" si="8"/>
        <v>0</v>
      </c>
      <c r="J44" s="365">
        <f t="shared" si="8"/>
        <v>0</v>
      </c>
      <c r="K44" s="365">
        <f t="shared" si="8"/>
        <v>0</v>
      </c>
      <c r="L44" s="365">
        <f t="shared" si="8"/>
        <v>0</v>
      </c>
      <c r="M44" s="365">
        <f t="shared" si="8"/>
        <v>0</v>
      </c>
      <c r="N44" s="365">
        <f t="shared" si="8"/>
        <v>0</v>
      </c>
      <c r="O44" s="365">
        <f t="shared" si="8"/>
        <v>0</v>
      </c>
      <c r="P44" s="365">
        <f t="shared" si="8"/>
        <v>0</v>
      </c>
      <c r="Q44" s="365">
        <f t="shared" si="8"/>
        <v>0</v>
      </c>
      <c r="R44" s="365">
        <f t="shared" si="8"/>
        <v>0</v>
      </c>
      <c r="S44" s="365">
        <f t="shared" si="8"/>
        <v>0</v>
      </c>
      <c r="T44" s="365">
        <f t="shared" si="8"/>
        <v>0</v>
      </c>
      <c r="U44" s="365">
        <f t="shared" si="8"/>
        <v>0</v>
      </c>
      <c r="V44" s="365">
        <f t="shared" si="8"/>
        <v>0</v>
      </c>
      <c r="W44" s="365">
        <f t="shared" si="8"/>
        <v>0</v>
      </c>
    </row>
    <row r="49" spans="2:3">
      <c r="B49" t="s">
        <v>299</v>
      </c>
      <c r="C49">
        <f>Controle_des_données!$B$43</f>
        <v>0</v>
      </c>
    </row>
    <row r="50" spans="2:3">
      <c r="B50" t="s">
        <v>300</v>
      </c>
      <c r="C50">
        <f>Controle_des_données!$B$44</f>
        <v>0</v>
      </c>
    </row>
    <row r="51" spans="2:3">
      <c r="B51" t="s">
        <v>301</v>
      </c>
      <c r="C51">
        <f>Controle_des_données!$B$45</f>
        <v>70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theme="9" tint="-0.249977111117893"/>
  </sheetPr>
  <dimension ref="A3:J29"/>
  <sheetViews>
    <sheetView showGridLines="0" topLeftCell="A3" zoomScale="115" zoomScaleNormal="115" workbookViewId="0"/>
  </sheetViews>
  <sheetFormatPr baseColWidth="10" defaultColWidth="0" defaultRowHeight="15" customHeight="1" zeroHeight="1"/>
  <cols>
    <col min="1" max="1" width="11.36328125" customWidth="1"/>
    <col min="2" max="2" width="21.81640625" bestFit="1" customWidth="1"/>
    <col min="3" max="3" width="11.08984375" bestFit="1" customWidth="1"/>
    <col min="4" max="4" width="11" customWidth="1"/>
    <col min="5" max="5" width="2.81640625" style="467" customWidth="1"/>
    <col min="6" max="6" width="10.81640625" customWidth="1"/>
    <col min="7" max="7" width="3.6328125" customWidth="1"/>
    <col min="8" max="8" width="9.6328125" customWidth="1"/>
    <col min="9" max="10" width="11.36328125" customWidth="1"/>
    <col min="11" max="12" width="11.36328125" hidden="1" customWidth="1"/>
    <col min="13" max="16384" width="11.36328125" hidden="1"/>
  </cols>
  <sheetData>
    <row r="3" spans="2:8" ht="14.5">
      <c r="B3" s="102" t="s">
        <v>0</v>
      </c>
      <c r="C3" s="466">
        <f>Site!C2</f>
        <v>0</v>
      </c>
      <c r="D3" s="466"/>
      <c r="E3" s="468"/>
      <c r="F3" s="468"/>
      <c r="G3" s="36"/>
    </row>
    <row r="4" spans="2:8" ht="14.5">
      <c r="B4" s="36"/>
      <c r="C4" s="101" t="s">
        <v>56</v>
      </c>
      <c r="D4" s="76">
        <f>DJU!A2</f>
        <v>0</v>
      </c>
      <c r="E4" s="76"/>
      <c r="F4" s="36"/>
      <c r="G4" s="36"/>
    </row>
    <row r="5" spans="2:8" ht="14.5">
      <c r="B5" s="36"/>
      <c r="F5" s="36"/>
      <c r="G5" s="36"/>
    </row>
    <row r="6" spans="2:8" ht="14.5">
      <c r="B6" s="36"/>
      <c r="F6" s="36"/>
    </row>
    <row r="7" spans="2:8" ht="16.5" customHeight="1">
      <c r="B7" s="36"/>
      <c r="C7" s="36"/>
      <c r="D7" s="36"/>
      <c r="E7" s="36"/>
      <c r="F7" s="36"/>
      <c r="G7" s="36"/>
      <c r="H7" s="36" t="s">
        <v>60</v>
      </c>
    </row>
    <row r="8" spans="2:8" ht="44.5" customHeight="1">
      <c r="B8" s="734" t="s">
        <v>61</v>
      </c>
      <c r="C8" s="735"/>
      <c r="D8" s="735"/>
      <c r="E8" s="735"/>
      <c r="F8" s="735"/>
      <c r="G8" s="36"/>
    </row>
    <row r="9" spans="2:8" ht="14.5">
      <c r="B9" s="118"/>
      <c r="C9" s="154"/>
      <c r="D9" s="154"/>
      <c r="E9" s="154"/>
      <c r="F9" s="154"/>
      <c r="G9" s="36"/>
    </row>
    <row r="10" spans="2:8" ht="14.5">
      <c r="B10" s="153" t="s">
        <v>62</v>
      </c>
      <c r="F10" s="36"/>
      <c r="G10" s="36"/>
    </row>
    <row r="11" spans="2:8" ht="16.5" customHeight="1">
      <c r="B11" s="152" t="s">
        <v>63</v>
      </c>
      <c r="F11" s="36"/>
      <c r="G11" s="36"/>
    </row>
    <row r="12" spans="2:8" ht="12.75" customHeight="1">
      <c r="G12" s="36"/>
    </row>
    <row r="13" spans="2:8" s="454" customFormat="1" ht="12.75" customHeight="1">
      <c r="B13" s="736" t="s">
        <v>884</v>
      </c>
      <c r="C13" s="737"/>
      <c r="D13" s="737"/>
      <c r="E13" s="737"/>
      <c r="F13" s="737"/>
      <c r="G13" s="36"/>
    </row>
    <row r="14" spans="2:8" s="454" customFormat="1" ht="12.75" customHeight="1">
      <c r="B14" s="737"/>
      <c r="C14" s="737"/>
      <c r="D14" s="737"/>
      <c r="E14" s="737"/>
      <c r="F14" s="737"/>
      <c r="G14" s="36"/>
    </row>
    <row r="15" spans="2:8" s="454" customFormat="1" ht="12.75" customHeight="1">
      <c r="E15" s="467"/>
      <c r="G15" s="36"/>
    </row>
    <row r="16" spans="2:8" ht="14.5">
      <c r="B16" s="524" t="s">
        <v>878</v>
      </c>
      <c r="C16" s="523" t="s" vm="8">
        <v>899</v>
      </c>
      <c r="D16" s="249"/>
      <c r="E16" s="465"/>
      <c r="F16" s="249"/>
      <c r="G16" s="36"/>
    </row>
    <row r="17" spans="2:7" ht="14.5">
      <c r="B17" s="177"/>
      <c r="C17" s="177"/>
      <c r="D17" s="249"/>
      <c r="E17" s="465"/>
      <c r="F17" s="249"/>
      <c r="G17" s="36"/>
    </row>
    <row r="18" spans="2:7" ht="14.5">
      <c r="B18" s="524" t="s">
        <v>64</v>
      </c>
      <c r="C18" s="523" t="s">
        <v>877</v>
      </c>
      <c r="F18" s="36"/>
      <c r="G18" s="36"/>
    </row>
    <row r="19" spans="2:7" ht="14.5">
      <c r="B19" s="533" t="s">
        <v>26</v>
      </c>
      <c r="C19" s="523"/>
      <c r="F19" s="36"/>
      <c r="G19" s="36"/>
    </row>
    <row r="20" spans="2:7" ht="14.5">
      <c r="B20" s="534" t="s">
        <v>31</v>
      </c>
      <c r="C20" s="523"/>
    </row>
    <row r="21" spans="2:7" ht="14.5">
      <c r="B21" s="535" t="s">
        <v>32</v>
      </c>
      <c r="C21" s="523">
        <v>61188.096774193495</v>
      </c>
    </row>
    <row r="22" spans="2:7" ht="14.5">
      <c r="B22" s="534" t="s">
        <v>27</v>
      </c>
      <c r="C22" s="523"/>
    </row>
    <row r="23" spans="2:7" ht="14.5">
      <c r="B23" s="535" t="s">
        <v>28</v>
      </c>
      <c r="C23" s="523">
        <v>13798.524590163954</v>
      </c>
    </row>
    <row r="24" spans="2:7" ht="15" customHeight="1"/>
    <row r="25" spans="2:7" ht="15" customHeight="1"/>
    <row r="26" spans="2:7" ht="15" customHeight="1"/>
    <row r="27" spans="2:7" ht="15" customHeight="1"/>
    <row r="28" spans="2:7" ht="15" customHeight="1"/>
    <row r="29" spans="2:7" ht="15" customHeight="1"/>
  </sheetData>
  <sheetProtection autoFilter="0" pivotTables="0"/>
  <protectedRanges>
    <protectedRange sqref="C3:F3" name="Plage1"/>
  </protectedRanges>
  <mergeCells count="2">
    <mergeCell ref="B8:F8"/>
    <mergeCell ref="B13:F14"/>
  </mergeCells>
  <hyperlinks>
    <hyperlink ref="B11" r:id="rId2" location="/public/signin"/>
  </hyperlinks>
  <pageMargins left="0.7" right="0.7" top="0.75" bottom="0.75" header="0.3" footer="0.3"/>
  <pageSetup paperSize="9" orientation="landscape" r:id="rId3"/>
  <drawing r:id="rId4"/>
  <extLst>
    <ext xmlns:x14="http://schemas.microsoft.com/office/spreadsheetml/2009/9/main" uri="{A8765BA9-456A-4dab-B4F3-ACF838C121DE}">
      <x14:slicerList>
        <x14:slicer r:id="rId5"/>
      </x14:slicerList>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6">
    <tabColor theme="7" tint="0.39997558519241921"/>
  </sheetPr>
  <dimension ref="A1:N56"/>
  <sheetViews>
    <sheetView workbookViewId="0">
      <selection activeCell="I1" sqref="I1"/>
    </sheetView>
  </sheetViews>
  <sheetFormatPr baseColWidth="10" defaultColWidth="0" defaultRowHeight="15" customHeight="1" zeroHeight="1"/>
  <cols>
    <col min="1" max="11" width="11.36328125" style="36" customWidth="1"/>
    <col min="12" max="16384" width="11.36328125" hidden="1"/>
  </cols>
  <sheetData>
    <row r="1" spans="2:7" ht="15" customHeight="1"/>
    <row r="2" spans="2:7" ht="14.5">
      <c r="B2" s="102" t="s">
        <v>0</v>
      </c>
      <c r="C2" s="730">
        <f>Site!C2</f>
        <v>0</v>
      </c>
      <c r="D2" s="730"/>
      <c r="E2" s="730"/>
    </row>
    <row r="3" spans="2:7" ht="15" customHeight="1"/>
    <row r="4" spans="2:7" ht="15" customHeight="1"/>
    <row r="5" spans="2:7" ht="15" customHeight="1">
      <c r="B5" s="438">
        <f>IFERROR(IF(VLOOKUP(CalculSuiviMensuel!C1,DJU!$O$14:$Q$44,2,0)=12,0,"/!\ DJU Incomplets"),"/!\ DJU Incomplets")</f>
        <v>0</v>
      </c>
      <c r="F5" s="438" t="str">
        <f>IFERROR(IF(VLOOKUP(CalculSuiviMensuel!C2,DJU!$O$14:$Q$44,2,0)=12,0,"/!\ DJU Incomplets"),"/!\ DJU Incomplets")</f>
        <v>/!\ DJU Incomplets</v>
      </c>
    </row>
    <row r="6" spans="2:7" ht="15" customHeight="1">
      <c r="C6" s="739" t="s">
        <v>432</v>
      </c>
      <c r="D6" s="739"/>
      <c r="E6" s="739"/>
      <c r="F6" s="739"/>
      <c r="G6" s="739"/>
    </row>
    <row r="7" spans="2:7" ht="15" customHeight="1"/>
    <row r="8" spans="2:7" ht="15" customHeight="1"/>
    <row r="9" spans="2:7" ht="15" customHeight="1"/>
    <row r="10" spans="2:7" ht="15" customHeight="1"/>
    <row r="11" spans="2:7" ht="15" customHeight="1"/>
    <row r="12" spans="2:7" ht="15" customHeight="1"/>
    <row r="13" spans="2:7" ht="15" customHeight="1"/>
    <row r="14" spans="2:7" ht="15" customHeight="1"/>
    <row r="15" spans="2:7" ht="15" customHeight="1"/>
    <row r="16" spans="2:7" ht="15" customHeight="1"/>
    <row r="17" spans="3:14" ht="15" customHeight="1"/>
    <row r="18" spans="3:14" ht="15" customHeight="1"/>
    <row r="19" spans="3:14" ht="15" customHeight="1"/>
    <row r="20" spans="3:14" ht="15" customHeight="1"/>
    <row r="21" spans="3:14" ht="15" customHeight="1"/>
    <row r="22" spans="3:14" ht="15" customHeight="1"/>
    <row r="23" spans="3:14" ht="15" customHeight="1">
      <c r="C23" s="740" t="s">
        <v>433</v>
      </c>
      <c r="D23" s="740"/>
      <c r="E23" s="740"/>
      <c r="F23" s="740"/>
      <c r="G23" s="740"/>
    </row>
    <row r="24" spans="3:14" ht="15" customHeight="1"/>
    <row r="25" spans="3:14" ht="15" customHeight="1"/>
    <row r="26" spans="3:14" ht="14.5">
      <c r="I26" s="738"/>
      <c r="J26" s="738"/>
      <c r="K26" s="738"/>
      <c r="L26" s="738"/>
      <c r="M26" s="738"/>
      <c r="N26" s="738"/>
    </row>
    <row r="27" spans="3:14" ht="14.5">
      <c r="I27" s="738"/>
      <c r="J27" s="738"/>
      <c r="K27" s="738"/>
      <c r="L27" s="738"/>
      <c r="M27" s="738"/>
      <c r="N27" s="738"/>
    </row>
    <row r="28" spans="3:14" ht="14.5">
      <c r="I28" s="738"/>
      <c r="J28" s="738"/>
      <c r="K28" s="738"/>
      <c r="L28" s="738"/>
      <c r="M28" s="738"/>
      <c r="N28" s="738"/>
    </row>
    <row r="29" spans="3:14" ht="14.5">
      <c r="I29" s="738"/>
      <c r="J29" s="738"/>
      <c r="K29" s="738"/>
      <c r="L29" s="738"/>
      <c r="M29" s="738"/>
      <c r="N29" s="738"/>
    </row>
    <row r="30" spans="3:14" ht="20.25" customHeight="1">
      <c r="I30" s="738"/>
      <c r="J30" s="738"/>
      <c r="K30" s="738"/>
      <c r="L30" s="738"/>
      <c r="M30" s="738"/>
      <c r="N30" s="738"/>
    </row>
    <row r="31" spans="3:14" ht="14.5">
      <c r="I31" s="738"/>
      <c r="J31" s="738"/>
      <c r="K31" s="738"/>
      <c r="L31" s="738"/>
      <c r="M31" s="738"/>
      <c r="N31" s="738"/>
    </row>
    <row r="32" spans="3:14" ht="14.5">
      <c r="I32" s="738"/>
      <c r="J32" s="738"/>
      <c r="K32" s="738"/>
      <c r="L32" s="738"/>
      <c r="M32" s="738"/>
      <c r="N32" s="738"/>
    </row>
    <row r="33" spans="3:14" ht="14.5">
      <c r="I33" s="738"/>
      <c r="J33" s="738"/>
      <c r="K33" s="738"/>
      <c r="L33" s="738"/>
      <c r="M33" s="738"/>
      <c r="N33" s="738"/>
    </row>
    <row r="34" spans="3:14" ht="15" customHeight="1">
      <c r="I34" s="738"/>
      <c r="J34" s="738"/>
      <c r="K34" s="738"/>
      <c r="L34" s="738"/>
      <c r="M34" s="738"/>
      <c r="N34" s="738"/>
    </row>
    <row r="35" spans="3:14" ht="15" customHeight="1">
      <c r="I35" s="738"/>
      <c r="J35" s="738"/>
      <c r="K35" s="738"/>
      <c r="L35" s="738"/>
      <c r="M35" s="738"/>
      <c r="N35" s="738"/>
    </row>
    <row r="36" spans="3:14" ht="15" customHeight="1">
      <c r="I36" s="738"/>
      <c r="J36" s="738"/>
      <c r="K36" s="738"/>
      <c r="L36" s="738"/>
      <c r="M36" s="738"/>
      <c r="N36" s="738"/>
    </row>
    <row r="37" spans="3:14" ht="15" customHeight="1">
      <c r="I37" s="738"/>
      <c r="J37" s="738"/>
      <c r="K37" s="738"/>
      <c r="L37" s="738"/>
      <c r="M37" s="738"/>
      <c r="N37" s="738"/>
    </row>
    <row r="38" spans="3:14" ht="15" customHeight="1">
      <c r="I38" s="738"/>
      <c r="J38" s="738"/>
      <c r="K38" s="738"/>
      <c r="L38" s="738"/>
      <c r="M38" s="738"/>
      <c r="N38" s="738"/>
    </row>
    <row r="39" spans="3:14" ht="15" customHeight="1">
      <c r="I39" s="738"/>
      <c r="J39" s="738"/>
      <c r="K39" s="738"/>
      <c r="L39" s="738"/>
      <c r="M39" s="738"/>
      <c r="N39" s="738"/>
    </row>
    <row r="40" spans="3:14" ht="15" customHeight="1">
      <c r="C40" s="741" t="s">
        <v>434</v>
      </c>
      <c r="D40" s="741"/>
      <c r="E40" s="741"/>
      <c r="F40" s="741"/>
      <c r="G40" s="741"/>
      <c r="I40" s="738"/>
      <c r="J40" s="738"/>
      <c r="K40" s="738"/>
      <c r="L40" s="738"/>
      <c r="M40" s="738"/>
      <c r="N40" s="738"/>
    </row>
    <row r="41" spans="3:14" ht="15" customHeight="1">
      <c r="I41" s="738"/>
      <c r="J41" s="738"/>
      <c r="K41" s="738"/>
      <c r="L41" s="738"/>
      <c r="M41" s="738"/>
      <c r="N41" s="738"/>
    </row>
    <row r="42" spans="3:14" ht="15" customHeight="1"/>
    <row r="43" spans="3:14" ht="15" customHeight="1"/>
    <row r="44" spans="3:14" ht="15" customHeight="1"/>
    <row r="45" spans="3:14" ht="15" customHeight="1"/>
    <row r="46" spans="3:14" ht="15" customHeight="1"/>
    <row r="47" spans="3:14" ht="15" customHeight="1"/>
    <row r="48" spans="3:14" ht="15" customHeight="1"/>
    <row r="49" ht="15" customHeight="1"/>
    <row r="50" ht="15" customHeight="1"/>
    <row r="51" ht="15" customHeight="1"/>
    <row r="52" ht="15" customHeight="1"/>
    <row r="53" ht="15" customHeight="1"/>
    <row r="54" ht="15" customHeight="1"/>
    <row r="55" ht="15" customHeight="1"/>
    <row r="56" ht="15" customHeight="1"/>
  </sheetData>
  <sheetProtection sheet="1" pivotTables="0"/>
  <protectedRanges>
    <protectedRange sqref="C2:E2" name="Plage1"/>
  </protectedRanges>
  <mergeCells count="5">
    <mergeCell ref="C2:E2"/>
    <mergeCell ref="I26:N41"/>
    <mergeCell ref="C6:G6"/>
    <mergeCell ref="C23:G23"/>
    <mergeCell ref="C40:G40"/>
  </mergeCells>
  <conditionalFormatting sqref="B5">
    <cfRule type="cellIs" dxfId="141" priority="3" operator="notEqual">
      <formula>"/!\ DJU Incomplets"</formula>
    </cfRule>
    <cfRule type="cellIs" dxfId="140" priority="4" operator="equal">
      <formula>"/!\ DJU Incomplets"</formula>
    </cfRule>
  </conditionalFormatting>
  <conditionalFormatting sqref="F5">
    <cfRule type="cellIs" dxfId="139" priority="1" operator="notEqual">
      <formula>"/!\ DJU Incomplets"</formula>
    </cfRule>
    <cfRule type="cellIs" dxfId="138" priority="2" operator="equal">
      <formula>"/!\ DJU Incomplets"</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801" r:id="rId4" name="Drop Down 1">
              <controlPr defaultSize="0" autoLine="0" autoPict="0">
                <anchor moveWithCells="1">
                  <from>
                    <xdr:col>1</xdr:col>
                    <xdr:colOff>209550</xdr:colOff>
                    <xdr:row>2</xdr:row>
                    <xdr:rowOff>114300</xdr:rowOff>
                  </from>
                  <to>
                    <xdr:col>2</xdr:col>
                    <xdr:colOff>704850</xdr:colOff>
                    <xdr:row>3</xdr:row>
                    <xdr:rowOff>171450</xdr:rowOff>
                  </to>
                </anchor>
              </controlPr>
            </control>
          </mc:Choice>
        </mc:AlternateContent>
        <mc:AlternateContent xmlns:mc="http://schemas.openxmlformats.org/markup-compatibility/2006">
          <mc:Choice Requires="x14">
            <control shapeId="76802" r:id="rId5" name="Drop Down 2">
              <controlPr defaultSize="0" autoLine="0" autoPict="0">
                <anchor moveWithCells="1">
                  <from>
                    <xdr:col>4</xdr:col>
                    <xdr:colOff>590550</xdr:colOff>
                    <xdr:row>2</xdr:row>
                    <xdr:rowOff>114300</xdr:rowOff>
                  </from>
                  <to>
                    <xdr:col>6</xdr:col>
                    <xdr:colOff>304800</xdr:colOff>
                    <xdr:row>3</xdr:row>
                    <xdr:rowOff>171450</xdr:rowOff>
                  </to>
                </anchor>
              </controlPr>
            </control>
          </mc:Choice>
        </mc:AlternateContent>
        <mc:AlternateContent xmlns:mc="http://schemas.openxmlformats.org/markup-compatibility/2006">
          <mc:Choice Requires="x14">
            <control shapeId="76803" r:id="rId6" name="Drop Down 3">
              <controlPr defaultSize="0" autoLine="0" autoPict="0">
                <anchor moveWithCells="1">
                  <from>
                    <xdr:col>8</xdr:col>
                    <xdr:colOff>95250</xdr:colOff>
                    <xdr:row>18</xdr:row>
                    <xdr:rowOff>133350</xdr:rowOff>
                  </from>
                  <to>
                    <xdr:col>9</xdr:col>
                    <xdr:colOff>590550</xdr:colOff>
                    <xdr:row>19</xdr:row>
                    <xdr:rowOff>190500</xdr:rowOff>
                  </to>
                </anchor>
              </controlPr>
            </control>
          </mc:Choice>
        </mc:AlternateContent>
        <mc:AlternateContent xmlns:mc="http://schemas.openxmlformats.org/markup-compatibility/2006">
          <mc:Choice Requires="x14">
            <control shapeId="76804" r:id="rId7" name="Drop Down 4">
              <controlPr defaultSize="0" autoLine="0" autoPict="0">
                <anchor moveWithCells="1">
                  <from>
                    <xdr:col>8</xdr:col>
                    <xdr:colOff>95250</xdr:colOff>
                    <xdr:row>35</xdr:row>
                    <xdr:rowOff>114300</xdr:rowOff>
                  </from>
                  <to>
                    <xdr:col>9</xdr:col>
                    <xdr:colOff>590550</xdr:colOff>
                    <xdr:row>36</xdr:row>
                    <xdr:rowOff>171450</xdr:rowOff>
                  </to>
                </anchor>
              </controlPr>
            </control>
          </mc:Choice>
        </mc:AlternateContent>
      </controls>
    </mc:Choice>
  </mc:AlternateContent>
  <extLst>
    <ext xmlns:x14="http://schemas.microsoft.com/office/spreadsheetml/2009/9/main" uri="{A8765BA9-456A-4dab-B4F3-ACF838C121DE}">
      <x14:slicerList>
        <x14:slicer r:id="rId8"/>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theme="0"/>
  </sheetPr>
  <dimension ref="A1:AH426"/>
  <sheetViews>
    <sheetView workbookViewId="0">
      <selection activeCell="E24" sqref="E24"/>
    </sheetView>
  </sheetViews>
  <sheetFormatPr baseColWidth="10" defaultColWidth="11.36328125" defaultRowHeight="14.5"/>
  <cols>
    <col min="6" max="6" width="9" customWidth="1"/>
    <col min="7" max="7" width="14.81640625" style="169" customWidth="1"/>
    <col min="16" max="16" width="21" bestFit="1" customWidth="1"/>
    <col min="17" max="17" width="27" bestFit="1" customWidth="1"/>
    <col min="18" max="21" width="12" bestFit="1" customWidth="1"/>
    <col min="22" max="22" width="21" bestFit="1" customWidth="1"/>
    <col min="23" max="23" width="28.81640625" bestFit="1" customWidth="1"/>
    <col min="24" max="33" width="12" bestFit="1" customWidth="1"/>
    <col min="34" max="35" width="12.6328125" bestFit="1" customWidth="1"/>
    <col min="36" max="142" width="12" bestFit="1" customWidth="1"/>
    <col min="143" max="145" width="12.6328125" bestFit="1" customWidth="1"/>
  </cols>
  <sheetData>
    <row r="1" spans="1:32">
      <c r="A1" t="s">
        <v>65</v>
      </c>
      <c r="B1">
        <v>16</v>
      </c>
      <c r="C1">
        <f>INDEX(Site!$B$8:$B$28,CalculSuiviMensuel!B1,1)</f>
        <v>2025</v>
      </c>
      <c r="G1" s="169" t="s">
        <v>66</v>
      </c>
      <c r="H1">
        <v>2</v>
      </c>
      <c r="P1" s="166" t="s">
        <v>19</v>
      </c>
      <c r="Q1" s="679" t="s" vm="9">
        <v>1070</v>
      </c>
    </row>
    <row r="2" spans="1:32">
      <c r="A2" t="s">
        <v>67</v>
      </c>
      <c r="B2">
        <v>17</v>
      </c>
      <c r="C2">
        <f>INDEX(Site!$B$8:$B$28,CalculSuiviMensuel!B2,1)</f>
        <v>2026</v>
      </c>
      <c r="P2" s="400"/>
      <c r="Q2" s="400"/>
    </row>
    <row r="3" spans="1:32">
      <c r="B3" t="s">
        <v>7</v>
      </c>
      <c r="C3" t="s">
        <v>68</v>
      </c>
      <c r="D3" t="s">
        <v>69</v>
      </c>
      <c r="E3" t="s">
        <v>867</v>
      </c>
      <c r="F3" t="s">
        <v>71</v>
      </c>
      <c r="G3" s="169" t="s">
        <v>72</v>
      </c>
      <c r="H3" t="s">
        <v>868</v>
      </c>
      <c r="P3" s="166" t="s">
        <v>837</v>
      </c>
      <c r="Q3" s="166" t="s">
        <v>74</v>
      </c>
    </row>
    <row r="4" spans="1:32">
      <c r="B4">
        <f>$C$1</f>
        <v>2025</v>
      </c>
      <c r="C4">
        <v>1</v>
      </c>
      <c r="D4" t="s">
        <v>73</v>
      </c>
      <c r="E4" s="169">
        <f>GETPIVOTDATA("[Measures].[Somme de Conso_kWh_PCI]",$P$3,"[Tab_concat].[Dates (année)]","[Tab_concat].[Dates (année)].&amp;["&amp;$B4&amp;"]","[Tab_concat].[Dates (mois)]","[Tab_concat].[Dates (mois)].&amp;["&amp;$D4&amp;"]")/1000</f>
        <v>1.2902364545707139</v>
      </c>
      <c r="F4">
        <f>GETPIVOTDATA("Somme de DJU(chauffagiste)",$P$92,"annee",B4,"mois_numero",C4)</f>
        <v>392</v>
      </c>
      <c r="G4" s="169">
        <f>GETPIVOTDATA("DJU(chauffagiste)",$V$92,"mois_numero",C4)</f>
        <v>354.61538461538464</v>
      </c>
      <c r="H4" s="116">
        <f>IF($H$1=1,E4*G4/F4,E4)</f>
        <v>1.2902364545707139</v>
      </c>
      <c r="P4" s="166" t="s">
        <v>64</v>
      </c>
      <c r="Q4" s="679" t="s">
        <v>1073</v>
      </c>
      <c r="R4" s="679" t="s">
        <v>1074</v>
      </c>
      <c r="S4" s="679" t="s">
        <v>910</v>
      </c>
      <c r="T4" s="679" t="s">
        <v>911</v>
      </c>
      <c r="U4" s="679" t="s">
        <v>912</v>
      </c>
      <c r="V4" s="679" t="s">
        <v>913</v>
      </c>
      <c r="W4" s="679" t="s">
        <v>895</v>
      </c>
      <c r="X4" s="679" t="s">
        <v>896</v>
      </c>
      <c r="Y4" s="679" t="s">
        <v>897</v>
      </c>
      <c r="Z4" s="679" t="s">
        <v>898</v>
      </c>
      <c r="AA4" s="679" t="s">
        <v>890</v>
      </c>
      <c r="AB4" s="679" t="s">
        <v>891</v>
      </c>
      <c r="AC4" s="679" t="s">
        <v>892</v>
      </c>
      <c r="AD4" s="679" t="s">
        <v>893</v>
      </c>
      <c r="AE4" s="679" t="s">
        <v>899</v>
      </c>
      <c r="AF4" s="679" t="s">
        <v>86</v>
      </c>
    </row>
    <row r="5" spans="1:32">
      <c r="B5">
        <f t="shared" ref="B5:B15" si="0">$C$1</f>
        <v>2025</v>
      </c>
      <c r="C5">
        <v>2</v>
      </c>
      <c r="D5" s="85" t="s">
        <v>844</v>
      </c>
      <c r="E5" s="169">
        <f>GETPIVOTDATA("[Measures].[Somme de Conso_kWh_PCI]",$P$3,"[Tab_concat].[Dates (année)]","[Tab_concat].[Dates (année)].&amp;["&amp;$B5&amp;"]","[Tab_concat].[Dates (mois)]","[Tab_concat].[Dates (mois)].&amp;["&amp;$D5&amp;"]")/1000</f>
        <v>1.148949152542373</v>
      </c>
      <c r="F5" s="400">
        <f t="shared" ref="F5:F27" si="1">GETPIVOTDATA("DJU(chauffagiste)",$P$92,"annee",B5,"mois_numero",C5)</f>
        <v>310</v>
      </c>
      <c r="G5" s="169">
        <f t="shared" ref="G5:G27" si="2">GETPIVOTDATA("DJU(chauffagiste)",$V$92,"mois_numero",C5)</f>
        <v>307.5</v>
      </c>
      <c r="H5" s="116">
        <f t="shared" ref="H5:H27" si="3">IF($H$1=1,E5*G5/F5,E5)</f>
        <v>1.148949152542373</v>
      </c>
      <c r="P5" s="85" t="s">
        <v>73</v>
      </c>
      <c r="Q5" s="205">
        <v>304.41957563312798</v>
      </c>
      <c r="R5" s="205">
        <v>304.41957563312798</v>
      </c>
      <c r="S5" s="205">
        <v>304.41957563312798</v>
      </c>
      <c r="T5" s="205">
        <v>304.41957563312798</v>
      </c>
      <c r="U5" s="205">
        <v>1253.2493150684932</v>
      </c>
      <c r="V5" s="205">
        <v>1198.0737704918033</v>
      </c>
      <c r="W5" s="205">
        <v>1183.1808219178081</v>
      </c>
      <c r="X5" s="205">
        <v>1137.827397260274</v>
      </c>
      <c r="Y5" s="205">
        <v>1164.7506849315068</v>
      </c>
      <c r="Z5" s="205">
        <v>1829</v>
      </c>
      <c r="AA5" s="205">
        <v>558.51239669421454</v>
      </c>
      <c r="AB5" s="205">
        <v>1289.032258064517</v>
      </c>
      <c r="AC5" s="205">
        <v>1262.2580645161293</v>
      </c>
      <c r="AD5" s="205">
        <v>953.71451612903286</v>
      </c>
      <c r="AE5" s="205">
        <v>1290.2364545707139</v>
      </c>
      <c r="AF5" s="205">
        <v>14337.513982177014</v>
      </c>
    </row>
    <row r="6" spans="1:32">
      <c r="B6">
        <f t="shared" si="0"/>
        <v>2025</v>
      </c>
      <c r="C6">
        <v>3</v>
      </c>
      <c r="D6" t="s">
        <v>77</v>
      </c>
      <c r="E6" s="169">
        <f t="shared" ref="E6:E27" si="4">GETPIVOTDATA("[Measures].[Somme de Conso_kWh_PCI]",$P$3,"[Tab_concat].[Dates (année)]","[Tab_concat].[Dates (année)].&amp;["&amp;$B6&amp;"]","[Tab_concat].[Dates (mois)]","[Tab_concat].[Dates (mois)].&amp;["&amp;$D6&amp;"]")/1000</f>
        <v>1.1821750486246172</v>
      </c>
      <c r="F6" s="400">
        <f t="shared" si="1"/>
        <v>269</v>
      </c>
      <c r="G6" s="169">
        <f t="shared" si="2"/>
        <v>288.03846153846155</v>
      </c>
      <c r="H6" s="116">
        <f t="shared" si="3"/>
        <v>1.1821750486246172</v>
      </c>
      <c r="P6" s="85" t="s">
        <v>844</v>
      </c>
      <c r="Q6" s="205">
        <v>274.9596167008898</v>
      </c>
      <c r="R6" s="205">
        <v>284.77960301163586</v>
      </c>
      <c r="S6" s="205">
        <v>274.9596167008898</v>
      </c>
      <c r="T6" s="205">
        <v>274.9596167008898</v>
      </c>
      <c r="U6" s="205">
        <v>1131.9671232876713</v>
      </c>
      <c r="V6" s="205">
        <v>1120.7786885245903</v>
      </c>
      <c r="W6" s="205">
        <v>1068.6794520547944</v>
      </c>
      <c r="X6" s="205">
        <v>1027.7150684931507</v>
      </c>
      <c r="Y6" s="205">
        <v>1052.0328767123287</v>
      </c>
      <c r="Z6" s="205">
        <v>1301.5762711864406</v>
      </c>
      <c r="AA6" s="205">
        <v>504.46280991735506</v>
      </c>
      <c r="AB6" s="205">
        <v>1077.4226353198474</v>
      </c>
      <c r="AC6" s="205">
        <v>1075.63258611263</v>
      </c>
      <c r="AD6" s="205">
        <v>1140.1833333333338</v>
      </c>
      <c r="AE6" s="205">
        <v>1148.949152542373</v>
      </c>
      <c r="AF6" s="205">
        <v>12759.058450598839</v>
      </c>
    </row>
    <row r="7" spans="1:32">
      <c r="B7">
        <f t="shared" si="0"/>
        <v>2025</v>
      </c>
      <c r="C7">
        <v>4</v>
      </c>
      <c r="D7" t="s">
        <v>79</v>
      </c>
      <c r="E7" s="169">
        <f t="shared" si="4"/>
        <v>1.1026229508196714</v>
      </c>
      <c r="F7" s="400">
        <f t="shared" si="1"/>
        <v>173</v>
      </c>
      <c r="G7" s="169">
        <f t="shared" si="2"/>
        <v>220.34615384615384</v>
      </c>
      <c r="H7" s="116">
        <f t="shared" si="3"/>
        <v>1.1026229508196714</v>
      </c>
      <c r="P7" s="85" t="s">
        <v>77</v>
      </c>
      <c r="Q7" s="205">
        <v>304.41957563312798</v>
      </c>
      <c r="R7" s="205">
        <v>304.41957563312798</v>
      </c>
      <c r="S7" s="205">
        <v>304.41957563312798</v>
      </c>
      <c r="T7" s="205">
        <v>304.41957563312798</v>
      </c>
      <c r="U7" s="205">
        <v>1253.2493150684932</v>
      </c>
      <c r="V7" s="205">
        <v>1198.0737704918033</v>
      </c>
      <c r="W7" s="205">
        <v>1183.1808219178081</v>
      </c>
      <c r="X7" s="205">
        <v>1137.827397260274</v>
      </c>
      <c r="Y7" s="205">
        <v>1164.7506849315068</v>
      </c>
      <c r="Z7" s="205">
        <v>1123.8813559322039</v>
      </c>
      <c r="AA7" s="205">
        <v>558.51239669421454</v>
      </c>
      <c r="AB7" s="205">
        <v>1133.3389830508474</v>
      </c>
      <c r="AC7" s="205">
        <v>1158.033898305084</v>
      </c>
      <c r="AD7" s="205">
        <v>1135.3961748633883</v>
      </c>
      <c r="AE7" s="205">
        <v>1182.1750486246171</v>
      </c>
      <c r="AF7" s="205">
        <v>13446.098149672838</v>
      </c>
    </row>
    <row r="8" spans="1:32">
      <c r="B8">
        <f t="shared" si="0"/>
        <v>2025</v>
      </c>
      <c r="C8">
        <v>5</v>
      </c>
      <c r="D8" t="s">
        <v>80</v>
      </c>
      <c r="E8" s="169">
        <f t="shared" si="4"/>
        <v>1.0774098360655746</v>
      </c>
      <c r="F8" s="400">
        <f t="shared" si="1"/>
        <v>120</v>
      </c>
      <c r="G8" s="169">
        <f t="shared" si="2"/>
        <v>150.96153846153845</v>
      </c>
      <c r="H8" s="116">
        <f t="shared" si="3"/>
        <v>1.0774098360655746</v>
      </c>
      <c r="P8" s="85" t="s">
        <v>79</v>
      </c>
      <c r="Q8" s="205">
        <v>294.59958932238192</v>
      </c>
      <c r="R8" s="205">
        <v>294.59958932238192</v>
      </c>
      <c r="S8" s="205">
        <v>294.59958932238192</v>
      </c>
      <c r="T8" s="205">
        <v>294.59958932238192</v>
      </c>
      <c r="U8" s="205">
        <v>1212.821917808219</v>
      </c>
      <c r="V8" s="205">
        <v>1159.4262295081969</v>
      </c>
      <c r="W8" s="205">
        <v>1145.013698630137</v>
      </c>
      <c r="X8" s="205">
        <v>1101.1232876712329</v>
      </c>
      <c r="Y8" s="205">
        <v>1127.178082191781</v>
      </c>
      <c r="Z8" s="205">
        <v>1009.0997499305361</v>
      </c>
      <c r="AA8" s="205">
        <v>882.78824007587082</v>
      </c>
      <c r="AB8" s="205">
        <v>1039.6915809947204</v>
      </c>
      <c r="AC8" s="205">
        <v>1069.6248958043909</v>
      </c>
      <c r="AD8" s="205">
        <v>1060.3278688524595</v>
      </c>
      <c r="AE8" s="205">
        <v>1102.6229508196714</v>
      </c>
      <c r="AF8" s="205">
        <v>13088.116859576785</v>
      </c>
    </row>
    <row r="9" spans="1:32">
      <c r="B9">
        <f t="shared" si="0"/>
        <v>2025</v>
      </c>
      <c r="C9">
        <v>6</v>
      </c>
      <c r="D9" t="s">
        <v>81</v>
      </c>
      <c r="E9" s="169">
        <f t="shared" si="4"/>
        <v>1.0140983606557386</v>
      </c>
      <c r="F9" s="400">
        <f t="shared" si="1"/>
        <v>57</v>
      </c>
      <c r="G9" s="169">
        <f t="shared" si="2"/>
        <v>76.84</v>
      </c>
      <c r="H9" s="116">
        <f t="shared" si="3"/>
        <v>1.0140983606557386</v>
      </c>
      <c r="P9" s="85" t="s">
        <v>80</v>
      </c>
      <c r="Q9" s="205">
        <v>304.41957563312798</v>
      </c>
      <c r="R9" s="205">
        <v>304.41957563312798</v>
      </c>
      <c r="S9" s="205">
        <v>304.41957563312798</v>
      </c>
      <c r="T9" s="205">
        <v>304.41957563312798</v>
      </c>
      <c r="U9" s="205">
        <v>1253.2493150684932</v>
      </c>
      <c r="V9" s="205">
        <v>1198.0737704918033</v>
      </c>
      <c r="W9" s="205">
        <v>1183.1808219178081</v>
      </c>
      <c r="X9" s="205">
        <v>1137.827397260274</v>
      </c>
      <c r="Y9" s="205">
        <v>1164.7506849315068</v>
      </c>
      <c r="Z9" s="205">
        <v>1002.1639344262293</v>
      </c>
      <c r="AA9" s="205">
        <v>1089.0655737704922</v>
      </c>
      <c r="AB9" s="205">
        <v>1044.8524590163931</v>
      </c>
      <c r="AC9" s="205">
        <v>1078.901639344263</v>
      </c>
      <c r="AD9" s="205">
        <v>1082.9344262295087</v>
      </c>
      <c r="AE9" s="205">
        <v>1077.4098360655746</v>
      </c>
      <c r="AF9" s="205">
        <v>13530.08816105488</v>
      </c>
    </row>
    <row r="10" spans="1:32">
      <c r="B10">
        <f t="shared" si="0"/>
        <v>2025</v>
      </c>
      <c r="C10">
        <v>7</v>
      </c>
      <c r="D10" t="s">
        <v>82</v>
      </c>
      <c r="E10" s="169">
        <f t="shared" si="4"/>
        <v>1.0439037546271817</v>
      </c>
      <c r="F10" s="400">
        <f t="shared" si="1"/>
        <v>33</v>
      </c>
      <c r="G10" s="169">
        <f t="shared" si="2"/>
        <v>45</v>
      </c>
      <c r="H10" s="116">
        <f t="shared" si="3"/>
        <v>1.0439037546271817</v>
      </c>
      <c r="P10" s="85" t="s">
        <v>81</v>
      </c>
      <c r="Q10" s="205">
        <v>294.59958932238192</v>
      </c>
      <c r="R10" s="205">
        <v>294.59958932238192</v>
      </c>
      <c r="S10" s="205">
        <v>294.59958932238192</v>
      </c>
      <c r="T10" s="205">
        <v>294.59958932238192</v>
      </c>
      <c r="U10" s="205">
        <v>1212.821917808219</v>
      </c>
      <c r="V10" s="205">
        <v>1159.4262295081969</v>
      </c>
      <c r="W10" s="205">
        <v>1145.013698630137</v>
      </c>
      <c r="X10" s="205">
        <v>1101.1232876712329</v>
      </c>
      <c r="Y10" s="205">
        <v>1127.178082191781</v>
      </c>
      <c r="Z10" s="205">
        <v>948.85245901639325</v>
      </c>
      <c r="AA10" s="205">
        <v>1089.0163934426228</v>
      </c>
      <c r="AB10" s="205">
        <v>983.60655737704906</v>
      </c>
      <c r="AC10" s="205">
        <v>986.72131147540949</v>
      </c>
      <c r="AD10" s="205">
        <v>1042.1311475409843</v>
      </c>
      <c r="AE10" s="205">
        <v>1014.0983606557385</v>
      </c>
      <c r="AF10" s="205">
        <v>12988.387802607327</v>
      </c>
    </row>
    <row r="11" spans="1:32">
      <c r="B11">
        <f t="shared" si="0"/>
        <v>2025</v>
      </c>
      <c r="C11">
        <v>8</v>
      </c>
      <c r="D11" t="s">
        <v>845</v>
      </c>
      <c r="E11" s="169">
        <f t="shared" si="4"/>
        <v>1.0420000000000003</v>
      </c>
      <c r="F11" s="400">
        <f t="shared" si="1"/>
        <v>32</v>
      </c>
      <c r="G11" s="169">
        <f t="shared" si="2"/>
        <v>43.12</v>
      </c>
      <c r="H11" s="116">
        <f t="shared" si="3"/>
        <v>1.0420000000000003</v>
      </c>
      <c r="P11" s="85" t="s">
        <v>82</v>
      </c>
      <c r="Q11" s="205">
        <v>304.41957563312798</v>
      </c>
      <c r="R11" s="205">
        <v>304.41957563312798</v>
      </c>
      <c r="S11" s="205">
        <v>304.41957563312798</v>
      </c>
      <c r="T11" s="205">
        <v>304.41957563312798</v>
      </c>
      <c r="U11" s="205">
        <v>1253.2493150684932</v>
      </c>
      <c r="V11" s="205">
        <v>1198.0737704918033</v>
      </c>
      <c r="W11" s="205">
        <v>1183.1808219178081</v>
      </c>
      <c r="X11" s="205">
        <v>1137.827397260274</v>
      </c>
      <c r="Y11" s="205">
        <v>1164.7506849315068</v>
      </c>
      <c r="Z11" s="205">
        <v>969.63934426229503</v>
      </c>
      <c r="AA11" s="205">
        <v>1143.4426229508197</v>
      </c>
      <c r="AB11" s="205">
        <v>1002.1639344262293</v>
      </c>
      <c r="AC11" s="205">
        <v>989.96721311475369</v>
      </c>
      <c r="AD11" s="205">
        <v>1022.0867265996827</v>
      </c>
      <c r="AE11" s="205">
        <v>1043.9037546271816</v>
      </c>
      <c r="AF11" s="205">
        <v>13325.963888183414</v>
      </c>
    </row>
    <row r="12" spans="1:32">
      <c r="B12">
        <f t="shared" si="0"/>
        <v>2025</v>
      </c>
      <c r="C12">
        <v>9</v>
      </c>
      <c r="D12" t="s">
        <v>83</v>
      </c>
      <c r="E12" s="169">
        <f t="shared" si="4"/>
        <v>1.1026864093072448</v>
      </c>
      <c r="F12" s="400">
        <f t="shared" si="1"/>
        <v>81</v>
      </c>
      <c r="G12" s="169">
        <f t="shared" si="2"/>
        <v>76.040000000000006</v>
      </c>
      <c r="H12" s="116">
        <f t="shared" si="3"/>
        <v>1.1026864093072448</v>
      </c>
      <c r="P12" s="85" t="s">
        <v>845</v>
      </c>
      <c r="Q12" s="205">
        <v>304.41957563312798</v>
      </c>
      <c r="R12" s="205">
        <v>304.41957563312798</v>
      </c>
      <c r="S12" s="205">
        <v>304.41957563312798</v>
      </c>
      <c r="T12" s="205">
        <v>304.41957563312798</v>
      </c>
      <c r="U12" s="205">
        <v>1253.2493150684932</v>
      </c>
      <c r="V12" s="205">
        <v>1198.0737704918033</v>
      </c>
      <c r="W12" s="205">
        <v>1183.1808219178081</v>
      </c>
      <c r="X12" s="205">
        <v>1137.827397260274</v>
      </c>
      <c r="Y12" s="205">
        <v>1164.7506849315068</v>
      </c>
      <c r="Z12" s="205">
        <v>1003.3770491803277</v>
      </c>
      <c r="AA12" s="205">
        <v>1135.1803278688526</v>
      </c>
      <c r="AB12" s="205">
        <v>1030.3934426229509</v>
      </c>
      <c r="AC12" s="205">
        <v>992.72131147541029</v>
      </c>
      <c r="AD12" s="205">
        <v>996</v>
      </c>
      <c r="AE12" s="205">
        <v>1042.0000000000002</v>
      </c>
      <c r="AF12" s="205">
        <v>13354.43242334995</v>
      </c>
    </row>
    <row r="13" spans="1:32">
      <c r="B13">
        <f t="shared" si="0"/>
        <v>2025</v>
      </c>
      <c r="C13">
        <v>10</v>
      </c>
      <c r="D13" t="s">
        <v>84</v>
      </c>
      <c r="E13" s="169">
        <f t="shared" si="4"/>
        <v>1.1881639344262294</v>
      </c>
      <c r="F13" s="400">
        <f t="shared" si="1"/>
        <v>148</v>
      </c>
      <c r="G13" s="169">
        <f t="shared" si="2"/>
        <v>142.32</v>
      </c>
      <c r="H13" s="116">
        <f t="shared" si="3"/>
        <v>1.1881639344262294</v>
      </c>
      <c r="P13" s="85" t="s">
        <v>83</v>
      </c>
      <c r="Q13" s="205">
        <v>294.59958932238192</v>
      </c>
      <c r="R13" s="205">
        <v>294.59958932238192</v>
      </c>
      <c r="S13" s="205">
        <v>294.59958932238192</v>
      </c>
      <c r="T13" s="205">
        <v>294.59958932238192</v>
      </c>
      <c r="U13" s="205">
        <v>1212.821917808219</v>
      </c>
      <c r="V13" s="205">
        <v>1159.4262295081969</v>
      </c>
      <c r="W13" s="205">
        <v>1145.013698630137</v>
      </c>
      <c r="X13" s="205">
        <v>1101.1232876712329</v>
      </c>
      <c r="Y13" s="205">
        <v>1127.178082191781</v>
      </c>
      <c r="Z13" s="205">
        <v>986.55737704918022</v>
      </c>
      <c r="AA13" s="205">
        <v>1094.7540983606555</v>
      </c>
      <c r="AB13" s="205">
        <v>1010.1639344262297</v>
      </c>
      <c r="AC13" s="205">
        <v>961.96721311475449</v>
      </c>
      <c r="AD13" s="205">
        <v>1073.749338974088</v>
      </c>
      <c r="AE13" s="205">
        <v>1102.6864093072447</v>
      </c>
      <c r="AF13" s="205">
        <v>13153.83994433123</v>
      </c>
    </row>
    <row r="14" spans="1:32">
      <c r="B14">
        <f t="shared" si="0"/>
        <v>2025</v>
      </c>
      <c r="C14">
        <v>11</v>
      </c>
      <c r="D14" t="s">
        <v>85</v>
      </c>
      <c r="E14" s="169">
        <f t="shared" si="4"/>
        <v>1.255043394406943</v>
      </c>
      <c r="F14" s="400">
        <f t="shared" si="1"/>
        <v>216</v>
      </c>
      <c r="G14" s="169">
        <f t="shared" si="2"/>
        <v>245</v>
      </c>
      <c r="H14" s="116">
        <f t="shared" si="3"/>
        <v>1.255043394406943</v>
      </c>
      <c r="P14" s="85" t="s">
        <v>84</v>
      </c>
      <c r="Q14" s="205">
        <v>304.41957563312798</v>
      </c>
      <c r="R14" s="205">
        <v>304.41957563312798</v>
      </c>
      <c r="S14" s="205">
        <v>304.41957563312798</v>
      </c>
      <c r="T14" s="205">
        <v>304.41957563312798</v>
      </c>
      <c r="U14" s="205">
        <v>1253.2493150684932</v>
      </c>
      <c r="V14" s="205">
        <v>1198.0737704918033</v>
      </c>
      <c r="W14" s="205">
        <v>1183.1808219178081</v>
      </c>
      <c r="X14" s="205">
        <v>1137.827397260274</v>
      </c>
      <c r="Y14" s="205">
        <v>1164.7506849315068</v>
      </c>
      <c r="Z14" s="205">
        <v>1128.9180327868849</v>
      </c>
      <c r="AA14" s="205">
        <v>1188.7377049180329</v>
      </c>
      <c r="AB14" s="205">
        <v>1163.639344262295</v>
      </c>
      <c r="AC14" s="205">
        <v>1145.5081967213114</v>
      </c>
      <c r="AD14" s="205">
        <v>1166.3114754098362</v>
      </c>
      <c r="AE14" s="205">
        <v>1188.1639344262294</v>
      </c>
      <c r="AF14" s="205">
        <v>14136.03898072694</v>
      </c>
    </row>
    <row r="15" spans="1:32">
      <c r="B15">
        <f t="shared" si="0"/>
        <v>2025</v>
      </c>
      <c r="C15">
        <v>12</v>
      </c>
      <c r="D15" t="s">
        <v>846</v>
      </c>
      <c r="E15" s="169">
        <f t="shared" si="4"/>
        <v>1.3512352941176466</v>
      </c>
      <c r="F15" s="400">
        <f t="shared" si="1"/>
        <v>324</v>
      </c>
      <c r="G15" s="169">
        <f t="shared" si="2"/>
        <v>336.44</v>
      </c>
      <c r="H15" s="116">
        <f t="shared" si="3"/>
        <v>1.3512352941176466</v>
      </c>
      <c r="P15" s="85" t="s">
        <v>85</v>
      </c>
      <c r="Q15" s="205">
        <v>294.59958932238192</v>
      </c>
      <c r="R15" s="205">
        <v>294.59958932238192</v>
      </c>
      <c r="S15" s="205">
        <v>294.59958932238192</v>
      </c>
      <c r="T15" s="205">
        <v>294.59958932238192</v>
      </c>
      <c r="U15" s="205">
        <v>1212.821917808219</v>
      </c>
      <c r="V15" s="205">
        <v>1159.4262295081969</v>
      </c>
      <c r="W15" s="205">
        <v>1145.013698630137</v>
      </c>
      <c r="X15" s="205">
        <v>1101.1232876712329</v>
      </c>
      <c r="Y15" s="205">
        <v>1127.178082191781</v>
      </c>
      <c r="Z15" s="205">
        <v>1142.9508196721306</v>
      </c>
      <c r="AA15" s="205">
        <v>1176.8852459016396</v>
      </c>
      <c r="AB15" s="205">
        <v>1181.311475409836</v>
      </c>
      <c r="AC15" s="205">
        <v>1178.3606557377047</v>
      </c>
      <c r="AD15" s="205">
        <v>1233.2786885245903</v>
      </c>
      <c r="AE15" s="205">
        <v>1255.043394406943</v>
      </c>
      <c r="AF15" s="205">
        <v>14091.791852751896</v>
      </c>
    </row>
    <row r="16" spans="1:32">
      <c r="B16">
        <f>$C$2</f>
        <v>2026</v>
      </c>
      <c r="C16">
        <v>1</v>
      </c>
      <c r="D16" s="400" t="s">
        <v>73</v>
      </c>
      <c r="E16" s="169" t="e">
        <f t="shared" si="4"/>
        <v>#REF!</v>
      </c>
      <c r="F16" s="400">
        <f t="shared" si="1"/>
        <v>340</v>
      </c>
      <c r="G16" s="169">
        <f t="shared" si="2"/>
        <v>354.61538461538464</v>
      </c>
      <c r="H16" s="116" t="e">
        <f t="shared" si="3"/>
        <v>#REF!</v>
      </c>
      <c r="I16" s="168" t="str">
        <f>IFERROR((H16-H4)/H4,"")</f>
        <v/>
      </c>
      <c r="P16" s="85" t="s">
        <v>846</v>
      </c>
      <c r="Q16" s="205">
        <v>304.41957563312798</v>
      </c>
      <c r="R16" s="205">
        <v>304.41957563312798</v>
      </c>
      <c r="S16" s="205">
        <v>304.41957563312798</v>
      </c>
      <c r="T16" s="205">
        <v>304.41957563312798</v>
      </c>
      <c r="U16" s="205">
        <v>1253.2493150684932</v>
      </c>
      <c r="V16" s="205">
        <v>1198.0737704918033</v>
      </c>
      <c r="W16" s="205">
        <v>1183.1808219178081</v>
      </c>
      <c r="X16" s="205">
        <v>1137.827397260274</v>
      </c>
      <c r="Y16" s="205">
        <v>1164.7506849315068</v>
      </c>
      <c r="Z16" s="205">
        <v>759.33071399539301</v>
      </c>
      <c r="AA16" s="205">
        <v>1249.9079851930196</v>
      </c>
      <c r="AB16" s="205">
        <v>1266.286620835536</v>
      </c>
      <c r="AC16" s="205">
        <v>661.72236911686889</v>
      </c>
      <c r="AD16" s="205">
        <v>1328.4262295081965</v>
      </c>
      <c r="AE16" s="205">
        <v>1351.2352941176466</v>
      </c>
      <c r="AF16" s="205">
        <v>13771.669504969059</v>
      </c>
    </row>
    <row r="17" spans="2:34">
      <c r="B17">
        <f t="shared" ref="B17:B27" si="5">$C$2</f>
        <v>2026</v>
      </c>
      <c r="C17">
        <v>2</v>
      </c>
      <c r="D17" s="85" t="s">
        <v>844</v>
      </c>
      <c r="E17" s="169" t="e">
        <f t="shared" si="4"/>
        <v>#REF!</v>
      </c>
      <c r="F17" s="400">
        <f t="shared" si="1"/>
        <v>227</v>
      </c>
      <c r="G17" s="169">
        <f t="shared" si="2"/>
        <v>307.5</v>
      </c>
      <c r="H17" s="116" t="e">
        <f t="shared" si="3"/>
        <v>#REF!</v>
      </c>
      <c r="I17" s="168" t="str">
        <f t="shared" ref="I17:I27" si="6">IFERROR((H17-H5)/H5,"")</f>
        <v/>
      </c>
      <c r="P17" s="85" t="s">
        <v>86</v>
      </c>
      <c r="Q17" s="205">
        <v>3584.2950034223131</v>
      </c>
      <c r="R17" s="205">
        <v>3594.1149897330597</v>
      </c>
      <c r="S17" s="205">
        <v>3584.2950034223131</v>
      </c>
      <c r="T17" s="205">
        <v>3584.2950034223131</v>
      </c>
      <c r="U17" s="205">
        <v>14756</v>
      </c>
      <c r="V17" s="205">
        <v>14145.000000000002</v>
      </c>
      <c r="W17" s="205">
        <v>13931</v>
      </c>
      <c r="X17" s="205">
        <v>13397</v>
      </c>
      <c r="Y17" s="205">
        <v>13714</v>
      </c>
      <c r="Z17" s="205">
        <v>13205.347107438012</v>
      </c>
      <c r="AA17" s="205">
        <v>11671.265795787756</v>
      </c>
      <c r="AB17" s="205">
        <v>13221.903225806447</v>
      </c>
      <c r="AC17" s="205">
        <v>12561.419354838688</v>
      </c>
      <c r="AD17" s="205">
        <v>13234.539925965066</v>
      </c>
      <c r="AE17" s="205">
        <v>13798.524590163939</v>
      </c>
      <c r="AF17" s="205">
        <v>161983.00000000035</v>
      </c>
    </row>
    <row r="18" spans="2:34">
      <c r="B18">
        <f t="shared" si="5"/>
        <v>2026</v>
      </c>
      <c r="C18">
        <v>3</v>
      </c>
      <c r="D18" s="400" t="s">
        <v>77</v>
      </c>
      <c r="E18" s="169" t="e">
        <f t="shared" si="4"/>
        <v>#REF!</v>
      </c>
      <c r="F18" s="400">
        <f t="shared" si="1"/>
        <v>243</v>
      </c>
      <c r="G18" s="169">
        <f t="shared" si="2"/>
        <v>288.03846153846155</v>
      </c>
      <c r="H18" s="116" t="e">
        <f t="shared" si="3"/>
        <v>#REF!</v>
      </c>
      <c r="I18" s="168" t="str">
        <f t="shared" si="6"/>
        <v/>
      </c>
    </row>
    <row r="19" spans="2:34">
      <c r="B19">
        <f t="shared" si="5"/>
        <v>2026</v>
      </c>
      <c r="C19">
        <v>4</v>
      </c>
      <c r="D19" s="400" t="s">
        <v>79</v>
      </c>
      <c r="E19" s="169" t="e">
        <f t="shared" si="4"/>
        <v>#REF!</v>
      </c>
      <c r="F19" s="400">
        <f t="shared" si="1"/>
        <v>163</v>
      </c>
      <c r="G19" s="169">
        <f t="shared" si="2"/>
        <v>220.34615384615384</v>
      </c>
      <c r="H19" s="116" t="e">
        <f t="shared" si="3"/>
        <v>#REF!</v>
      </c>
      <c r="I19" s="168" t="str">
        <f t="shared" si="6"/>
        <v/>
      </c>
    </row>
    <row r="20" spans="2:34">
      <c r="B20">
        <f t="shared" si="5"/>
        <v>2026</v>
      </c>
      <c r="C20">
        <v>5</v>
      </c>
      <c r="D20" s="400" t="s">
        <v>80</v>
      </c>
      <c r="E20" s="169" t="e">
        <f t="shared" si="4"/>
        <v>#REF!</v>
      </c>
      <c r="F20" s="400">
        <f t="shared" si="1"/>
        <v>116</v>
      </c>
      <c r="G20" s="169">
        <f t="shared" si="2"/>
        <v>150.96153846153845</v>
      </c>
      <c r="H20" s="116" t="e">
        <f t="shared" si="3"/>
        <v>#REF!</v>
      </c>
      <c r="I20" s="168" t="str">
        <f t="shared" si="6"/>
        <v/>
      </c>
    </row>
    <row r="21" spans="2:34">
      <c r="B21">
        <f t="shared" si="5"/>
        <v>2026</v>
      </c>
      <c r="C21">
        <v>6</v>
      </c>
      <c r="D21" s="400" t="s">
        <v>81</v>
      </c>
      <c r="E21" s="169" t="e">
        <f t="shared" si="4"/>
        <v>#REF!</v>
      </c>
      <c r="F21" s="400" t="e">
        <f t="shared" si="1"/>
        <v>#REF!</v>
      </c>
      <c r="G21" s="169">
        <f t="shared" si="2"/>
        <v>76.84</v>
      </c>
      <c r="H21" s="116" t="e">
        <f t="shared" si="3"/>
        <v>#REF!</v>
      </c>
      <c r="I21" s="168" t="str">
        <f t="shared" si="6"/>
        <v/>
      </c>
    </row>
    <row r="22" spans="2:34">
      <c r="B22">
        <f t="shared" si="5"/>
        <v>2026</v>
      </c>
      <c r="C22">
        <v>7</v>
      </c>
      <c r="D22" s="400" t="s">
        <v>82</v>
      </c>
      <c r="E22" s="169" t="e">
        <f t="shared" si="4"/>
        <v>#REF!</v>
      </c>
      <c r="F22" s="400" t="e">
        <f t="shared" si="1"/>
        <v>#REF!</v>
      </c>
      <c r="G22" s="169">
        <f t="shared" si="2"/>
        <v>45</v>
      </c>
      <c r="H22" s="116" t="e">
        <f t="shared" si="3"/>
        <v>#REF!</v>
      </c>
      <c r="I22" s="168" t="str">
        <f t="shared" si="6"/>
        <v/>
      </c>
    </row>
    <row r="23" spans="2:34">
      <c r="B23">
        <f t="shared" si="5"/>
        <v>2026</v>
      </c>
      <c r="C23">
        <v>8</v>
      </c>
      <c r="D23" s="400" t="s">
        <v>845</v>
      </c>
      <c r="E23" s="169" t="e">
        <f t="shared" si="4"/>
        <v>#REF!</v>
      </c>
      <c r="F23" s="400" t="e">
        <f t="shared" si="1"/>
        <v>#REF!</v>
      </c>
      <c r="G23" s="169">
        <f t="shared" si="2"/>
        <v>43.12</v>
      </c>
      <c r="H23" s="116" t="e">
        <f t="shared" si="3"/>
        <v>#REF!</v>
      </c>
      <c r="I23" s="168" t="str">
        <f t="shared" si="6"/>
        <v/>
      </c>
    </row>
    <row r="24" spans="2:34">
      <c r="B24">
        <f t="shared" si="5"/>
        <v>2026</v>
      </c>
      <c r="C24">
        <v>9</v>
      </c>
      <c r="D24" s="400" t="s">
        <v>83</v>
      </c>
      <c r="E24" s="169" t="e">
        <f t="shared" si="4"/>
        <v>#REF!</v>
      </c>
      <c r="F24" s="400" t="e">
        <f t="shared" si="1"/>
        <v>#REF!</v>
      </c>
      <c r="G24" s="169">
        <f t="shared" si="2"/>
        <v>76.040000000000006</v>
      </c>
      <c r="H24" s="116" t="e">
        <f t="shared" si="3"/>
        <v>#REF!</v>
      </c>
      <c r="I24" s="168" t="str">
        <f t="shared" si="6"/>
        <v/>
      </c>
    </row>
    <row r="25" spans="2:34">
      <c r="B25">
        <f t="shared" si="5"/>
        <v>2026</v>
      </c>
      <c r="C25">
        <v>10</v>
      </c>
      <c r="D25" s="400" t="s">
        <v>84</v>
      </c>
      <c r="E25" s="169" t="e">
        <f t="shared" si="4"/>
        <v>#REF!</v>
      </c>
      <c r="F25" s="400" t="e">
        <f t="shared" si="1"/>
        <v>#REF!</v>
      </c>
      <c r="G25" s="169">
        <f t="shared" si="2"/>
        <v>142.32</v>
      </c>
      <c r="H25" s="116" t="e">
        <f t="shared" si="3"/>
        <v>#REF!</v>
      </c>
      <c r="I25" s="168" t="str">
        <f t="shared" si="6"/>
        <v/>
      </c>
    </row>
    <row r="26" spans="2:34">
      <c r="B26">
        <f t="shared" si="5"/>
        <v>2026</v>
      </c>
      <c r="C26">
        <v>11</v>
      </c>
      <c r="D26" s="400" t="s">
        <v>85</v>
      </c>
      <c r="E26" s="169" t="e">
        <f t="shared" si="4"/>
        <v>#REF!</v>
      </c>
      <c r="F26" s="400" t="e">
        <f t="shared" si="1"/>
        <v>#REF!</v>
      </c>
      <c r="G26" s="169">
        <f t="shared" si="2"/>
        <v>245</v>
      </c>
      <c r="H26" s="116" t="e">
        <f t="shared" si="3"/>
        <v>#REF!</v>
      </c>
      <c r="I26" s="168" t="str">
        <f t="shared" si="6"/>
        <v/>
      </c>
    </row>
    <row r="27" spans="2:34">
      <c r="B27">
        <f t="shared" si="5"/>
        <v>2026</v>
      </c>
      <c r="C27">
        <v>12</v>
      </c>
      <c r="D27" s="400" t="s">
        <v>846</v>
      </c>
      <c r="E27" s="169" t="e">
        <f t="shared" si="4"/>
        <v>#REF!</v>
      </c>
      <c r="F27" s="400" t="e">
        <f t="shared" si="1"/>
        <v>#REF!</v>
      </c>
      <c r="G27" s="169">
        <f t="shared" si="2"/>
        <v>336.44</v>
      </c>
      <c r="H27" s="116" t="e">
        <f t="shared" si="3"/>
        <v>#REF!</v>
      </c>
      <c r="I27" s="168" t="str">
        <f t="shared" si="6"/>
        <v/>
      </c>
      <c r="P27" s="166" t="s">
        <v>19</v>
      </c>
      <c r="Q27" s="679" t="s" vm="10">
        <v>1071</v>
      </c>
      <c r="R27" s="400"/>
      <c r="S27" s="400"/>
      <c r="T27" s="400"/>
      <c r="U27" s="400"/>
      <c r="V27" s="400"/>
      <c r="W27" s="400"/>
      <c r="X27" s="400"/>
      <c r="Y27" s="400"/>
      <c r="Z27" s="400"/>
      <c r="AA27" s="400"/>
      <c r="AB27" s="400"/>
      <c r="AC27" s="400"/>
      <c r="AD27" s="400"/>
      <c r="AE27" s="400"/>
    </row>
    <row r="28" spans="2:34">
      <c r="P28" s="400"/>
      <c r="Q28" s="400"/>
      <c r="R28" s="400"/>
      <c r="S28" s="400"/>
      <c r="T28" s="400"/>
      <c r="U28" s="400"/>
      <c r="V28" s="400"/>
      <c r="W28" s="400"/>
      <c r="X28" s="400"/>
      <c r="Y28" s="400"/>
      <c r="Z28" s="400"/>
      <c r="AA28" s="400"/>
      <c r="AB28" s="400"/>
      <c r="AC28" s="400"/>
      <c r="AD28" s="400"/>
      <c r="AE28" s="400"/>
    </row>
    <row r="29" spans="2:34">
      <c r="P29" s="166" t="s">
        <v>837</v>
      </c>
      <c r="Q29" s="166" t="s">
        <v>74</v>
      </c>
    </row>
    <row r="30" spans="2:34">
      <c r="P30" s="166" t="s">
        <v>64</v>
      </c>
      <c r="Q30" s="679" t="s">
        <v>1072</v>
      </c>
      <c r="R30" s="679" t="s">
        <v>1073</v>
      </c>
      <c r="S30" s="679" t="s">
        <v>1074</v>
      </c>
      <c r="T30" s="679" t="s">
        <v>910</v>
      </c>
      <c r="U30" s="679" t="s">
        <v>911</v>
      </c>
      <c r="V30" s="679" t="s">
        <v>912</v>
      </c>
      <c r="W30" s="679" t="s">
        <v>913</v>
      </c>
      <c r="X30" s="679" t="s">
        <v>895</v>
      </c>
      <c r="Y30" s="679" t="s">
        <v>896</v>
      </c>
      <c r="Z30" s="679" t="s">
        <v>897</v>
      </c>
      <c r="AA30" s="679" t="s">
        <v>898</v>
      </c>
      <c r="AB30" s="679" t="s">
        <v>890</v>
      </c>
      <c r="AC30" s="679" t="s">
        <v>891</v>
      </c>
      <c r="AD30" s="679" t="s">
        <v>892</v>
      </c>
      <c r="AE30" s="679" t="s">
        <v>893</v>
      </c>
      <c r="AF30" s="679" t="s">
        <v>899</v>
      </c>
      <c r="AG30" s="679" t="s">
        <v>1063</v>
      </c>
      <c r="AH30" s="679" t="s">
        <v>86</v>
      </c>
    </row>
    <row r="31" spans="2:34">
      <c r="P31" s="85" t="s">
        <v>73</v>
      </c>
      <c r="Q31" s="205">
        <v>5432.5558435147486</v>
      </c>
      <c r="R31" s="205">
        <v>3825.7435517709496</v>
      </c>
      <c r="S31" s="205">
        <v>4654.6546546546551</v>
      </c>
      <c r="T31" s="205">
        <v>4667.4071331605583</v>
      </c>
      <c r="U31" s="205">
        <v>3825.7435517709496</v>
      </c>
      <c r="V31" s="205">
        <v>4131.8030359126251</v>
      </c>
      <c r="W31" s="205">
        <v>4349.4313986117277</v>
      </c>
      <c r="X31" s="205">
        <v>4131.8030359126251</v>
      </c>
      <c r="Y31" s="205">
        <v>4208.3179069480448</v>
      </c>
      <c r="Z31" s="205">
        <v>4437.8625200543011</v>
      </c>
      <c r="AA31" s="205">
        <v>13881.08108108108</v>
      </c>
      <c r="AB31" s="205">
        <v>5781.5315315315311</v>
      </c>
      <c r="AC31" s="205">
        <v>5359.0090090090098</v>
      </c>
      <c r="AD31" s="205">
        <v>9926.640926640921</v>
      </c>
      <c r="AE31" s="205">
        <v>10931.79308340599</v>
      </c>
      <c r="AF31" s="205">
        <v>11140.133682069172</v>
      </c>
      <c r="AG31" s="205">
        <v>11054.838709677426</v>
      </c>
      <c r="AH31" s="205">
        <v>111740.3506557263</v>
      </c>
    </row>
    <row r="32" spans="2:34">
      <c r="P32" s="85" t="s">
        <v>844</v>
      </c>
      <c r="Q32" s="205">
        <v>4906.8246328520308</v>
      </c>
      <c r="R32" s="205">
        <v>3455.5103048253736</v>
      </c>
      <c r="S32" s="205">
        <v>4354.3543543543547</v>
      </c>
      <c r="T32" s="205">
        <v>4215.7225718869558</v>
      </c>
      <c r="U32" s="205">
        <v>3455.5103048253736</v>
      </c>
      <c r="V32" s="205">
        <v>3731.9511292114039</v>
      </c>
      <c r="W32" s="205">
        <v>4068.8229212819383</v>
      </c>
      <c r="X32" s="205">
        <v>3731.9511292114039</v>
      </c>
      <c r="Y32" s="205">
        <v>3801.0613353079116</v>
      </c>
      <c r="Z32" s="205">
        <v>4008.3919535974337</v>
      </c>
      <c r="AA32" s="205">
        <v>7944.6722584653662</v>
      </c>
      <c r="AB32" s="205">
        <v>6460.3530950305149</v>
      </c>
      <c r="AC32" s="205">
        <v>6265.5270477851127</v>
      </c>
      <c r="AD32" s="205">
        <v>8847.8742665183308</v>
      </c>
      <c r="AE32" s="205">
        <v>8831.9534217198288</v>
      </c>
      <c r="AF32" s="205">
        <v>9026.5184539378115</v>
      </c>
      <c r="AG32" s="205">
        <v>7624.7893054344695</v>
      </c>
      <c r="AH32" s="205">
        <v>94731.78848624551</v>
      </c>
    </row>
    <row r="33" spans="2:34">
      <c r="P33" s="85" t="s">
        <v>77</v>
      </c>
      <c r="Q33" s="205">
        <v>5432.5558435147486</v>
      </c>
      <c r="R33" s="205">
        <v>3825.7435517709496</v>
      </c>
      <c r="S33" s="205">
        <v>4654.6546546546551</v>
      </c>
      <c r="T33" s="205">
        <v>4667.4071331605583</v>
      </c>
      <c r="U33" s="205">
        <v>3825.7435517709496</v>
      </c>
      <c r="V33" s="205">
        <v>4131.8030359126251</v>
      </c>
      <c r="W33" s="205">
        <v>4349.4313986117277</v>
      </c>
      <c r="X33" s="205">
        <v>4131.8030359126251</v>
      </c>
      <c r="Y33" s="205">
        <v>4208.3179069480448</v>
      </c>
      <c r="Z33" s="205">
        <v>4437.8625200543011</v>
      </c>
      <c r="AA33" s="205">
        <v>6806.0978664983159</v>
      </c>
      <c r="AB33" s="205">
        <v>8033.616681197328</v>
      </c>
      <c r="AC33" s="205">
        <v>7288.1928010960328</v>
      </c>
      <c r="AD33" s="205">
        <v>7948.0989464040358</v>
      </c>
      <c r="AE33" s="205">
        <v>7031.0515187044648</v>
      </c>
      <c r="AF33" s="205">
        <v>6176.4167393199677</v>
      </c>
      <c r="AG33" s="205">
        <v>5876.373147340888</v>
      </c>
      <c r="AH33" s="205">
        <v>92825.170332872149</v>
      </c>
    </row>
    <row r="34" spans="2:34">
      <c r="P34" s="85" t="s">
        <v>79</v>
      </c>
      <c r="Q34" s="205">
        <v>5257.312106627176</v>
      </c>
      <c r="R34" s="205">
        <v>3702.3324694557577</v>
      </c>
      <c r="S34" s="205">
        <v>4504.5045045045044</v>
      </c>
      <c r="T34" s="205">
        <v>4516.8456127360241</v>
      </c>
      <c r="U34" s="205">
        <v>3702.3324694557577</v>
      </c>
      <c r="V34" s="205">
        <v>3998.5190670122183</v>
      </c>
      <c r="W34" s="205">
        <v>4209.1271599468328</v>
      </c>
      <c r="X34" s="205">
        <v>3998.5190670122183</v>
      </c>
      <c r="Y34" s="205">
        <v>4072.5657164013337</v>
      </c>
      <c r="Z34" s="205">
        <v>4294.7056645686789</v>
      </c>
      <c r="AA34" s="205">
        <v>4228.9596047660552</v>
      </c>
      <c r="AB34" s="205">
        <v>6071.1130485324093</v>
      </c>
      <c r="AC34" s="205">
        <v>4069.9796570764306</v>
      </c>
      <c r="AD34" s="205">
        <v>4631.4201144709641</v>
      </c>
      <c r="AE34" s="205">
        <v>4599.7965707643143</v>
      </c>
      <c r="AF34" s="205">
        <v>3886.1958732926491</v>
      </c>
      <c r="AG34" s="205">
        <v>3906.0592850915464</v>
      </c>
      <c r="AH34" s="205">
        <v>73650.287991714693</v>
      </c>
    </row>
    <row r="35" spans="2:34">
      <c r="G35" s="169" t="s">
        <v>66</v>
      </c>
      <c r="H35">
        <v>1</v>
      </c>
      <c r="P35" s="85" t="s">
        <v>80</v>
      </c>
      <c r="Q35" s="205">
        <v>5432.5558435147486</v>
      </c>
      <c r="R35" s="205">
        <v>3825.7435517709496</v>
      </c>
      <c r="S35" s="205">
        <v>4654.6546546546551</v>
      </c>
      <c r="T35" s="205">
        <v>4667.4071331605583</v>
      </c>
      <c r="U35" s="205">
        <v>3825.7435517709496</v>
      </c>
      <c r="V35" s="205">
        <v>4131.8030359126251</v>
      </c>
      <c r="W35" s="205">
        <v>4349.4313986117277</v>
      </c>
      <c r="X35" s="205">
        <v>4131.8030359126251</v>
      </c>
      <c r="Y35" s="205">
        <v>4208.3179069480448</v>
      </c>
      <c r="Z35" s="205">
        <v>4437.8625200543011</v>
      </c>
      <c r="AA35" s="205">
        <v>2033.4059866317916</v>
      </c>
      <c r="AB35" s="205">
        <v>3815.3734379540806</v>
      </c>
      <c r="AC35" s="205">
        <v>1414.9665794827076</v>
      </c>
      <c r="AD35" s="205">
        <v>1623.5026235026248</v>
      </c>
      <c r="AE35" s="205">
        <v>2930.659691950018</v>
      </c>
      <c r="AF35" s="205">
        <v>2457.802964254578</v>
      </c>
      <c r="AG35" s="205">
        <v>1898.0674222609694</v>
      </c>
      <c r="AH35" s="205">
        <v>59839.101338348097</v>
      </c>
    </row>
    <row r="36" spans="2:34">
      <c r="P36" s="85" t="s">
        <v>81</v>
      </c>
      <c r="Q36" s="205">
        <v>5257.312106627176</v>
      </c>
      <c r="R36" s="205">
        <v>3702.3324694557577</v>
      </c>
      <c r="S36" s="205">
        <v>4504.5045045045044</v>
      </c>
      <c r="T36" s="205">
        <v>4516.8456127360241</v>
      </c>
      <c r="U36" s="205">
        <v>3702.3324694557577</v>
      </c>
      <c r="V36" s="205">
        <v>3998.5190670122183</v>
      </c>
      <c r="W36" s="205">
        <v>4209.1271599468328</v>
      </c>
      <c r="X36" s="205">
        <v>3998.5190670122183</v>
      </c>
      <c r="Y36" s="205">
        <v>4072.5657164013337</v>
      </c>
      <c r="Z36" s="205">
        <v>4294.7056645686789</v>
      </c>
      <c r="AA36" s="205">
        <v>963.89131066550419</v>
      </c>
      <c r="AB36" s="205">
        <v>1768.8607962801516</v>
      </c>
      <c r="AC36" s="205">
        <v>325.57396105783215</v>
      </c>
      <c r="AD36" s="205">
        <v>1571.1315711315724</v>
      </c>
      <c r="AE36" s="205">
        <v>890.06102877070543</v>
      </c>
      <c r="AF36" s="205">
        <v>846.70154024992758</v>
      </c>
      <c r="AG36" s="205">
        <v>455.53618134263314</v>
      </c>
      <c r="AH36" s="205">
        <v>49078.520227219087</v>
      </c>
    </row>
    <row r="37" spans="2:34">
      <c r="B37" t="s">
        <v>7</v>
      </c>
      <c r="C37" t="s">
        <v>68</v>
      </c>
      <c r="D37" t="s">
        <v>69</v>
      </c>
      <c r="E37" s="415" t="s">
        <v>867</v>
      </c>
      <c r="F37" s="415" t="s">
        <v>71</v>
      </c>
      <c r="G37" s="169" t="s">
        <v>72</v>
      </c>
      <c r="H37" s="415" t="s">
        <v>868</v>
      </c>
      <c r="P37" s="85" t="s">
        <v>82</v>
      </c>
      <c r="Q37" s="205">
        <v>5432.5558435147486</v>
      </c>
      <c r="R37" s="205">
        <v>3825.7435517709496</v>
      </c>
      <c r="S37" s="205">
        <v>4654.6546546546551</v>
      </c>
      <c r="T37" s="205">
        <v>4667.4071331605583</v>
      </c>
      <c r="U37" s="205">
        <v>3825.7435517709496</v>
      </c>
      <c r="V37" s="205">
        <v>4131.8030359126251</v>
      </c>
      <c r="W37" s="205">
        <v>4349.4313986117277</v>
      </c>
      <c r="X37" s="205">
        <v>4131.8030359126251</v>
      </c>
      <c r="Y37" s="205">
        <v>4208.3179069480448</v>
      </c>
      <c r="Z37" s="205">
        <v>4437.8625200543011</v>
      </c>
      <c r="AA37" s="205">
        <v>529.80238302818952</v>
      </c>
      <c r="AB37" s="205">
        <v>736.39930252833483</v>
      </c>
      <c r="AC37" s="205">
        <v>238.41906422551605</v>
      </c>
      <c r="AD37" s="205">
        <v>877.69269508399987</v>
      </c>
      <c r="AE37" s="205">
        <v>182.12728857890167</v>
      </c>
      <c r="AF37" s="205">
        <v>202.81894798023845</v>
      </c>
      <c r="AG37" s="205"/>
      <c r="AH37" s="205">
        <v>46432.582313736326</v>
      </c>
    </row>
    <row r="38" spans="2:34">
      <c r="B38">
        <f>$C$1</f>
        <v>2025</v>
      </c>
      <c r="C38">
        <v>1</v>
      </c>
      <c r="D38" s="400" t="s">
        <v>73</v>
      </c>
      <c r="E38" s="169">
        <f>GETPIVOTDATA("[Measures].[Somme de Conso_kWh_PCI]",$P$29,"[Tab_concat].[Dates (année)]","[Tab_concat].[Dates (année)].&amp;["&amp;$B38&amp;"]","[Tab_concat].[Dates (mois)]","[Tab_concat].[Dates (mois)].&amp;["&amp;$D38&amp;"]")/1000</f>
        <v>11.140133682069171</v>
      </c>
      <c r="F38" s="400">
        <f>GETPIVOTDATA("Somme de DJU(chauffagiste)",$P$92,"annee",B38,"mois_numero",C38)</f>
        <v>392</v>
      </c>
      <c r="G38" s="169">
        <f>GETPIVOTDATA("DJU(chauffagiste)",$V$92,"mois_numero",C38)</f>
        <v>354.61538461538464</v>
      </c>
      <c r="H38" s="116">
        <f>IF($H$35=1,E38*G38/F38,E38)</f>
        <v>10.077711199831022</v>
      </c>
      <c r="P38" s="85" t="s">
        <v>845</v>
      </c>
      <c r="Q38" s="205">
        <v>5432.5558435147486</v>
      </c>
      <c r="R38" s="205">
        <v>3825.7435517709496</v>
      </c>
      <c r="S38" s="205">
        <v>4654.6546546546551</v>
      </c>
      <c r="T38" s="205">
        <v>4667.4071331605583</v>
      </c>
      <c r="U38" s="205">
        <v>3825.7435517709496</v>
      </c>
      <c r="V38" s="205">
        <v>4131.8030359126251</v>
      </c>
      <c r="W38" s="205">
        <v>4349.4313986117277</v>
      </c>
      <c r="X38" s="205">
        <v>4131.8030359126251</v>
      </c>
      <c r="Y38" s="205">
        <v>4208.3179069480448</v>
      </c>
      <c r="Z38" s="205">
        <v>4437.8625200543011</v>
      </c>
      <c r="AA38" s="205">
        <v>484.27782621330994</v>
      </c>
      <c r="AB38" s="205">
        <v>413.01947108398707</v>
      </c>
      <c r="AC38" s="205">
        <v>170.58994478349311</v>
      </c>
      <c r="AD38" s="205">
        <v>178.4958871915394</v>
      </c>
      <c r="AE38" s="205">
        <v>207.70124963673342</v>
      </c>
      <c r="AF38" s="205">
        <v>175.70473699505968</v>
      </c>
      <c r="AG38" s="205"/>
      <c r="AH38" s="205">
        <v>45295.111748215255</v>
      </c>
    </row>
    <row r="39" spans="2:34">
      <c r="B39">
        <f t="shared" ref="B39:B49" si="7">$C$1</f>
        <v>2025</v>
      </c>
      <c r="C39">
        <v>2</v>
      </c>
      <c r="D39" s="85" t="s">
        <v>844</v>
      </c>
      <c r="E39" s="169">
        <f t="shared" ref="E39:E61" si="8">GETPIVOTDATA("[Measures].[Somme de Conso_kWh_PCI]",$P$29,"[Tab_concat].[Dates (année)]","[Tab_concat].[Dates (année)].&amp;["&amp;$B39&amp;"]","[Tab_concat].[Dates (mois)]","[Tab_concat].[Dates (mois)].&amp;["&amp;$D39&amp;"]")/1000</f>
        <v>9.0265184539378112</v>
      </c>
      <c r="F39" s="400">
        <f t="shared" ref="F39:F61" si="9">GETPIVOTDATA("Somme de DJU(chauffagiste)",$P$92,"annee",B39,"mois_numero",C39)</f>
        <v>310</v>
      </c>
      <c r="G39" s="169">
        <f t="shared" ref="G39:G61" si="10">GETPIVOTDATA("DJU(chauffagiste)",$V$92,"mois_numero",C39)</f>
        <v>307.5</v>
      </c>
      <c r="H39" s="116">
        <f t="shared" ref="H39:H61" si="11">IF($H$35=1,E39*G39/F39,E39)</f>
        <v>8.9537239502770216</v>
      </c>
      <c r="P39" s="85" t="s">
        <v>83</v>
      </c>
      <c r="Q39" s="205">
        <v>5257.312106627176</v>
      </c>
      <c r="R39" s="205">
        <v>3702.3324694557577</v>
      </c>
      <c r="S39" s="205">
        <v>4504.5045045045044</v>
      </c>
      <c r="T39" s="205">
        <v>4516.8456127360241</v>
      </c>
      <c r="U39" s="205">
        <v>3702.3324694557577</v>
      </c>
      <c r="V39" s="205">
        <v>3998.5190670122183</v>
      </c>
      <c r="W39" s="205">
        <v>4209.1271599468328</v>
      </c>
      <c r="X39" s="205">
        <v>3998.5190670122183</v>
      </c>
      <c r="Y39" s="205">
        <v>4072.5657164013337</v>
      </c>
      <c r="Z39" s="205">
        <v>4294.7056645686789</v>
      </c>
      <c r="AA39" s="205">
        <v>1531.4152862539956</v>
      </c>
      <c r="AB39" s="205">
        <v>1317.698343504795</v>
      </c>
      <c r="AC39" s="205">
        <v>791.89189189189199</v>
      </c>
      <c r="AD39" s="205">
        <v>172.73795534665103</v>
      </c>
      <c r="AE39" s="205">
        <v>1080.4417320546356</v>
      </c>
      <c r="AF39" s="205">
        <v>1081.8366753850628</v>
      </c>
      <c r="AG39" s="205"/>
      <c r="AH39" s="205">
        <v>48232.785722157583</v>
      </c>
    </row>
    <row r="40" spans="2:34">
      <c r="B40">
        <f t="shared" si="7"/>
        <v>2025</v>
      </c>
      <c r="C40">
        <v>3</v>
      </c>
      <c r="D40" s="400" t="s">
        <v>77</v>
      </c>
      <c r="E40" s="169">
        <f t="shared" si="8"/>
        <v>6.1764167393199676</v>
      </c>
      <c r="F40" s="400">
        <f t="shared" si="9"/>
        <v>269</v>
      </c>
      <c r="G40" s="169">
        <f t="shared" si="10"/>
        <v>288.03846153846155</v>
      </c>
      <c r="H40" s="116">
        <f t="shared" si="11"/>
        <v>6.6135523249595716</v>
      </c>
      <c r="P40" s="85" t="s">
        <v>84</v>
      </c>
      <c r="Q40" s="205">
        <v>5432.5558435147486</v>
      </c>
      <c r="R40" s="205">
        <v>3825.7435517709496</v>
      </c>
      <c r="S40" s="205">
        <v>4654.6546546546551</v>
      </c>
      <c r="T40" s="205">
        <v>4667.4071331605583</v>
      </c>
      <c r="U40" s="205">
        <v>3825.7435517709496</v>
      </c>
      <c r="V40" s="205">
        <v>4131.8030359126251</v>
      </c>
      <c r="W40" s="205">
        <v>4349.4313986117277</v>
      </c>
      <c r="X40" s="205">
        <v>4131.8030359126251</v>
      </c>
      <c r="Y40" s="205">
        <v>4208.3179069480448</v>
      </c>
      <c r="Z40" s="205">
        <v>4437.8625200543011</v>
      </c>
      <c r="AA40" s="205">
        <v>3699.7093868061602</v>
      </c>
      <c r="AB40" s="205">
        <v>3822.7550130775926</v>
      </c>
      <c r="AC40" s="205">
        <v>2117.8727114210978</v>
      </c>
      <c r="AD40" s="205">
        <v>3869.4975608019099</v>
      </c>
      <c r="AE40" s="205">
        <v>3596.5707643126993</v>
      </c>
      <c r="AF40" s="205">
        <v>3476.1406567858198</v>
      </c>
      <c r="AG40" s="205"/>
      <c r="AH40" s="205">
        <v>64247.86872551639</v>
      </c>
    </row>
    <row r="41" spans="2:34">
      <c r="B41">
        <f t="shared" si="7"/>
        <v>2025</v>
      </c>
      <c r="C41">
        <v>4</v>
      </c>
      <c r="D41" s="400" t="s">
        <v>79</v>
      </c>
      <c r="E41" s="169">
        <f t="shared" si="8"/>
        <v>3.8861958732926491</v>
      </c>
      <c r="F41" s="400">
        <f t="shared" si="9"/>
        <v>173</v>
      </c>
      <c r="G41" s="169">
        <f t="shared" si="10"/>
        <v>220.34615384615384</v>
      </c>
      <c r="H41" s="116">
        <f t="shared" si="11"/>
        <v>4.949759039149308</v>
      </c>
      <c r="P41" s="85" t="s">
        <v>85</v>
      </c>
      <c r="Q41" s="205">
        <v>5257.312106627176</v>
      </c>
      <c r="R41" s="205">
        <v>3702.3324694557577</v>
      </c>
      <c r="S41" s="205">
        <v>4504.5045045045044</v>
      </c>
      <c r="T41" s="205">
        <v>4516.8456127360241</v>
      </c>
      <c r="U41" s="205">
        <v>3702.3324694557577</v>
      </c>
      <c r="V41" s="205">
        <v>3998.5190670122183</v>
      </c>
      <c r="W41" s="205">
        <v>4209.1271599468328</v>
      </c>
      <c r="X41" s="205">
        <v>3998.5190670122183</v>
      </c>
      <c r="Y41" s="205">
        <v>4072.5657164013337</v>
      </c>
      <c r="Z41" s="205">
        <v>4294.7056645686789</v>
      </c>
      <c r="AA41" s="205">
        <v>6675.9662888695184</v>
      </c>
      <c r="AB41" s="205">
        <v>7587.1548968323195</v>
      </c>
      <c r="AC41" s="205">
        <v>6892.938099389713</v>
      </c>
      <c r="AD41" s="205">
        <v>7093.3660933660913</v>
      </c>
      <c r="AE41" s="205">
        <v>6759.7355419936075</v>
      </c>
      <c r="AF41" s="205">
        <v>6345.4809648358068</v>
      </c>
      <c r="AG41" s="205"/>
      <c r="AH41" s="205">
        <v>83611.405723007352</v>
      </c>
    </row>
    <row r="42" spans="2:34">
      <c r="B42">
        <f t="shared" si="7"/>
        <v>2025</v>
      </c>
      <c r="C42">
        <v>5</v>
      </c>
      <c r="D42" s="400" t="s">
        <v>80</v>
      </c>
      <c r="E42" s="169">
        <f t="shared" si="8"/>
        <v>2.457802964254578</v>
      </c>
      <c r="F42" s="400">
        <f t="shared" si="9"/>
        <v>120</v>
      </c>
      <c r="G42" s="169">
        <f t="shared" si="10"/>
        <v>150.96153846153845</v>
      </c>
      <c r="H42" s="116">
        <f t="shared" si="11"/>
        <v>3.0919476393266723</v>
      </c>
      <c r="P42" s="85" t="s">
        <v>846</v>
      </c>
      <c r="Q42" s="205">
        <v>5432.5558435147486</v>
      </c>
      <c r="R42" s="205">
        <v>3825.7435517709496</v>
      </c>
      <c r="S42" s="205">
        <v>4654.6546546546551</v>
      </c>
      <c r="T42" s="205">
        <v>4667.4071331605583</v>
      </c>
      <c r="U42" s="205">
        <v>3825.7435517709496</v>
      </c>
      <c r="V42" s="205">
        <v>4131.8030359126251</v>
      </c>
      <c r="W42" s="205">
        <v>4349.4313986117277</v>
      </c>
      <c r="X42" s="205">
        <v>4131.8030359126251</v>
      </c>
      <c r="Y42" s="205">
        <v>4208.3179069480448</v>
      </c>
      <c r="Z42" s="205">
        <v>4437.8625200543011</v>
      </c>
      <c r="AA42" s="205">
        <v>7357.8901482127239</v>
      </c>
      <c r="AB42" s="205">
        <v>7805.5797733217141</v>
      </c>
      <c r="AC42" s="205">
        <v>5586.4864864864867</v>
      </c>
      <c r="AD42" s="205">
        <v>7329.8116298116274</v>
      </c>
      <c r="AE42" s="205">
        <v>9658.5730892182546</v>
      </c>
      <c r="AF42" s="205">
        <v>10308.660273176407</v>
      </c>
      <c r="AG42" s="205"/>
      <c r="AH42" s="205">
        <v>91712.324032538163</v>
      </c>
    </row>
    <row r="43" spans="2:34">
      <c r="B43">
        <f t="shared" si="7"/>
        <v>2025</v>
      </c>
      <c r="C43">
        <v>6</v>
      </c>
      <c r="D43" s="400" t="s">
        <v>81</v>
      </c>
      <c r="E43" s="169">
        <f t="shared" si="8"/>
        <v>0.84670154024992761</v>
      </c>
      <c r="F43" s="400">
        <f t="shared" si="9"/>
        <v>57</v>
      </c>
      <c r="G43" s="169">
        <f t="shared" si="10"/>
        <v>76.84</v>
      </c>
      <c r="H43" s="116">
        <f>E43</f>
        <v>0.84670154024992761</v>
      </c>
      <c r="P43" s="85" t="s">
        <v>86</v>
      </c>
      <c r="Q43" s="205">
        <v>63963.963963963979</v>
      </c>
      <c r="R43" s="205">
        <v>45045.045045045052</v>
      </c>
      <c r="S43" s="205">
        <v>54954.954954954956</v>
      </c>
      <c r="T43" s="205">
        <v>54954.954954954963</v>
      </c>
      <c r="U43" s="205">
        <v>45045.045045045052</v>
      </c>
      <c r="V43" s="205">
        <v>48648.648648648654</v>
      </c>
      <c r="W43" s="205">
        <v>51351.351351351361</v>
      </c>
      <c r="X43" s="205">
        <v>48648.648648648654</v>
      </c>
      <c r="Y43" s="205">
        <v>49549.549549549556</v>
      </c>
      <c r="Z43" s="205">
        <v>52252.252252252263</v>
      </c>
      <c r="AA43" s="205">
        <v>56137.169427492045</v>
      </c>
      <c r="AB43" s="205">
        <v>53613.455390874733</v>
      </c>
      <c r="AC43" s="205">
        <v>40521.447253705337</v>
      </c>
      <c r="AD43" s="205">
        <v>54070.270270270121</v>
      </c>
      <c r="AE43" s="205">
        <v>56700.464981110272</v>
      </c>
      <c r="AF43" s="205">
        <v>55124.411508282443</v>
      </c>
      <c r="AG43" s="205">
        <v>30815.664051147978</v>
      </c>
      <c r="AH43" s="205">
        <v>861397.29729729646</v>
      </c>
    </row>
    <row r="44" spans="2:34">
      <c r="B44">
        <f t="shared" si="7"/>
        <v>2025</v>
      </c>
      <c r="C44">
        <v>7</v>
      </c>
      <c r="D44" s="400" t="s">
        <v>82</v>
      </c>
      <c r="E44" s="169">
        <f t="shared" si="8"/>
        <v>0.20281894798023845</v>
      </c>
      <c r="F44" s="400">
        <f t="shared" si="9"/>
        <v>33</v>
      </c>
      <c r="G44" s="169">
        <f t="shared" si="10"/>
        <v>45</v>
      </c>
      <c r="H44" s="116">
        <f t="shared" ref="H44:H46" si="12">E44</f>
        <v>0.20281894798023845</v>
      </c>
    </row>
    <row r="45" spans="2:34">
      <c r="B45">
        <f t="shared" si="7"/>
        <v>2025</v>
      </c>
      <c r="C45">
        <v>8</v>
      </c>
      <c r="D45" s="400" t="s">
        <v>845</v>
      </c>
      <c r="E45" s="169">
        <f t="shared" si="8"/>
        <v>0.17570473699505967</v>
      </c>
      <c r="F45" s="400">
        <f t="shared" si="9"/>
        <v>32</v>
      </c>
      <c r="G45" s="169">
        <f t="shared" si="10"/>
        <v>43.12</v>
      </c>
      <c r="H45" s="116">
        <f t="shared" si="12"/>
        <v>0.17570473699505967</v>
      </c>
    </row>
    <row r="46" spans="2:34">
      <c r="B46">
        <f t="shared" si="7"/>
        <v>2025</v>
      </c>
      <c r="C46">
        <v>9</v>
      </c>
      <c r="D46" s="400" t="s">
        <v>83</v>
      </c>
      <c r="E46" s="169">
        <f t="shared" si="8"/>
        <v>1.0818366753850628</v>
      </c>
      <c r="F46" s="400">
        <f t="shared" si="9"/>
        <v>81</v>
      </c>
      <c r="G46" s="169">
        <f t="shared" si="10"/>
        <v>76.040000000000006</v>
      </c>
      <c r="H46" s="116">
        <f t="shared" si="12"/>
        <v>1.0818366753850628</v>
      </c>
    </row>
    <row r="47" spans="2:34">
      <c r="B47">
        <f t="shared" si="7"/>
        <v>2025</v>
      </c>
      <c r="C47">
        <v>10</v>
      </c>
      <c r="D47" s="400" t="s">
        <v>84</v>
      </c>
      <c r="E47" s="169">
        <f t="shared" si="8"/>
        <v>3.47614065678582</v>
      </c>
      <c r="F47" s="400">
        <f t="shared" si="9"/>
        <v>148</v>
      </c>
      <c r="G47" s="169">
        <f t="shared" si="10"/>
        <v>142.32</v>
      </c>
      <c r="H47" s="116">
        <f t="shared" si="11"/>
        <v>3.3427320153632292</v>
      </c>
    </row>
    <row r="48" spans="2:34">
      <c r="B48">
        <f t="shared" si="7"/>
        <v>2025</v>
      </c>
      <c r="C48">
        <v>11</v>
      </c>
      <c r="D48" s="400" t="s">
        <v>85</v>
      </c>
      <c r="E48" s="169">
        <f t="shared" si="8"/>
        <v>6.345480964835807</v>
      </c>
      <c r="F48" s="400">
        <f t="shared" si="9"/>
        <v>216</v>
      </c>
      <c r="G48" s="169">
        <f t="shared" si="10"/>
        <v>245</v>
      </c>
      <c r="H48" s="116">
        <f t="shared" si="11"/>
        <v>7.1974205388183918</v>
      </c>
    </row>
    <row r="49" spans="2:29">
      <c r="B49">
        <f t="shared" si="7"/>
        <v>2025</v>
      </c>
      <c r="C49">
        <v>12</v>
      </c>
      <c r="D49" s="400" t="s">
        <v>846</v>
      </c>
      <c r="E49" s="169">
        <f t="shared" si="8"/>
        <v>10.308660273176407</v>
      </c>
      <c r="F49" s="400">
        <f t="shared" si="9"/>
        <v>324</v>
      </c>
      <c r="G49" s="169">
        <f t="shared" si="10"/>
        <v>336.44</v>
      </c>
      <c r="H49" s="116">
        <f t="shared" si="11"/>
        <v>10.704461920702069</v>
      </c>
    </row>
    <row r="50" spans="2:29">
      <c r="B50">
        <f>$C$2</f>
        <v>2026</v>
      </c>
      <c r="C50">
        <v>1</v>
      </c>
      <c r="D50" s="400" t="s">
        <v>73</v>
      </c>
      <c r="E50" s="169">
        <f t="shared" si="8"/>
        <v>11.054838709677426</v>
      </c>
      <c r="F50" s="400">
        <f t="shared" si="9"/>
        <v>340</v>
      </c>
      <c r="G50" s="169">
        <f t="shared" si="10"/>
        <v>354.61538461538464</v>
      </c>
      <c r="H50" s="116">
        <f t="shared" si="11"/>
        <v>11.530046708509715</v>
      </c>
      <c r="I50" s="168">
        <f>IFERROR((H50-H38)/H38,"")</f>
        <v>0.14411362658448137</v>
      </c>
    </row>
    <row r="51" spans="2:29">
      <c r="B51">
        <f t="shared" ref="B51:B61" si="13">$C$2</f>
        <v>2026</v>
      </c>
      <c r="C51">
        <v>2</v>
      </c>
      <c r="D51" s="85" t="s">
        <v>844</v>
      </c>
      <c r="E51" s="169">
        <f t="shared" si="8"/>
        <v>7.6247893054344695</v>
      </c>
      <c r="F51" s="400">
        <f t="shared" si="9"/>
        <v>227</v>
      </c>
      <c r="G51" s="169">
        <f t="shared" si="10"/>
        <v>307.5</v>
      </c>
      <c r="H51" s="116">
        <f t="shared" si="11"/>
        <v>10.328734411546693</v>
      </c>
      <c r="I51" s="168">
        <f t="shared" ref="I51:I61" si="14">IFERROR((H51-H39)/H39,"")</f>
        <v>0.15356855638006678</v>
      </c>
    </row>
    <row r="52" spans="2:29">
      <c r="B52">
        <f t="shared" si="13"/>
        <v>2026</v>
      </c>
      <c r="C52">
        <v>3</v>
      </c>
      <c r="D52" s="400" t="s">
        <v>77</v>
      </c>
      <c r="E52" s="169">
        <f t="shared" si="8"/>
        <v>5.876373147340888</v>
      </c>
      <c r="F52" s="400">
        <f t="shared" si="9"/>
        <v>243</v>
      </c>
      <c r="G52" s="169">
        <f t="shared" si="10"/>
        <v>288.03846153846155</v>
      </c>
      <c r="H52" s="116">
        <f t="shared" si="11"/>
        <v>6.9655204970617151</v>
      </c>
      <c r="I52" s="168">
        <f t="shared" si="14"/>
        <v>5.3219231482272283E-2</v>
      </c>
    </row>
    <row r="53" spans="2:29">
      <c r="B53">
        <f t="shared" si="13"/>
        <v>2026</v>
      </c>
      <c r="C53">
        <v>4</v>
      </c>
      <c r="D53" s="400" t="s">
        <v>79</v>
      </c>
      <c r="E53" s="169">
        <f t="shared" si="8"/>
        <v>3.9060592850915463</v>
      </c>
      <c r="F53" s="400">
        <f t="shared" si="9"/>
        <v>163</v>
      </c>
      <c r="G53" s="169">
        <f t="shared" si="10"/>
        <v>220.34615384615384</v>
      </c>
      <c r="H53" s="116">
        <f t="shared" si="11"/>
        <v>5.2802769335274817</v>
      </c>
      <c r="I53" s="168">
        <f t="shared" si="14"/>
        <v>6.6774542308826873E-2</v>
      </c>
    </row>
    <row r="54" spans="2:29">
      <c r="B54">
        <f t="shared" si="13"/>
        <v>2026</v>
      </c>
      <c r="C54">
        <v>5</v>
      </c>
      <c r="D54" s="400" t="s">
        <v>80</v>
      </c>
      <c r="E54" s="169">
        <f t="shared" si="8"/>
        <v>1.8980674222609693</v>
      </c>
      <c r="F54" s="400">
        <f t="shared" si="9"/>
        <v>116</v>
      </c>
      <c r="G54" s="169">
        <f t="shared" si="10"/>
        <v>150.96153846153845</v>
      </c>
      <c r="H54" s="116">
        <f t="shared" si="11"/>
        <v>2.4701308462779523</v>
      </c>
      <c r="I54" s="168">
        <f t="shared" si="14"/>
        <v>-0.20110844864893374</v>
      </c>
    </row>
    <row r="55" spans="2:29">
      <c r="B55">
        <f t="shared" si="13"/>
        <v>2026</v>
      </c>
      <c r="C55">
        <v>6</v>
      </c>
      <c r="D55" s="400" t="s">
        <v>81</v>
      </c>
      <c r="E55" s="169">
        <f t="shared" si="8"/>
        <v>0.45553618134263313</v>
      </c>
      <c r="F55" s="400" t="e">
        <f t="shared" si="9"/>
        <v>#REF!</v>
      </c>
      <c r="G55" s="169">
        <f t="shared" si="10"/>
        <v>76.84</v>
      </c>
      <c r="H55" s="116">
        <f>E55</f>
        <v>0.45553618134263313</v>
      </c>
      <c r="I55" s="168">
        <f t="shared" si="14"/>
        <v>-0.46198730049768316</v>
      </c>
    </row>
    <row r="56" spans="2:29">
      <c r="B56">
        <f t="shared" si="13"/>
        <v>2026</v>
      </c>
      <c r="C56">
        <v>7</v>
      </c>
      <c r="D56" s="400" t="s">
        <v>82</v>
      </c>
      <c r="E56" s="169">
        <f t="shared" si="8"/>
        <v>0</v>
      </c>
      <c r="F56" s="400" t="e">
        <f t="shared" si="9"/>
        <v>#REF!</v>
      </c>
      <c r="G56" s="169">
        <f t="shared" si="10"/>
        <v>45</v>
      </c>
      <c r="H56" s="116">
        <f t="shared" ref="H56:H58" si="15">E56</f>
        <v>0</v>
      </c>
      <c r="I56" s="168">
        <f t="shared" si="14"/>
        <v>-1</v>
      </c>
    </row>
    <row r="57" spans="2:29">
      <c r="B57">
        <f t="shared" si="13"/>
        <v>2026</v>
      </c>
      <c r="C57">
        <v>8</v>
      </c>
      <c r="D57" s="400" t="s">
        <v>845</v>
      </c>
      <c r="E57" s="169">
        <f t="shared" si="8"/>
        <v>0</v>
      </c>
      <c r="F57" s="400" t="e">
        <f t="shared" si="9"/>
        <v>#REF!</v>
      </c>
      <c r="G57" s="169">
        <f t="shared" si="10"/>
        <v>43.12</v>
      </c>
      <c r="H57" s="116">
        <f t="shared" si="15"/>
        <v>0</v>
      </c>
      <c r="I57" s="168">
        <f t="shared" si="14"/>
        <v>-1</v>
      </c>
    </row>
    <row r="58" spans="2:29">
      <c r="B58">
        <f t="shared" si="13"/>
        <v>2026</v>
      </c>
      <c r="C58">
        <v>9</v>
      </c>
      <c r="D58" s="400" t="s">
        <v>83</v>
      </c>
      <c r="E58" s="169">
        <f t="shared" si="8"/>
        <v>0</v>
      </c>
      <c r="F58" s="400" t="e">
        <f t="shared" si="9"/>
        <v>#REF!</v>
      </c>
      <c r="G58" s="169">
        <f t="shared" si="10"/>
        <v>76.040000000000006</v>
      </c>
      <c r="H58" s="116">
        <f t="shared" si="15"/>
        <v>0</v>
      </c>
      <c r="I58" s="168">
        <f t="shared" si="14"/>
        <v>-1</v>
      </c>
    </row>
    <row r="59" spans="2:29">
      <c r="B59">
        <f t="shared" si="13"/>
        <v>2026</v>
      </c>
      <c r="C59">
        <v>10</v>
      </c>
      <c r="D59" s="400" t="s">
        <v>84</v>
      </c>
      <c r="E59" s="169">
        <f t="shared" si="8"/>
        <v>0</v>
      </c>
      <c r="F59" s="400" t="e">
        <f t="shared" si="9"/>
        <v>#REF!</v>
      </c>
      <c r="G59" s="169">
        <f t="shared" si="10"/>
        <v>142.32</v>
      </c>
      <c r="H59" s="116" t="e">
        <f t="shared" si="11"/>
        <v>#REF!</v>
      </c>
      <c r="I59" s="168" t="str">
        <f t="shared" si="14"/>
        <v/>
      </c>
    </row>
    <row r="60" spans="2:29">
      <c r="B60">
        <f t="shared" si="13"/>
        <v>2026</v>
      </c>
      <c r="C60">
        <v>11</v>
      </c>
      <c r="D60" s="400" t="s">
        <v>85</v>
      </c>
      <c r="E60" s="169">
        <f t="shared" si="8"/>
        <v>0</v>
      </c>
      <c r="F60" s="400" t="e">
        <f t="shared" si="9"/>
        <v>#REF!</v>
      </c>
      <c r="G60" s="169">
        <f t="shared" si="10"/>
        <v>245</v>
      </c>
      <c r="H60" s="116" t="e">
        <f t="shared" si="11"/>
        <v>#REF!</v>
      </c>
      <c r="I60" s="168" t="str">
        <f t="shared" si="14"/>
        <v/>
      </c>
    </row>
    <row r="61" spans="2:29">
      <c r="B61">
        <f t="shared" si="13"/>
        <v>2026</v>
      </c>
      <c r="C61">
        <v>12</v>
      </c>
      <c r="D61" s="400" t="s">
        <v>846</v>
      </c>
      <c r="E61" s="169">
        <f t="shared" si="8"/>
        <v>0</v>
      </c>
      <c r="F61" s="400" t="e">
        <f t="shared" si="9"/>
        <v>#REF!</v>
      </c>
      <c r="G61" s="169">
        <f t="shared" si="10"/>
        <v>336.44</v>
      </c>
      <c r="H61" s="116" t="e">
        <f t="shared" si="11"/>
        <v>#REF!</v>
      </c>
      <c r="I61" s="168" t="str">
        <f t="shared" si="14"/>
        <v/>
      </c>
    </row>
    <row r="64" spans="2:29">
      <c r="P64" s="166" t="s">
        <v>19</v>
      </c>
      <c r="Q64" s="679" t="s" vm="4">
        <v>855</v>
      </c>
      <c r="R64" s="400"/>
      <c r="S64" s="400"/>
      <c r="T64" s="400"/>
      <c r="U64" s="400"/>
      <c r="V64" s="400"/>
      <c r="W64" s="400"/>
      <c r="X64" s="400"/>
      <c r="Y64" s="400"/>
      <c r="Z64" s="400"/>
      <c r="AA64" s="400"/>
      <c r="AB64" s="400"/>
      <c r="AC64" s="400"/>
    </row>
    <row r="65" spans="2:34">
      <c r="P65" s="400"/>
      <c r="Q65" s="400"/>
      <c r="R65" s="400"/>
      <c r="S65" s="400"/>
      <c r="T65" s="400"/>
      <c r="U65" s="400"/>
      <c r="V65" s="400"/>
      <c r="W65" s="400"/>
      <c r="X65" s="400"/>
      <c r="Y65" s="400"/>
      <c r="Z65" s="400"/>
      <c r="AA65" s="400"/>
      <c r="AB65" s="400"/>
      <c r="AC65" s="400"/>
    </row>
    <row r="66" spans="2:34">
      <c r="P66" s="166" t="s">
        <v>842</v>
      </c>
      <c r="Q66" s="166" t="s">
        <v>74</v>
      </c>
    </row>
    <row r="67" spans="2:34">
      <c r="B67" t="s">
        <v>431</v>
      </c>
      <c r="P67" s="166" t="s">
        <v>64</v>
      </c>
      <c r="Q67" s="679" t="s">
        <v>1072</v>
      </c>
      <c r="R67" s="679" t="s">
        <v>1073</v>
      </c>
      <c r="S67" s="679" t="s">
        <v>1074</v>
      </c>
      <c r="T67" s="679" t="s">
        <v>910</v>
      </c>
      <c r="U67" s="679" t="s">
        <v>911</v>
      </c>
      <c r="V67" s="679" t="s">
        <v>912</v>
      </c>
      <c r="W67" s="679" t="s">
        <v>913</v>
      </c>
      <c r="X67" s="679" t="s">
        <v>895</v>
      </c>
      <c r="Y67" s="679" t="s">
        <v>896</v>
      </c>
      <c r="Z67" s="679" t="s">
        <v>897</v>
      </c>
      <c r="AA67" s="679" t="s">
        <v>898</v>
      </c>
      <c r="AB67" s="679" t="s">
        <v>890</v>
      </c>
      <c r="AC67" s="679" t="s">
        <v>891</v>
      </c>
      <c r="AD67" s="679" t="s">
        <v>892</v>
      </c>
      <c r="AE67" s="679" t="s">
        <v>893</v>
      </c>
      <c r="AF67" s="679" t="s">
        <v>899</v>
      </c>
      <c r="AG67" s="679" t="s">
        <v>1063</v>
      </c>
      <c r="AH67" s="679" t="s">
        <v>86</v>
      </c>
    </row>
    <row r="68" spans="2:34">
      <c r="P68" s="85" t="s">
        <v>73</v>
      </c>
      <c r="Q68" s="205">
        <v>6030.1369863013706</v>
      </c>
      <c r="R68" s="205">
        <v>4550.9949180988815</v>
      </c>
      <c r="S68" s="205">
        <v>5471.0862422997943</v>
      </c>
      <c r="T68" s="205">
        <v>5485.2414934413473</v>
      </c>
      <c r="U68" s="205">
        <v>4550.9949180988815</v>
      </c>
      <c r="V68" s="205">
        <v>5839.550684931507</v>
      </c>
      <c r="W68" s="205">
        <v>6025.942622950819</v>
      </c>
      <c r="X68" s="205">
        <v>5769.4821917808222</v>
      </c>
      <c r="Y68" s="205">
        <v>5809.0602739726028</v>
      </c>
      <c r="Z68" s="205">
        <v>6098.2213539595914</v>
      </c>
      <c r="AA68" s="205">
        <v>17245.335657745949</v>
      </c>
      <c r="AB68" s="205">
        <v>6978.8067628914132</v>
      </c>
      <c r="AC68" s="205">
        <v>7240.3266242616864</v>
      </c>
      <c r="AD68" s="205">
        <v>12286.533493087567</v>
      </c>
      <c r="AE68" s="205">
        <v>13094.549283154138</v>
      </c>
      <c r="AF68" s="205">
        <v>13663.495501565962</v>
      </c>
      <c r="AG68" s="205">
        <v>12270.870967741923</v>
      </c>
      <c r="AH68" s="205">
        <v>138410.62997628437</v>
      </c>
    </row>
    <row r="69" spans="2:34">
      <c r="B69" s="206" t="s">
        <v>7</v>
      </c>
      <c r="C69" s="206" t="s">
        <v>68</v>
      </c>
      <c r="D69" s="206" t="s">
        <v>69</v>
      </c>
      <c r="E69" s="206" t="s">
        <v>70</v>
      </c>
      <c r="P69" s="85" t="s">
        <v>844</v>
      </c>
      <c r="Q69" s="205">
        <v>5446.5753424657541</v>
      </c>
      <c r="R69" s="205">
        <v>4110.576055057054</v>
      </c>
      <c r="S69" s="205">
        <v>5118.1129363449691</v>
      </c>
      <c r="T69" s="205">
        <v>4954.4116714954098</v>
      </c>
      <c r="U69" s="205">
        <v>4110.576055057054</v>
      </c>
      <c r="V69" s="205">
        <v>5274.4328767123297</v>
      </c>
      <c r="W69" s="205">
        <v>5637.1721311475412</v>
      </c>
      <c r="X69" s="205">
        <v>5211.1452054794527</v>
      </c>
      <c r="Y69" s="205">
        <v>5246.8931506849312</v>
      </c>
      <c r="Z69" s="205">
        <v>5508.0709003505981</v>
      </c>
      <c r="AA69" s="205">
        <v>10128.563271733799</v>
      </c>
      <c r="AB69" s="205">
        <v>7677.9786890632076</v>
      </c>
      <c r="AC69" s="205">
        <v>8034.6816020232891</v>
      </c>
      <c r="AD69" s="205">
        <v>10901.925021947984</v>
      </c>
      <c r="AE69" s="205">
        <v>10949.77385366459</v>
      </c>
      <c r="AF69" s="205">
        <v>11175.349103418401</v>
      </c>
      <c r="AG69" s="205">
        <v>8463.5161290322576</v>
      </c>
      <c r="AH69" s="205">
        <v>117949.75399567855</v>
      </c>
    </row>
    <row r="70" spans="2:34">
      <c r="B70" s="206">
        <f>$C$1</f>
        <v>2025</v>
      </c>
      <c r="C70" s="206">
        <v>1</v>
      </c>
      <c r="D70" s="400" t="s">
        <v>73</v>
      </c>
      <c r="E70" s="169">
        <f>GETPIVOTDATA("[Measures].[Somme de Demande_jour]",$P$66,"[Tab_concat].[Dates (année)]","[Tab_concat].[Dates (année)].&amp;["&amp;$B70&amp;"]","[Tab_concat].[Dates (mois)]","[Tab_concat].[Dates (mois)].&amp;["&amp;$D70&amp;"]")</f>
        <v>13663.495501565962</v>
      </c>
      <c r="P70" s="85" t="s">
        <v>77</v>
      </c>
      <c r="Q70" s="205">
        <v>6030.1369863013706</v>
      </c>
      <c r="R70" s="205">
        <v>4550.9949180988815</v>
      </c>
      <c r="S70" s="205">
        <v>5471.0862422997943</v>
      </c>
      <c r="T70" s="205">
        <v>5485.2414934413473</v>
      </c>
      <c r="U70" s="205">
        <v>4550.9949180988815</v>
      </c>
      <c r="V70" s="205">
        <v>5839.550684931507</v>
      </c>
      <c r="W70" s="205">
        <v>6025.942622950819</v>
      </c>
      <c r="X70" s="205">
        <v>5769.4821917808222</v>
      </c>
      <c r="Y70" s="205">
        <v>5809.0602739726028</v>
      </c>
      <c r="Z70" s="205">
        <v>6098.2213539595914</v>
      </c>
      <c r="AA70" s="205">
        <v>8687.6301464754961</v>
      </c>
      <c r="AB70" s="205">
        <v>9478.6212790204281</v>
      </c>
      <c r="AC70" s="205">
        <v>9226.0273584646202</v>
      </c>
      <c r="AD70" s="205">
        <v>9986.1277288135861</v>
      </c>
      <c r="AE70" s="205">
        <v>8946.4078050697935</v>
      </c>
      <c r="AF70" s="205">
        <v>8045.7082891682694</v>
      </c>
      <c r="AG70" s="205">
        <v>6522.7741935483928</v>
      </c>
      <c r="AH70" s="205">
        <v>116524.00848639577</v>
      </c>
    </row>
    <row r="71" spans="2:34">
      <c r="B71" s="206">
        <f t="shared" ref="B71:B81" si="16">$C$1</f>
        <v>2025</v>
      </c>
      <c r="C71" s="206">
        <v>2</v>
      </c>
      <c r="D71" s="85" t="s">
        <v>844</v>
      </c>
      <c r="E71" s="169">
        <f t="shared" ref="E71:E93" si="17">GETPIVOTDATA("[Measures].[Somme de Demande_jour]",$P$66,"[Tab_concat].[Dates (année)]","[Tab_concat].[Dates (année)].&amp;["&amp;$B71&amp;"]","[Tab_concat].[Dates (mois)]","[Tab_concat].[Dates (mois)].&amp;["&amp;$D71&amp;"]")</f>
        <v>11175.349103418401</v>
      </c>
      <c r="P71" s="85" t="s">
        <v>79</v>
      </c>
      <c r="Q71" s="205">
        <v>5835.6164383561645</v>
      </c>
      <c r="R71" s="205">
        <v>4404.1886304182717</v>
      </c>
      <c r="S71" s="205">
        <v>5294.5995893223817</v>
      </c>
      <c r="T71" s="205">
        <v>5308.2982194593678</v>
      </c>
      <c r="U71" s="205">
        <v>4404.1886304182717</v>
      </c>
      <c r="V71" s="205">
        <v>5651.178082191781</v>
      </c>
      <c r="W71" s="205">
        <v>5831.557377049181</v>
      </c>
      <c r="X71" s="205">
        <v>5583.3698630136987</v>
      </c>
      <c r="Y71" s="205">
        <v>5621.6712328767126</v>
      </c>
      <c r="Z71" s="205">
        <v>5901.5045360899267</v>
      </c>
      <c r="AA71" s="205">
        <v>5711.9353874113367</v>
      </c>
      <c r="AB71" s="205">
        <v>7624.4279492989481</v>
      </c>
      <c r="AC71" s="205">
        <v>5560.0732257016771</v>
      </c>
      <c r="AD71" s="205">
        <v>6216.021222867148</v>
      </c>
      <c r="AE71" s="205">
        <v>6172.4353957341809</v>
      </c>
      <c r="AF71" s="205">
        <v>5423.76229910852</v>
      </c>
      <c r="AG71" s="205">
        <v>4335.7258064516127</v>
      </c>
      <c r="AH71" s="205">
        <v>94880.553885769084</v>
      </c>
    </row>
    <row r="72" spans="2:34">
      <c r="B72" s="206">
        <f t="shared" si="16"/>
        <v>2025</v>
      </c>
      <c r="C72" s="206">
        <v>3</v>
      </c>
      <c r="D72" s="400" t="s">
        <v>77</v>
      </c>
      <c r="E72" s="169">
        <f t="shared" si="17"/>
        <v>8045.7082891682694</v>
      </c>
      <c r="P72" s="85" t="s">
        <v>80</v>
      </c>
      <c r="Q72" s="205">
        <v>6030.1369863013706</v>
      </c>
      <c r="R72" s="205">
        <v>4550.9949180988815</v>
      </c>
      <c r="S72" s="205">
        <v>5471.0862422997943</v>
      </c>
      <c r="T72" s="205">
        <v>5485.2414934413473</v>
      </c>
      <c r="U72" s="205">
        <v>4550.9949180988815</v>
      </c>
      <c r="V72" s="205">
        <v>5839.550684931507</v>
      </c>
      <c r="W72" s="205">
        <v>6025.942622950819</v>
      </c>
      <c r="X72" s="205">
        <v>5769.4821917808222</v>
      </c>
      <c r="Y72" s="205">
        <v>5809.0602739726028</v>
      </c>
      <c r="Z72" s="205">
        <v>6098.2213539595914</v>
      </c>
      <c r="AA72" s="205">
        <v>3268.224738317675</v>
      </c>
      <c r="AB72" s="205">
        <v>5326.9244560967045</v>
      </c>
      <c r="AC72" s="205">
        <v>2618.2597284393792</v>
      </c>
      <c r="AD72" s="205">
        <v>2886.6935514321722</v>
      </c>
      <c r="AE72" s="205">
        <v>4342.5111287384698</v>
      </c>
      <c r="AF72" s="205">
        <v>3813.2817862866359</v>
      </c>
      <c r="AG72" s="205">
        <v>2106.8548387096776</v>
      </c>
      <c r="AH72" s="205">
        <v>79993.46191385595</v>
      </c>
    </row>
    <row r="73" spans="2:34">
      <c r="B73" s="206">
        <f t="shared" si="16"/>
        <v>2025</v>
      </c>
      <c r="C73" s="206">
        <v>4</v>
      </c>
      <c r="D73" s="400" t="s">
        <v>79</v>
      </c>
      <c r="E73" s="169">
        <f t="shared" si="17"/>
        <v>5423.76229910852</v>
      </c>
      <c r="P73" s="85" t="s">
        <v>81</v>
      </c>
      <c r="Q73" s="205">
        <v>5835.6164383561645</v>
      </c>
      <c r="R73" s="205">
        <v>4404.1886304182717</v>
      </c>
      <c r="S73" s="205">
        <v>5294.5995893223817</v>
      </c>
      <c r="T73" s="205">
        <v>5308.2982194593678</v>
      </c>
      <c r="U73" s="205">
        <v>4404.1886304182717</v>
      </c>
      <c r="V73" s="205">
        <v>5651.178082191781</v>
      </c>
      <c r="W73" s="205">
        <v>5831.557377049181</v>
      </c>
      <c r="X73" s="205">
        <v>5583.3698630136987</v>
      </c>
      <c r="Y73" s="205">
        <v>5621.6712328767126</v>
      </c>
      <c r="Z73" s="205">
        <v>5901.5045360899267</v>
      </c>
      <c r="AA73" s="205">
        <v>2027.4622900455813</v>
      </c>
      <c r="AB73" s="205">
        <v>3055.1561026657046</v>
      </c>
      <c r="AC73" s="205">
        <v>1347.697879503354</v>
      </c>
      <c r="AD73" s="205">
        <v>2736.1973554314504</v>
      </c>
      <c r="AE73" s="205">
        <v>2036.4322228097999</v>
      </c>
      <c r="AF73" s="205">
        <v>1961.3989992671659</v>
      </c>
      <c r="AG73" s="205">
        <v>505.64516129032245</v>
      </c>
      <c r="AH73" s="205">
        <v>67506.16261020914</v>
      </c>
    </row>
    <row r="74" spans="2:34">
      <c r="B74" s="206">
        <f t="shared" si="16"/>
        <v>2025</v>
      </c>
      <c r="C74" s="206">
        <v>5</v>
      </c>
      <c r="D74" s="400" t="s">
        <v>80</v>
      </c>
      <c r="E74" s="169">
        <f t="shared" si="17"/>
        <v>3813.2817862866359</v>
      </c>
      <c r="P74" s="85" t="s">
        <v>82</v>
      </c>
      <c r="Q74" s="205">
        <v>6030.1369863013706</v>
      </c>
      <c r="R74" s="205">
        <v>4550.9949180988815</v>
      </c>
      <c r="S74" s="205">
        <v>5471.0862422997943</v>
      </c>
      <c r="T74" s="205">
        <v>5485.2414934413473</v>
      </c>
      <c r="U74" s="205">
        <v>4550.9949180988815</v>
      </c>
      <c r="V74" s="205">
        <v>5839.550684931507</v>
      </c>
      <c r="W74" s="205">
        <v>6025.942622950819</v>
      </c>
      <c r="X74" s="205">
        <v>5769.4821917808222</v>
      </c>
      <c r="Y74" s="205">
        <v>5809.0602739726028</v>
      </c>
      <c r="Z74" s="205">
        <v>6098.2213539595914</v>
      </c>
      <c r="AA74" s="205">
        <v>1566.7001481537463</v>
      </c>
      <c r="AB74" s="205">
        <v>1963.6402149544533</v>
      </c>
      <c r="AC74" s="205">
        <v>1269.6034619137329</v>
      </c>
      <c r="AD74" s="205">
        <v>1969.9101046579917</v>
      </c>
      <c r="AE74" s="205">
        <v>1230.7924613667062</v>
      </c>
      <c r="AF74" s="205">
        <v>1276.743446783722</v>
      </c>
      <c r="AG74" s="205"/>
      <c r="AH74" s="205">
        <v>64908.101523665951</v>
      </c>
    </row>
    <row r="75" spans="2:34">
      <c r="B75" s="206">
        <f t="shared" si="16"/>
        <v>2025</v>
      </c>
      <c r="C75" s="206">
        <v>6</v>
      </c>
      <c r="D75" s="400" t="s">
        <v>81</v>
      </c>
      <c r="E75" s="169">
        <f t="shared" si="17"/>
        <v>1961.3989992671659</v>
      </c>
      <c r="P75" s="85" t="s">
        <v>845</v>
      </c>
      <c r="Q75" s="205">
        <v>6030.1369863013706</v>
      </c>
      <c r="R75" s="205">
        <v>4550.9949180988815</v>
      </c>
      <c r="S75" s="205">
        <v>5471.0862422997943</v>
      </c>
      <c r="T75" s="205">
        <v>5485.2414934413473</v>
      </c>
      <c r="U75" s="205">
        <v>4550.9949180988815</v>
      </c>
      <c r="V75" s="205">
        <v>5839.550684931507</v>
      </c>
      <c r="W75" s="205">
        <v>6025.942622950819</v>
      </c>
      <c r="X75" s="205">
        <v>5769.4821917808222</v>
      </c>
      <c r="Y75" s="205">
        <v>5809.0602739726028</v>
      </c>
      <c r="Z75" s="205">
        <v>6098.2213539595914</v>
      </c>
      <c r="AA75" s="205">
        <v>1549.9055950072616</v>
      </c>
      <c r="AB75" s="205">
        <v>1596.4263069692613</v>
      </c>
      <c r="AC75" s="205">
        <v>1222.5426475298109</v>
      </c>
      <c r="AD75" s="205">
        <v>1196.5557462580189</v>
      </c>
      <c r="AE75" s="205">
        <v>1233.0928315412193</v>
      </c>
      <c r="AF75" s="205">
        <v>1244.7429179629924</v>
      </c>
      <c r="AG75" s="205"/>
      <c r="AH75" s="205">
        <v>63673.977731104234</v>
      </c>
    </row>
    <row r="76" spans="2:34">
      <c r="B76" s="206">
        <f t="shared" si="16"/>
        <v>2025</v>
      </c>
      <c r="C76" s="206">
        <v>7</v>
      </c>
      <c r="D76" s="400" t="s">
        <v>82</v>
      </c>
      <c r="E76" s="169">
        <f t="shared" si="17"/>
        <v>1276.743446783722</v>
      </c>
      <c r="P76" s="85" t="s">
        <v>83</v>
      </c>
      <c r="Q76" s="205">
        <v>5835.6164383561645</v>
      </c>
      <c r="R76" s="205">
        <v>4404.1886304182717</v>
      </c>
      <c r="S76" s="205">
        <v>5294.5995893223817</v>
      </c>
      <c r="T76" s="205">
        <v>5308.2982194593678</v>
      </c>
      <c r="U76" s="205">
        <v>4404.1886304182717</v>
      </c>
      <c r="V76" s="205">
        <v>5651.178082191781</v>
      </c>
      <c r="W76" s="205">
        <v>5831.557377049181</v>
      </c>
      <c r="X76" s="205">
        <v>5583.3698630136987</v>
      </c>
      <c r="Y76" s="205">
        <v>5621.6712328767126</v>
      </c>
      <c r="Z76" s="205">
        <v>5901.5045360899267</v>
      </c>
      <c r="AA76" s="205">
        <v>2693.3229457300818</v>
      </c>
      <c r="AB76" s="205">
        <v>2560.1034850030924</v>
      </c>
      <c r="AC76" s="205">
        <v>1894.5900752712987</v>
      </c>
      <c r="AD76" s="205">
        <v>1159.7414546606481</v>
      </c>
      <c r="AE76" s="205">
        <v>2280.3134912219648</v>
      </c>
      <c r="AF76" s="205">
        <v>2310.9870479186725</v>
      </c>
      <c r="AG76" s="205"/>
      <c r="AH76" s="205">
        <v>66735.231099001685</v>
      </c>
    </row>
    <row r="77" spans="2:34">
      <c r="B77" s="206">
        <f t="shared" si="16"/>
        <v>2025</v>
      </c>
      <c r="C77" s="206">
        <v>8</v>
      </c>
      <c r="D77" s="400" t="s">
        <v>845</v>
      </c>
      <c r="E77" s="169">
        <f t="shared" si="17"/>
        <v>1244.7429179629924</v>
      </c>
      <c r="P77" s="85" t="s">
        <v>84</v>
      </c>
      <c r="Q77" s="205">
        <v>6030.1369863013706</v>
      </c>
      <c r="R77" s="205">
        <v>4550.9949180988815</v>
      </c>
      <c r="S77" s="205">
        <v>5471.0862422997943</v>
      </c>
      <c r="T77" s="205">
        <v>5485.2414934413473</v>
      </c>
      <c r="U77" s="205">
        <v>4550.9949180988815</v>
      </c>
      <c r="V77" s="205">
        <v>5839.550684931507</v>
      </c>
      <c r="W77" s="205">
        <v>6025.942622950819</v>
      </c>
      <c r="X77" s="205">
        <v>5769.4821917808222</v>
      </c>
      <c r="Y77" s="205">
        <v>5809.0602739726028</v>
      </c>
      <c r="Z77" s="205">
        <v>6098.2213539595914</v>
      </c>
      <c r="AA77" s="205">
        <v>5238.3898183389047</v>
      </c>
      <c r="AB77" s="205">
        <v>5434.7901356313487</v>
      </c>
      <c r="AC77" s="205">
        <v>3520.1820539397104</v>
      </c>
      <c r="AD77" s="205">
        <v>5447.1949336558728</v>
      </c>
      <c r="AE77" s="205">
        <v>5166.2156836954091</v>
      </c>
      <c r="AF77" s="205">
        <v>5047.6749873163544</v>
      </c>
      <c r="AG77" s="205"/>
      <c r="AH77" s="205">
        <v>85485.159298413346</v>
      </c>
    </row>
    <row r="78" spans="2:34">
      <c r="B78" s="206">
        <f t="shared" si="16"/>
        <v>2025</v>
      </c>
      <c r="C78" s="206">
        <v>9</v>
      </c>
      <c r="D78" s="400" t="s">
        <v>83</v>
      </c>
      <c r="E78" s="169">
        <f t="shared" si="17"/>
        <v>2310.9870479186725</v>
      </c>
      <c r="P78" s="85" t="s">
        <v>85</v>
      </c>
      <c r="Q78" s="205">
        <v>5835.6164383561645</v>
      </c>
      <c r="R78" s="205">
        <v>4404.1886304182717</v>
      </c>
      <c r="S78" s="205">
        <v>5294.5995893223817</v>
      </c>
      <c r="T78" s="205">
        <v>5308.2982194593678</v>
      </c>
      <c r="U78" s="205">
        <v>4404.1886304182717</v>
      </c>
      <c r="V78" s="205">
        <v>5651.178082191781</v>
      </c>
      <c r="W78" s="205">
        <v>5831.557377049181</v>
      </c>
      <c r="X78" s="205">
        <v>5583.3698630136987</v>
      </c>
      <c r="Y78" s="205">
        <v>5621.6712328767126</v>
      </c>
      <c r="Z78" s="205">
        <v>5901.5045360899267</v>
      </c>
      <c r="AA78" s="205">
        <v>8555.9776256694076</v>
      </c>
      <c r="AB78" s="205">
        <v>9601.3314067375959</v>
      </c>
      <c r="AC78" s="205">
        <v>8837.9927657323951</v>
      </c>
      <c r="AD78" s="205">
        <v>9058.3303527073876</v>
      </c>
      <c r="AE78" s="205">
        <v>8744.0470690715101</v>
      </c>
      <c r="AF78" s="205">
        <v>8298.5272653746924</v>
      </c>
      <c r="AG78" s="205"/>
      <c r="AH78" s="205">
        <v>106932.37908448829</v>
      </c>
    </row>
    <row r="79" spans="2:34">
      <c r="B79" s="206">
        <f t="shared" si="16"/>
        <v>2025</v>
      </c>
      <c r="C79" s="206">
        <v>10</v>
      </c>
      <c r="D79" s="400" t="s">
        <v>84</v>
      </c>
      <c r="E79" s="169">
        <f t="shared" si="17"/>
        <v>5047.6749873163544</v>
      </c>
      <c r="P79" s="85" t="s">
        <v>846</v>
      </c>
      <c r="Q79" s="205">
        <v>6030.1369863013706</v>
      </c>
      <c r="R79" s="205">
        <v>4550.9949180988815</v>
      </c>
      <c r="S79" s="205">
        <v>5471.0862422997943</v>
      </c>
      <c r="T79" s="205">
        <v>5485.2414934413473</v>
      </c>
      <c r="U79" s="205">
        <v>4550.9949180988815</v>
      </c>
      <c r="V79" s="205">
        <v>5839.550684931507</v>
      </c>
      <c r="W79" s="205">
        <v>6025.942622950819</v>
      </c>
      <c r="X79" s="205">
        <v>5769.4821917808222</v>
      </c>
      <c r="Y79" s="205">
        <v>5809.3003795135</v>
      </c>
      <c r="Z79" s="205">
        <v>6098.2213539595914</v>
      </c>
      <c r="AA79" s="205">
        <v>8929.3831447087268</v>
      </c>
      <c r="AB79" s="205">
        <v>9916.8958997772697</v>
      </c>
      <c r="AC79" s="205">
        <v>7472.9906208355505</v>
      </c>
      <c r="AD79" s="205">
        <v>8804.3577226522157</v>
      </c>
      <c r="AE79" s="205">
        <v>12057.153018438963</v>
      </c>
      <c r="AF79" s="205">
        <v>12793.848197343441</v>
      </c>
      <c r="AG79" s="205"/>
      <c r="AH79" s="205">
        <v>115605.58039513226</v>
      </c>
    </row>
    <row r="80" spans="2:34">
      <c r="B80" s="206">
        <f t="shared" si="16"/>
        <v>2025</v>
      </c>
      <c r="C80" s="206">
        <v>11</v>
      </c>
      <c r="D80" s="400" t="s">
        <v>85</v>
      </c>
      <c r="E80" s="169">
        <f t="shared" si="17"/>
        <v>8298.5272653746924</v>
      </c>
      <c r="P80" s="85" t="s">
        <v>86</v>
      </c>
      <c r="Q80" s="205">
        <v>71000</v>
      </c>
      <c r="R80" s="205">
        <v>53584.29500342231</v>
      </c>
      <c r="S80" s="205">
        <v>64594.114989733054</v>
      </c>
      <c r="T80" s="205">
        <v>64584.29500342231</v>
      </c>
      <c r="U80" s="205">
        <v>53584.29500342231</v>
      </c>
      <c r="V80" s="205">
        <v>68756</v>
      </c>
      <c r="W80" s="205">
        <v>71145</v>
      </c>
      <c r="X80" s="205">
        <v>67931</v>
      </c>
      <c r="Y80" s="205">
        <v>68397.240105540899</v>
      </c>
      <c r="Z80" s="205">
        <v>71801.638522427442</v>
      </c>
      <c r="AA80" s="205">
        <v>75602.830769337932</v>
      </c>
      <c r="AB80" s="205">
        <v>71215.1026881094</v>
      </c>
      <c r="AC80" s="205">
        <v>58244.968043616725</v>
      </c>
      <c r="AD80" s="205">
        <v>72649.588688171876</v>
      </c>
      <c r="AE80" s="205">
        <v>76253.72424450668</v>
      </c>
      <c r="AF80" s="205">
        <v>75055.519841514804</v>
      </c>
      <c r="AG80" s="205">
        <v>34205.38709677416</v>
      </c>
      <c r="AH80" s="205">
        <v>1118604.9999999988</v>
      </c>
    </row>
    <row r="81" spans="2:23">
      <c r="B81" s="206">
        <f t="shared" si="16"/>
        <v>2025</v>
      </c>
      <c r="C81" s="206">
        <v>12</v>
      </c>
      <c r="D81" s="400" t="s">
        <v>846</v>
      </c>
      <c r="E81" s="169">
        <f t="shared" si="17"/>
        <v>12793.848197343441</v>
      </c>
    </row>
    <row r="82" spans="2:23">
      <c r="B82" s="206">
        <f>$C$2</f>
        <v>2026</v>
      </c>
      <c r="C82" s="206">
        <v>1</v>
      </c>
      <c r="D82" s="400" t="s">
        <v>73</v>
      </c>
      <c r="E82" s="169">
        <f t="shared" si="17"/>
        <v>12270.870967741923</v>
      </c>
      <c r="F82" s="168">
        <f>IFERROR((E82-E70)/E70,"")</f>
        <v>-0.10192300598806735</v>
      </c>
    </row>
    <row r="83" spans="2:23">
      <c r="B83" s="206">
        <f t="shared" ref="B83:B93" si="18">$C$2</f>
        <v>2026</v>
      </c>
      <c r="C83" s="206">
        <v>2</v>
      </c>
      <c r="D83" s="85" t="s">
        <v>844</v>
      </c>
      <c r="E83" s="169">
        <f t="shared" si="17"/>
        <v>8463.5161290322576</v>
      </c>
      <c r="F83" s="168">
        <f t="shared" ref="F83:F93" si="19">IFERROR((E83-E71)/E71,"")</f>
        <v>-0.24266203671047978</v>
      </c>
    </row>
    <row r="84" spans="2:23">
      <c r="B84" s="206">
        <f t="shared" si="18"/>
        <v>2026</v>
      </c>
      <c r="C84" s="206">
        <v>3</v>
      </c>
      <c r="D84" s="400" t="s">
        <v>77</v>
      </c>
      <c r="E84" s="169">
        <f t="shared" si="17"/>
        <v>6522.7741935483928</v>
      </c>
      <c r="F84" s="168">
        <f t="shared" si="19"/>
        <v>-0.1892852736992918</v>
      </c>
    </row>
    <row r="85" spans="2:23">
      <c r="B85" s="206">
        <f t="shared" si="18"/>
        <v>2026</v>
      </c>
      <c r="C85" s="206">
        <v>4</v>
      </c>
      <c r="D85" s="400" t="s">
        <v>79</v>
      </c>
      <c r="E85" s="169">
        <f t="shared" si="17"/>
        <v>4335.7258064516127</v>
      </c>
      <c r="F85" s="168">
        <f t="shared" si="19"/>
        <v>-0.20060548981575815</v>
      </c>
    </row>
    <row r="86" spans="2:23">
      <c r="B86" s="206">
        <f t="shared" si="18"/>
        <v>2026</v>
      </c>
      <c r="C86" s="206">
        <v>5</v>
      </c>
      <c r="D86" s="400" t="s">
        <v>80</v>
      </c>
      <c r="E86" s="169">
        <f t="shared" si="17"/>
        <v>2106.8548387096776</v>
      </c>
      <c r="F86" s="168">
        <f t="shared" si="19"/>
        <v>-0.4474956332137921</v>
      </c>
    </row>
    <row r="87" spans="2:23">
      <c r="B87" s="206">
        <f t="shared" si="18"/>
        <v>2026</v>
      </c>
      <c r="C87" s="206">
        <v>6</v>
      </c>
      <c r="D87" s="400" t="s">
        <v>81</v>
      </c>
      <c r="E87" s="169">
        <f t="shared" si="17"/>
        <v>505.64516129032245</v>
      </c>
      <c r="F87" s="168">
        <f t="shared" si="19"/>
        <v>-0.7422017848080652</v>
      </c>
    </row>
    <row r="88" spans="2:23">
      <c r="B88" s="206">
        <f t="shared" si="18"/>
        <v>2026</v>
      </c>
      <c r="C88" s="206">
        <v>7</v>
      </c>
      <c r="D88" s="400" t="s">
        <v>82</v>
      </c>
      <c r="E88" s="169">
        <f t="shared" si="17"/>
        <v>0</v>
      </c>
      <c r="F88" s="168">
        <f t="shared" si="19"/>
        <v>-1</v>
      </c>
    </row>
    <row r="89" spans="2:23">
      <c r="B89" s="206">
        <f t="shared" si="18"/>
        <v>2026</v>
      </c>
      <c r="C89" s="206">
        <v>8</v>
      </c>
      <c r="D89" s="400" t="s">
        <v>845</v>
      </c>
      <c r="E89" s="169">
        <f t="shared" si="17"/>
        <v>0</v>
      </c>
      <c r="F89" s="168">
        <f t="shared" si="19"/>
        <v>-1</v>
      </c>
    </row>
    <row r="90" spans="2:23">
      <c r="B90" s="206">
        <f t="shared" si="18"/>
        <v>2026</v>
      </c>
      <c r="C90" s="206">
        <v>9</v>
      </c>
      <c r="D90" s="400" t="s">
        <v>83</v>
      </c>
      <c r="E90" s="169">
        <f t="shared" si="17"/>
        <v>0</v>
      </c>
      <c r="F90" s="168">
        <f t="shared" si="19"/>
        <v>-1</v>
      </c>
    </row>
    <row r="91" spans="2:23">
      <c r="B91" s="206">
        <f t="shared" si="18"/>
        <v>2026</v>
      </c>
      <c r="C91" s="206">
        <v>10</v>
      </c>
      <c r="D91" s="400" t="s">
        <v>84</v>
      </c>
      <c r="E91" s="169">
        <f t="shared" si="17"/>
        <v>0</v>
      </c>
      <c r="F91" s="168">
        <f t="shared" si="19"/>
        <v>-1</v>
      </c>
    </row>
    <row r="92" spans="2:23">
      <c r="B92" s="206">
        <f t="shared" si="18"/>
        <v>2026</v>
      </c>
      <c r="C92" s="206">
        <v>11</v>
      </c>
      <c r="D92" s="400" t="s">
        <v>85</v>
      </c>
      <c r="E92" s="169">
        <f t="shared" si="17"/>
        <v>0</v>
      </c>
      <c r="F92" s="168">
        <f t="shared" si="19"/>
        <v>-1</v>
      </c>
      <c r="P92" s="166" t="s">
        <v>64</v>
      </c>
      <c r="Q92" t="s">
        <v>78</v>
      </c>
      <c r="V92" s="166" t="s">
        <v>64</v>
      </c>
      <c r="W92" t="s">
        <v>849</v>
      </c>
    </row>
    <row r="93" spans="2:23">
      <c r="B93" s="206">
        <f t="shared" si="18"/>
        <v>2026</v>
      </c>
      <c r="C93" s="206">
        <v>12</v>
      </c>
      <c r="D93" s="400" t="s">
        <v>846</v>
      </c>
      <c r="E93" s="169">
        <f t="shared" si="17"/>
        <v>0</v>
      </c>
      <c r="F93" s="168">
        <f t="shared" si="19"/>
        <v>-1</v>
      </c>
      <c r="P93" s="85">
        <v>2001</v>
      </c>
      <c r="Q93" s="205">
        <v>2408</v>
      </c>
      <c r="V93" s="85">
        <v>1</v>
      </c>
      <c r="W93" s="205">
        <v>354.61538461538464</v>
      </c>
    </row>
    <row r="94" spans="2:23">
      <c r="P94" s="167">
        <v>1</v>
      </c>
      <c r="Q94" s="205">
        <v>361</v>
      </c>
      <c r="V94" s="85">
        <v>2</v>
      </c>
      <c r="W94" s="205">
        <v>307.5</v>
      </c>
    </row>
    <row r="95" spans="2:23">
      <c r="P95" s="167">
        <v>2</v>
      </c>
      <c r="Q95" s="205">
        <v>311</v>
      </c>
      <c r="V95" s="85">
        <v>3</v>
      </c>
      <c r="W95" s="205">
        <v>288.03846153846155</v>
      </c>
    </row>
    <row r="96" spans="2:23">
      <c r="P96" s="167">
        <v>3</v>
      </c>
      <c r="Q96" s="205">
        <v>266</v>
      </c>
      <c r="V96" s="85">
        <v>4</v>
      </c>
      <c r="W96" s="205">
        <v>220.34615384615384</v>
      </c>
    </row>
    <row r="97" spans="16:23">
      <c r="P97" s="167">
        <v>4</v>
      </c>
      <c r="Q97" s="205">
        <v>250</v>
      </c>
      <c r="V97" s="85">
        <v>5</v>
      </c>
      <c r="W97" s="205">
        <v>150.96153846153845</v>
      </c>
    </row>
    <row r="98" spans="16:23">
      <c r="P98" s="167">
        <v>5</v>
      </c>
      <c r="Q98" s="205">
        <v>163</v>
      </c>
      <c r="V98" s="85">
        <v>6</v>
      </c>
      <c r="W98" s="205">
        <v>76.84</v>
      </c>
    </row>
    <row r="99" spans="16:23">
      <c r="P99" s="167">
        <v>6</v>
      </c>
      <c r="Q99" s="205">
        <v>99</v>
      </c>
      <c r="V99" s="85">
        <v>7</v>
      </c>
      <c r="W99" s="205">
        <v>45</v>
      </c>
    </row>
    <row r="100" spans="16:23">
      <c r="P100" s="167">
        <v>7</v>
      </c>
      <c r="Q100" s="205">
        <v>51</v>
      </c>
      <c r="V100" s="85">
        <v>8</v>
      </c>
      <c r="W100" s="205">
        <v>43.12</v>
      </c>
    </row>
    <row r="101" spans="16:23">
      <c r="P101" s="167">
        <v>8</v>
      </c>
      <c r="Q101" s="205">
        <v>34</v>
      </c>
      <c r="V101" s="85">
        <v>9</v>
      </c>
      <c r="W101" s="205">
        <v>76.040000000000006</v>
      </c>
    </row>
    <row r="102" spans="16:23">
      <c r="P102" s="167">
        <v>9</v>
      </c>
      <c r="Q102" s="205">
        <v>87</v>
      </c>
      <c r="V102" s="85">
        <v>10</v>
      </c>
      <c r="W102" s="205">
        <v>142.32</v>
      </c>
    </row>
    <row r="103" spans="16:23">
      <c r="P103" s="167">
        <v>10</v>
      </c>
      <c r="Q103" s="205">
        <v>94</v>
      </c>
      <c r="V103" s="85">
        <v>11</v>
      </c>
      <c r="W103" s="205">
        <v>245</v>
      </c>
    </row>
    <row r="104" spans="16:23">
      <c r="P104" s="167">
        <v>11</v>
      </c>
      <c r="Q104" s="205">
        <v>285</v>
      </c>
      <c r="V104" s="85">
        <v>12</v>
      </c>
      <c r="W104" s="205">
        <v>336.44</v>
      </c>
    </row>
    <row r="105" spans="16:23">
      <c r="P105" s="167">
        <v>12</v>
      </c>
      <c r="Q105" s="205">
        <v>407</v>
      </c>
      <c r="V105" s="85" t="s">
        <v>76</v>
      </c>
      <c r="W105" s="205"/>
    </row>
    <row r="106" spans="16:23">
      <c r="P106" s="85">
        <v>2002</v>
      </c>
      <c r="Q106" s="205">
        <v>2164</v>
      </c>
      <c r="V106" s="85" t="s">
        <v>86</v>
      </c>
      <c r="W106" s="205">
        <v>191.72786885245901</v>
      </c>
    </row>
    <row r="107" spans="16:23">
      <c r="P107" s="167">
        <v>1</v>
      </c>
      <c r="Q107" s="205">
        <v>320</v>
      </c>
    </row>
    <row r="108" spans="16:23">
      <c r="P108" s="167">
        <v>2</v>
      </c>
      <c r="Q108" s="205">
        <v>247</v>
      </c>
    </row>
    <row r="109" spans="16:23">
      <c r="P109" s="167">
        <v>3</v>
      </c>
      <c r="Q109" s="205">
        <v>266</v>
      </c>
    </row>
    <row r="110" spans="16:23">
      <c r="P110" s="167">
        <v>4</v>
      </c>
      <c r="Q110" s="205">
        <v>218</v>
      </c>
    </row>
    <row r="111" spans="16:23">
      <c r="P111" s="167">
        <v>5</v>
      </c>
      <c r="Q111" s="205">
        <v>163</v>
      </c>
    </row>
    <row r="112" spans="16:23">
      <c r="P112" s="167">
        <v>6</v>
      </c>
      <c r="Q112" s="205">
        <v>84</v>
      </c>
    </row>
    <row r="113" spans="16:17">
      <c r="P113" s="167">
        <v>7</v>
      </c>
      <c r="Q113" s="205">
        <v>60</v>
      </c>
    </row>
    <row r="114" spans="16:17">
      <c r="P114" s="167">
        <v>8</v>
      </c>
      <c r="Q114" s="205">
        <v>49</v>
      </c>
    </row>
    <row r="115" spans="16:17">
      <c r="P115" s="167">
        <v>9</v>
      </c>
      <c r="Q115" s="205">
        <v>79</v>
      </c>
    </row>
    <row r="116" spans="16:17">
      <c r="P116" s="167">
        <v>10</v>
      </c>
      <c r="Q116" s="205">
        <v>158</v>
      </c>
    </row>
    <row r="117" spans="16:17">
      <c r="P117" s="167">
        <v>11</v>
      </c>
      <c r="Q117" s="205">
        <v>221</v>
      </c>
    </row>
    <row r="118" spans="16:17">
      <c r="P118" s="167">
        <v>12</v>
      </c>
      <c r="Q118" s="205">
        <v>299</v>
      </c>
    </row>
    <row r="119" spans="16:17">
      <c r="P119" s="85">
        <v>2003</v>
      </c>
      <c r="Q119" s="205">
        <v>2339</v>
      </c>
    </row>
    <row r="120" spans="16:17">
      <c r="P120" s="167">
        <v>1</v>
      </c>
      <c r="Q120" s="205">
        <v>397</v>
      </c>
    </row>
    <row r="121" spans="16:17">
      <c r="P121" s="167">
        <v>2</v>
      </c>
      <c r="Q121" s="205">
        <v>343</v>
      </c>
    </row>
    <row r="122" spans="16:17">
      <c r="P122" s="167">
        <v>3</v>
      </c>
      <c r="Q122" s="205">
        <v>248</v>
      </c>
    </row>
    <row r="123" spans="16:17">
      <c r="P123" s="167">
        <v>4</v>
      </c>
      <c r="Q123" s="205">
        <v>212</v>
      </c>
    </row>
    <row r="124" spans="16:17">
      <c r="P124" s="167">
        <v>5</v>
      </c>
      <c r="Q124" s="205">
        <v>161</v>
      </c>
    </row>
    <row r="125" spans="16:17">
      <c r="P125" s="167">
        <v>6</v>
      </c>
      <c r="Q125" s="205">
        <v>50</v>
      </c>
    </row>
    <row r="126" spans="16:17">
      <c r="P126" s="167">
        <v>7</v>
      </c>
      <c r="Q126" s="205">
        <v>38</v>
      </c>
    </row>
    <row r="127" spans="16:17">
      <c r="P127" s="167">
        <v>8</v>
      </c>
      <c r="Q127" s="205">
        <v>27</v>
      </c>
    </row>
    <row r="128" spans="16:17">
      <c r="P128" s="167">
        <v>9</v>
      </c>
      <c r="Q128" s="205">
        <v>80</v>
      </c>
    </row>
    <row r="129" spans="16:17">
      <c r="P129" s="167">
        <v>10</v>
      </c>
      <c r="Q129" s="205">
        <v>205</v>
      </c>
    </row>
    <row r="130" spans="16:17">
      <c r="P130" s="167">
        <v>11</v>
      </c>
      <c r="Q130" s="205">
        <v>236</v>
      </c>
    </row>
    <row r="131" spans="16:17">
      <c r="P131" s="167">
        <v>12</v>
      </c>
      <c r="Q131" s="205">
        <v>342</v>
      </c>
    </row>
    <row r="132" spans="16:17">
      <c r="P132" s="85">
        <v>2004</v>
      </c>
      <c r="Q132" s="205">
        <v>2408</v>
      </c>
    </row>
    <row r="133" spans="16:17">
      <c r="P133" s="167">
        <v>1</v>
      </c>
      <c r="Q133" s="205">
        <v>322</v>
      </c>
    </row>
    <row r="134" spans="16:17">
      <c r="P134" s="167">
        <v>2</v>
      </c>
      <c r="Q134" s="205">
        <v>337</v>
      </c>
    </row>
    <row r="135" spans="16:17">
      <c r="P135" s="167">
        <v>3</v>
      </c>
      <c r="Q135" s="205">
        <v>336</v>
      </c>
    </row>
    <row r="136" spans="16:17">
      <c r="P136" s="167">
        <v>4</v>
      </c>
      <c r="Q136" s="205">
        <v>241</v>
      </c>
    </row>
    <row r="137" spans="16:17">
      <c r="P137" s="167">
        <v>5</v>
      </c>
      <c r="Q137" s="205">
        <v>173</v>
      </c>
    </row>
    <row r="138" spans="16:17">
      <c r="P138" s="167">
        <v>6</v>
      </c>
      <c r="Q138" s="205">
        <v>74</v>
      </c>
    </row>
    <row r="139" spans="16:17">
      <c r="P139" s="167">
        <v>7</v>
      </c>
      <c r="Q139" s="205">
        <v>61</v>
      </c>
    </row>
    <row r="140" spans="16:17">
      <c r="P140" s="167">
        <v>8</v>
      </c>
      <c r="Q140" s="205">
        <v>32</v>
      </c>
    </row>
    <row r="141" spans="16:17">
      <c r="P141" s="167">
        <v>9</v>
      </c>
      <c r="Q141" s="205">
        <v>70</v>
      </c>
    </row>
    <row r="142" spans="16:17">
      <c r="P142" s="167">
        <v>10</v>
      </c>
      <c r="Q142" s="205">
        <v>157</v>
      </c>
    </row>
    <row r="143" spans="16:17">
      <c r="P143" s="167">
        <v>11</v>
      </c>
      <c r="Q143" s="205">
        <v>240</v>
      </c>
    </row>
    <row r="144" spans="16:17">
      <c r="P144" s="167">
        <v>12</v>
      </c>
      <c r="Q144" s="205">
        <v>365</v>
      </c>
    </row>
    <row r="145" spans="16:17">
      <c r="P145" s="85">
        <v>2005</v>
      </c>
      <c r="Q145" s="205">
        <v>2347</v>
      </c>
    </row>
    <row r="146" spans="16:17">
      <c r="P146" s="167">
        <v>1</v>
      </c>
      <c r="Q146" s="205">
        <v>316</v>
      </c>
    </row>
    <row r="147" spans="16:17">
      <c r="P147" s="167">
        <v>2</v>
      </c>
      <c r="Q147" s="205">
        <v>357</v>
      </c>
    </row>
    <row r="148" spans="16:17">
      <c r="P148" s="167">
        <v>3</v>
      </c>
      <c r="Q148" s="205">
        <v>281</v>
      </c>
    </row>
    <row r="149" spans="16:17">
      <c r="P149" s="167">
        <v>4</v>
      </c>
      <c r="Q149" s="205">
        <v>226</v>
      </c>
    </row>
    <row r="150" spans="16:17">
      <c r="P150" s="167">
        <v>5</v>
      </c>
      <c r="Q150" s="205">
        <v>159</v>
      </c>
    </row>
    <row r="151" spans="16:17">
      <c r="P151" s="167">
        <v>6</v>
      </c>
      <c r="Q151" s="205">
        <v>71</v>
      </c>
    </row>
    <row r="152" spans="16:17">
      <c r="P152" s="167">
        <v>7</v>
      </c>
      <c r="Q152" s="205">
        <v>37</v>
      </c>
    </row>
    <row r="153" spans="16:17">
      <c r="P153" s="167">
        <v>8</v>
      </c>
      <c r="Q153" s="205">
        <v>57</v>
      </c>
    </row>
    <row r="154" spans="16:17">
      <c r="P154" s="167">
        <v>9</v>
      </c>
      <c r="Q154" s="205">
        <v>67</v>
      </c>
    </row>
    <row r="155" spans="16:17">
      <c r="P155" s="167">
        <v>10</v>
      </c>
      <c r="Q155" s="205">
        <v>89</v>
      </c>
    </row>
    <row r="156" spans="16:17">
      <c r="P156" s="167">
        <v>11</v>
      </c>
      <c r="Q156" s="205">
        <v>288</v>
      </c>
    </row>
    <row r="157" spans="16:17">
      <c r="P157" s="167">
        <v>12</v>
      </c>
      <c r="Q157" s="205">
        <v>399</v>
      </c>
    </row>
    <row r="158" spans="16:17">
      <c r="P158" s="85">
        <v>2006</v>
      </c>
      <c r="Q158" s="205">
        <v>2289</v>
      </c>
    </row>
    <row r="159" spans="16:17">
      <c r="P159" s="167">
        <v>1</v>
      </c>
      <c r="Q159" s="205">
        <v>417</v>
      </c>
    </row>
    <row r="160" spans="16:17">
      <c r="P160" s="167">
        <v>2</v>
      </c>
      <c r="Q160" s="205">
        <v>371</v>
      </c>
    </row>
    <row r="161" spans="16:17">
      <c r="P161" s="167">
        <v>3</v>
      </c>
      <c r="Q161" s="205">
        <v>325</v>
      </c>
    </row>
    <row r="162" spans="16:17">
      <c r="P162" s="167">
        <v>4</v>
      </c>
      <c r="Q162" s="205">
        <v>239</v>
      </c>
    </row>
    <row r="163" spans="16:17">
      <c r="P163" s="167">
        <v>5</v>
      </c>
      <c r="Q163" s="205">
        <v>129</v>
      </c>
    </row>
    <row r="164" spans="16:17">
      <c r="P164" s="167">
        <v>6</v>
      </c>
      <c r="Q164" s="205">
        <v>65</v>
      </c>
    </row>
    <row r="165" spans="16:17">
      <c r="P165" s="167">
        <v>7</v>
      </c>
      <c r="Q165" s="205">
        <v>20</v>
      </c>
    </row>
    <row r="166" spans="16:17">
      <c r="P166" s="167">
        <v>8</v>
      </c>
      <c r="Q166" s="205">
        <v>41</v>
      </c>
    </row>
    <row r="167" spans="16:17">
      <c r="P167" s="167">
        <v>9</v>
      </c>
      <c r="Q167" s="205">
        <v>38</v>
      </c>
    </row>
    <row r="168" spans="16:17">
      <c r="P168" s="167">
        <v>10</v>
      </c>
      <c r="Q168" s="205">
        <v>82</v>
      </c>
    </row>
    <row r="169" spans="16:17">
      <c r="P169" s="167">
        <v>11</v>
      </c>
      <c r="Q169" s="205">
        <v>230</v>
      </c>
    </row>
    <row r="170" spans="16:17">
      <c r="P170" s="167">
        <v>12</v>
      </c>
      <c r="Q170" s="205">
        <v>332</v>
      </c>
    </row>
    <row r="171" spans="16:17">
      <c r="P171" s="85">
        <v>2007</v>
      </c>
      <c r="Q171" s="205">
        <v>2237</v>
      </c>
    </row>
    <row r="172" spans="16:17">
      <c r="P172" s="167">
        <v>1</v>
      </c>
      <c r="Q172" s="205">
        <v>294</v>
      </c>
    </row>
    <row r="173" spans="16:17">
      <c r="P173" s="167">
        <v>2</v>
      </c>
      <c r="Q173" s="205">
        <v>245</v>
      </c>
    </row>
    <row r="174" spans="16:17">
      <c r="P174" s="167">
        <v>3</v>
      </c>
      <c r="Q174" s="205">
        <v>296</v>
      </c>
    </row>
    <row r="175" spans="16:17">
      <c r="P175" s="167">
        <v>4</v>
      </c>
      <c r="Q175" s="205">
        <v>175</v>
      </c>
    </row>
    <row r="176" spans="16:17">
      <c r="P176" s="167">
        <v>5</v>
      </c>
      <c r="Q176" s="205">
        <v>132</v>
      </c>
    </row>
    <row r="177" spans="16:17">
      <c r="P177" s="167">
        <v>6</v>
      </c>
      <c r="Q177" s="205">
        <v>70</v>
      </c>
    </row>
    <row r="178" spans="16:17">
      <c r="P178" s="167">
        <v>7</v>
      </c>
      <c r="Q178" s="205">
        <v>53</v>
      </c>
    </row>
    <row r="179" spans="16:17">
      <c r="P179" s="167">
        <v>8</v>
      </c>
      <c r="Q179" s="205">
        <v>59</v>
      </c>
    </row>
    <row r="180" spans="16:17">
      <c r="P180" s="167">
        <v>9</v>
      </c>
      <c r="Q180" s="205">
        <v>95</v>
      </c>
    </row>
    <row r="181" spans="16:17">
      <c r="P181" s="167">
        <v>10</v>
      </c>
      <c r="Q181" s="205">
        <v>183</v>
      </c>
    </row>
    <row r="182" spans="16:17">
      <c r="P182" s="167">
        <v>11</v>
      </c>
      <c r="Q182" s="205">
        <v>265</v>
      </c>
    </row>
    <row r="183" spans="16:17">
      <c r="P183" s="167">
        <v>12</v>
      </c>
      <c r="Q183" s="205">
        <v>370</v>
      </c>
    </row>
    <row r="184" spans="16:17">
      <c r="P184" s="85">
        <v>2008</v>
      </c>
      <c r="Q184" s="205">
        <v>2432</v>
      </c>
    </row>
    <row r="185" spans="16:17">
      <c r="P185" s="167">
        <v>1</v>
      </c>
      <c r="Q185" s="205">
        <v>310</v>
      </c>
    </row>
    <row r="186" spans="16:17">
      <c r="P186" s="167">
        <v>2</v>
      </c>
      <c r="Q186" s="205">
        <v>309</v>
      </c>
    </row>
    <row r="187" spans="16:17">
      <c r="P187" s="167">
        <v>3</v>
      </c>
      <c r="Q187" s="205">
        <v>300</v>
      </c>
    </row>
    <row r="188" spans="16:17">
      <c r="P188" s="167">
        <v>4</v>
      </c>
      <c r="Q188" s="205">
        <v>249</v>
      </c>
    </row>
    <row r="189" spans="16:17">
      <c r="P189" s="167">
        <v>5</v>
      </c>
      <c r="Q189" s="205">
        <v>113</v>
      </c>
    </row>
    <row r="190" spans="16:17">
      <c r="P190" s="167">
        <v>6</v>
      </c>
      <c r="Q190" s="205">
        <v>89</v>
      </c>
    </row>
    <row r="191" spans="16:17">
      <c r="P191" s="167">
        <v>7</v>
      </c>
      <c r="Q191" s="205">
        <v>49</v>
      </c>
    </row>
    <row r="192" spans="16:17">
      <c r="P192" s="167">
        <v>8</v>
      </c>
      <c r="Q192" s="205">
        <v>42</v>
      </c>
    </row>
    <row r="193" spans="16:17">
      <c r="P193" s="167">
        <v>9</v>
      </c>
      <c r="Q193" s="205">
        <v>121</v>
      </c>
    </row>
    <row r="194" spans="16:17">
      <c r="P194" s="167">
        <v>10</v>
      </c>
      <c r="Q194" s="205">
        <v>192</v>
      </c>
    </row>
    <row r="195" spans="16:17">
      <c r="P195" s="167">
        <v>11</v>
      </c>
      <c r="Q195" s="205">
        <v>252</v>
      </c>
    </row>
    <row r="196" spans="16:17">
      <c r="P196" s="167">
        <v>12</v>
      </c>
      <c r="Q196" s="205">
        <v>406</v>
      </c>
    </row>
    <row r="197" spans="16:17">
      <c r="P197" s="85">
        <v>2009</v>
      </c>
      <c r="Q197" s="205">
        <v>2451</v>
      </c>
    </row>
    <row r="198" spans="16:17">
      <c r="P198" s="167">
        <v>1</v>
      </c>
      <c r="Q198" s="205">
        <v>428</v>
      </c>
    </row>
    <row r="199" spans="16:17">
      <c r="P199" s="167">
        <v>2</v>
      </c>
      <c r="Q199" s="205">
        <v>351</v>
      </c>
    </row>
    <row r="200" spans="16:17">
      <c r="P200" s="167">
        <v>3</v>
      </c>
      <c r="Q200" s="205">
        <v>311</v>
      </c>
    </row>
    <row r="201" spans="16:17">
      <c r="P201" s="167">
        <v>4</v>
      </c>
      <c r="Q201" s="205">
        <v>224</v>
      </c>
    </row>
    <row r="202" spans="16:17">
      <c r="P202" s="167">
        <v>5</v>
      </c>
      <c r="Q202" s="205">
        <v>150</v>
      </c>
    </row>
    <row r="203" spans="16:17">
      <c r="P203" s="167">
        <v>6</v>
      </c>
      <c r="Q203" s="205">
        <v>78</v>
      </c>
    </row>
    <row r="204" spans="16:17">
      <c r="P204" s="167">
        <v>7</v>
      </c>
      <c r="Q204" s="205">
        <v>48</v>
      </c>
    </row>
    <row r="205" spans="16:17">
      <c r="P205" s="167">
        <v>8</v>
      </c>
      <c r="Q205" s="205">
        <v>47</v>
      </c>
    </row>
    <row r="206" spans="16:17">
      <c r="P206" s="167">
        <v>9</v>
      </c>
      <c r="Q206" s="205">
        <v>74</v>
      </c>
    </row>
    <row r="207" spans="16:17">
      <c r="P207" s="167">
        <v>10</v>
      </c>
      <c r="Q207" s="205">
        <v>144</v>
      </c>
    </row>
    <row r="208" spans="16:17">
      <c r="P208" s="167">
        <v>11</v>
      </c>
      <c r="Q208" s="205">
        <v>215</v>
      </c>
    </row>
    <row r="209" spans="16:17">
      <c r="P209" s="167">
        <v>12</v>
      </c>
      <c r="Q209" s="205">
        <v>381</v>
      </c>
    </row>
    <row r="210" spans="16:17">
      <c r="P210" s="85">
        <v>2010</v>
      </c>
      <c r="Q210" s="205">
        <v>2737</v>
      </c>
    </row>
    <row r="211" spans="16:17">
      <c r="P211" s="167">
        <v>1</v>
      </c>
      <c r="Q211" s="205">
        <v>444</v>
      </c>
    </row>
    <row r="212" spans="16:17">
      <c r="P212" s="167">
        <v>2</v>
      </c>
      <c r="Q212" s="205">
        <v>351</v>
      </c>
    </row>
    <row r="213" spans="16:17">
      <c r="P213" s="167">
        <v>3</v>
      </c>
      <c r="Q213" s="205">
        <v>316</v>
      </c>
    </row>
    <row r="214" spans="16:17">
      <c r="P214" s="167">
        <v>4</v>
      </c>
      <c r="Q214" s="205">
        <v>241</v>
      </c>
    </row>
    <row r="215" spans="16:17">
      <c r="P215" s="167">
        <v>5</v>
      </c>
      <c r="Q215" s="205">
        <v>198</v>
      </c>
    </row>
    <row r="216" spans="16:17">
      <c r="P216" s="167">
        <v>6</v>
      </c>
      <c r="Q216" s="205">
        <v>84</v>
      </c>
    </row>
    <row r="217" spans="16:17">
      <c r="P217" s="167">
        <v>7</v>
      </c>
      <c r="Q217" s="205">
        <v>38</v>
      </c>
    </row>
    <row r="218" spans="16:17">
      <c r="P218" s="167">
        <v>8</v>
      </c>
      <c r="Q218" s="205">
        <v>49</v>
      </c>
    </row>
    <row r="219" spans="16:17">
      <c r="P219" s="167">
        <v>9</v>
      </c>
      <c r="Q219" s="205">
        <v>96</v>
      </c>
    </row>
    <row r="220" spans="16:17">
      <c r="P220" s="167">
        <v>10</v>
      </c>
      <c r="Q220" s="205">
        <v>166</v>
      </c>
    </row>
    <row r="221" spans="16:17">
      <c r="P221" s="167">
        <v>11</v>
      </c>
      <c r="Q221" s="205">
        <v>297</v>
      </c>
    </row>
    <row r="222" spans="16:17">
      <c r="P222" s="167">
        <v>12</v>
      </c>
      <c r="Q222" s="205">
        <v>457</v>
      </c>
    </row>
    <row r="223" spans="16:17">
      <c r="P223" s="85">
        <v>2011</v>
      </c>
      <c r="Q223" s="205">
        <v>2132</v>
      </c>
    </row>
    <row r="224" spans="16:17">
      <c r="P224" s="167">
        <v>1</v>
      </c>
      <c r="Q224" s="205">
        <v>371</v>
      </c>
    </row>
    <row r="225" spans="16:17">
      <c r="P225" s="167">
        <v>2</v>
      </c>
      <c r="Q225" s="205">
        <v>260</v>
      </c>
    </row>
    <row r="226" spans="16:17">
      <c r="P226" s="167">
        <v>3</v>
      </c>
      <c r="Q226" s="205">
        <v>294</v>
      </c>
    </row>
    <row r="227" spans="16:17">
      <c r="P227" s="167">
        <v>4</v>
      </c>
      <c r="Q227" s="205">
        <v>165</v>
      </c>
    </row>
    <row r="228" spans="16:17">
      <c r="P228" s="167">
        <v>5</v>
      </c>
      <c r="Q228" s="205">
        <v>138</v>
      </c>
    </row>
    <row r="229" spans="16:17">
      <c r="P229" s="167">
        <v>6</v>
      </c>
      <c r="Q229" s="205">
        <v>100</v>
      </c>
    </row>
    <row r="230" spans="16:17">
      <c r="P230" s="167">
        <v>7</v>
      </c>
      <c r="Q230" s="205">
        <v>75</v>
      </c>
    </row>
    <row r="231" spans="16:17">
      <c r="P231" s="167">
        <v>8</v>
      </c>
      <c r="Q231" s="205">
        <v>54</v>
      </c>
    </row>
    <row r="232" spans="16:17">
      <c r="P232" s="167">
        <v>9</v>
      </c>
      <c r="Q232" s="205">
        <v>63</v>
      </c>
    </row>
    <row r="233" spans="16:17">
      <c r="P233" s="167">
        <v>10</v>
      </c>
      <c r="Q233" s="205">
        <v>127</v>
      </c>
    </row>
    <row r="234" spans="16:17">
      <c r="P234" s="167">
        <v>11</v>
      </c>
      <c r="Q234" s="205">
        <v>192</v>
      </c>
    </row>
    <row r="235" spans="16:17">
      <c r="P235" s="167">
        <v>12</v>
      </c>
      <c r="Q235" s="205">
        <v>293</v>
      </c>
    </row>
    <row r="236" spans="16:17">
      <c r="P236" s="85">
        <v>2012</v>
      </c>
      <c r="Q236" s="205">
        <v>2468</v>
      </c>
    </row>
    <row r="237" spans="16:17">
      <c r="P237" s="167">
        <v>1</v>
      </c>
      <c r="Q237" s="205">
        <v>324</v>
      </c>
    </row>
    <row r="238" spans="16:17">
      <c r="P238" s="167">
        <v>2</v>
      </c>
      <c r="Q238" s="205">
        <v>386</v>
      </c>
    </row>
    <row r="239" spans="16:17">
      <c r="P239" s="167">
        <v>3</v>
      </c>
      <c r="Q239" s="205">
        <v>281</v>
      </c>
    </row>
    <row r="240" spans="16:17">
      <c r="P240" s="167">
        <v>4</v>
      </c>
      <c r="Q240" s="205">
        <v>273</v>
      </c>
    </row>
    <row r="241" spans="16:17">
      <c r="P241" s="167">
        <v>5</v>
      </c>
      <c r="Q241" s="205">
        <v>169</v>
      </c>
    </row>
    <row r="242" spans="16:17">
      <c r="P242" s="167">
        <v>6</v>
      </c>
      <c r="Q242" s="205">
        <v>82</v>
      </c>
    </row>
    <row r="243" spans="16:17">
      <c r="P243" s="167">
        <v>7</v>
      </c>
      <c r="Q243" s="205">
        <v>71</v>
      </c>
    </row>
    <row r="244" spans="16:17">
      <c r="P244" s="167">
        <v>8</v>
      </c>
      <c r="Q244" s="205">
        <v>41</v>
      </c>
    </row>
    <row r="245" spans="16:17">
      <c r="P245" s="167">
        <v>9</v>
      </c>
      <c r="Q245" s="205">
        <v>103</v>
      </c>
    </row>
    <row r="246" spans="16:17">
      <c r="P246" s="167">
        <v>10</v>
      </c>
      <c r="Q246" s="205">
        <v>154</v>
      </c>
    </row>
    <row r="247" spans="16:17">
      <c r="P247" s="167">
        <v>11</v>
      </c>
      <c r="Q247" s="205">
        <v>280</v>
      </c>
    </row>
    <row r="248" spans="16:17">
      <c r="P248" s="167">
        <v>12</v>
      </c>
      <c r="Q248" s="205">
        <v>304</v>
      </c>
    </row>
    <row r="249" spans="16:17">
      <c r="P249" s="85">
        <v>2013</v>
      </c>
      <c r="Q249" s="205">
        <v>2532</v>
      </c>
    </row>
    <row r="250" spans="16:17">
      <c r="P250" s="167">
        <v>1</v>
      </c>
      <c r="Q250" s="205">
        <v>372</v>
      </c>
    </row>
    <row r="251" spans="16:17">
      <c r="P251" s="167">
        <v>2</v>
      </c>
      <c r="Q251" s="205">
        <v>364</v>
      </c>
    </row>
    <row r="252" spans="16:17">
      <c r="P252" s="167">
        <v>3</v>
      </c>
      <c r="Q252" s="205">
        <v>369</v>
      </c>
    </row>
    <row r="253" spans="16:17">
      <c r="P253" s="167">
        <v>4</v>
      </c>
      <c r="Q253" s="205">
        <v>267</v>
      </c>
    </row>
    <row r="254" spans="16:17">
      <c r="P254" s="167">
        <v>5</v>
      </c>
      <c r="Q254" s="205">
        <v>212</v>
      </c>
    </row>
    <row r="255" spans="16:17">
      <c r="P255" s="167">
        <v>6</v>
      </c>
      <c r="Q255" s="205">
        <v>104</v>
      </c>
    </row>
    <row r="256" spans="16:17">
      <c r="P256" s="167">
        <v>7</v>
      </c>
      <c r="Q256" s="205">
        <v>39</v>
      </c>
    </row>
    <row r="257" spans="16:17">
      <c r="P257" s="167">
        <v>8</v>
      </c>
      <c r="Q257" s="205">
        <v>43</v>
      </c>
    </row>
    <row r="258" spans="16:17">
      <c r="P258" s="167">
        <v>9</v>
      </c>
      <c r="Q258" s="205">
        <v>67</v>
      </c>
    </row>
    <row r="259" spans="16:17">
      <c r="P259" s="167">
        <v>10</v>
      </c>
      <c r="Q259" s="205">
        <v>108</v>
      </c>
    </row>
    <row r="260" spans="16:17">
      <c r="P260" s="167">
        <v>11</v>
      </c>
      <c r="Q260" s="205">
        <v>262</v>
      </c>
    </row>
    <row r="261" spans="16:17">
      <c r="P261" s="167">
        <v>12</v>
      </c>
      <c r="Q261" s="205">
        <v>325</v>
      </c>
    </row>
    <row r="262" spans="16:17">
      <c r="P262" s="85">
        <v>2014</v>
      </c>
      <c r="Q262" s="205">
        <v>2096</v>
      </c>
    </row>
    <row r="263" spans="16:17">
      <c r="P263" s="167">
        <v>1</v>
      </c>
      <c r="Q263" s="205">
        <v>316</v>
      </c>
    </row>
    <row r="264" spans="16:17">
      <c r="P264" s="167">
        <v>2</v>
      </c>
      <c r="Q264" s="205">
        <v>279</v>
      </c>
    </row>
    <row r="265" spans="16:17">
      <c r="P265" s="167">
        <v>3</v>
      </c>
      <c r="Q265" s="205">
        <v>279</v>
      </c>
    </row>
    <row r="266" spans="16:17">
      <c r="P266" s="167">
        <v>4</v>
      </c>
      <c r="Q266" s="205">
        <v>200</v>
      </c>
    </row>
    <row r="267" spans="16:17">
      <c r="P267" s="167">
        <v>5</v>
      </c>
      <c r="Q267" s="205">
        <v>162</v>
      </c>
    </row>
    <row r="268" spans="16:17">
      <c r="P268" s="167">
        <v>6</v>
      </c>
      <c r="Q268" s="205">
        <v>76</v>
      </c>
    </row>
    <row r="269" spans="16:17">
      <c r="P269" s="167">
        <v>7</v>
      </c>
      <c r="Q269" s="205">
        <v>31</v>
      </c>
    </row>
    <row r="270" spans="16:17">
      <c r="P270" s="167">
        <v>8</v>
      </c>
      <c r="Q270" s="205">
        <v>59</v>
      </c>
    </row>
    <row r="271" spans="16:17">
      <c r="P271" s="167">
        <v>9</v>
      </c>
      <c r="Q271" s="205">
        <v>57</v>
      </c>
    </row>
    <row r="272" spans="16:17">
      <c r="P272" s="167">
        <v>10</v>
      </c>
      <c r="Q272" s="205">
        <v>104</v>
      </c>
    </row>
    <row r="273" spans="16:17">
      <c r="P273" s="167">
        <v>11</v>
      </c>
      <c r="Q273" s="205">
        <v>217</v>
      </c>
    </row>
    <row r="274" spans="16:17">
      <c r="P274" s="167">
        <v>12</v>
      </c>
      <c r="Q274" s="205">
        <v>316</v>
      </c>
    </row>
    <row r="275" spans="16:17">
      <c r="P275" s="85">
        <v>2015</v>
      </c>
      <c r="Q275" s="205">
        <v>2206</v>
      </c>
    </row>
    <row r="276" spans="16:17">
      <c r="P276" s="167">
        <v>1</v>
      </c>
      <c r="Q276" s="205">
        <v>345</v>
      </c>
    </row>
    <row r="277" spans="16:17">
      <c r="P277" s="167">
        <v>2</v>
      </c>
      <c r="Q277" s="205">
        <v>349</v>
      </c>
    </row>
    <row r="278" spans="16:17">
      <c r="P278" s="167">
        <v>3</v>
      </c>
      <c r="Q278" s="205">
        <v>302</v>
      </c>
    </row>
    <row r="279" spans="16:17">
      <c r="P279" s="167">
        <v>4</v>
      </c>
      <c r="Q279" s="205">
        <v>195</v>
      </c>
    </row>
    <row r="280" spans="16:17">
      <c r="P280" s="167">
        <v>5</v>
      </c>
      <c r="Q280" s="205">
        <v>159</v>
      </c>
    </row>
    <row r="281" spans="16:17">
      <c r="P281" s="167">
        <v>6</v>
      </c>
      <c r="Q281" s="205">
        <v>87</v>
      </c>
    </row>
    <row r="282" spans="16:17">
      <c r="P282" s="167">
        <v>7</v>
      </c>
      <c r="Q282" s="205">
        <v>47</v>
      </c>
    </row>
    <row r="283" spans="16:17">
      <c r="P283" s="167">
        <v>8</v>
      </c>
      <c r="Q283" s="205">
        <v>54</v>
      </c>
    </row>
    <row r="284" spans="16:17">
      <c r="P284" s="167">
        <v>9</v>
      </c>
      <c r="Q284" s="205">
        <v>111</v>
      </c>
    </row>
    <row r="285" spans="16:17">
      <c r="P285" s="167">
        <v>10</v>
      </c>
      <c r="Q285" s="205">
        <v>168</v>
      </c>
    </row>
    <row r="286" spans="16:17">
      <c r="P286" s="167">
        <v>11</v>
      </c>
      <c r="Q286" s="205">
        <v>175</v>
      </c>
    </row>
    <row r="287" spans="16:17">
      <c r="P287" s="167">
        <v>12</v>
      </c>
      <c r="Q287" s="205">
        <v>214</v>
      </c>
    </row>
    <row r="288" spans="16:17">
      <c r="P288" s="85">
        <v>2016</v>
      </c>
      <c r="Q288" s="205">
        <v>2423</v>
      </c>
    </row>
    <row r="289" spans="16:17">
      <c r="P289" s="167">
        <v>1</v>
      </c>
      <c r="Q289" s="205">
        <v>332</v>
      </c>
    </row>
    <row r="290" spans="16:17">
      <c r="P290" s="167">
        <v>2</v>
      </c>
      <c r="Q290" s="205">
        <v>309</v>
      </c>
    </row>
    <row r="291" spans="16:17">
      <c r="P291" s="167">
        <v>3</v>
      </c>
      <c r="Q291" s="205">
        <v>340</v>
      </c>
    </row>
    <row r="292" spans="16:17">
      <c r="P292" s="167">
        <v>4</v>
      </c>
      <c r="Q292" s="205">
        <v>266</v>
      </c>
    </row>
    <row r="293" spans="16:17">
      <c r="P293" s="167">
        <v>5</v>
      </c>
      <c r="Q293" s="205">
        <v>142</v>
      </c>
    </row>
    <row r="294" spans="16:17">
      <c r="P294" s="167">
        <v>6</v>
      </c>
      <c r="Q294" s="205">
        <v>76</v>
      </c>
    </row>
    <row r="295" spans="16:17">
      <c r="P295" s="167">
        <v>7</v>
      </c>
      <c r="Q295" s="205">
        <v>53</v>
      </c>
    </row>
    <row r="296" spans="16:17">
      <c r="P296" s="167">
        <v>8</v>
      </c>
      <c r="Q296" s="205">
        <v>36</v>
      </c>
    </row>
    <row r="297" spans="16:17">
      <c r="P297" s="167">
        <v>9</v>
      </c>
      <c r="Q297" s="205">
        <v>43</v>
      </c>
    </row>
    <row r="298" spans="16:17">
      <c r="P298" s="167">
        <v>10</v>
      </c>
      <c r="Q298" s="205">
        <v>201</v>
      </c>
    </row>
    <row r="299" spans="16:17">
      <c r="P299" s="167">
        <v>11</v>
      </c>
      <c r="Q299" s="205">
        <v>274</v>
      </c>
    </row>
    <row r="300" spans="16:17">
      <c r="P300" s="167">
        <v>12</v>
      </c>
      <c r="Q300" s="205">
        <v>351</v>
      </c>
    </row>
    <row r="301" spans="16:17">
      <c r="P301" s="85">
        <v>2017</v>
      </c>
      <c r="Q301" s="205">
        <v>2247</v>
      </c>
    </row>
    <row r="302" spans="16:17">
      <c r="P302" s="167">
        <v>1</v>
      </c>
      <c r="Q302" s="205">
        <v>415</v>
      </c>
    </row>
    <row r="303" spans="16:17">
      <c r="P303" s="167">
        <v>2</v>
      </c>
      <c r="Q303" s="205">
        <v>276</v>
      </c>
    </row>
    <row r="304" spans="16:17">
      <c r="P304" s="167">
        <v>3</v>
      </c>
      <c r="Q304" s="205">
        <v>231</v>
      </c>
    </row>
    <row r="305" spans="16:17">
      <c r="P305" s="167">
        <v>4</v>
      </c>
      <c r="Q305" s="205">
        <v>242</v>
      </c>
    </row>
    <row r="306" spans="16:17">
      <c r="P306" s="167">
        <v>5</v>
      </c>
      <c r="Q306" s="205">
        <v>119</v>
      </c>
    </row>
    <row r="307" spans="16:17">
      <c r="P307" s="167">
        <v>6</v>
      </c>
      <c r="Q307" s="205">
        <v>59</v>
      </c>
    </row>
    <row r="308" spans="16:17">
      <c r="P308" s="167">
        <v>7</v>
      </c>
      <c r="Q308" s="205">
        <v>35</v>
      </c>
    </row>
    <row r="309" spans="16:17">
      <c r="P309" s="167">
        <v>8</v>
      </c>
      <c r="Q309" s="205">
        <v>53</v>
      </c>
    </row>
    <row r="310" spans="16:17">
      <c r="P310" s="167">
        <v>9</v>
      </c>
      <c r="Q310" s="205">
        <v>99</v>
      </c>
    </row>
    <row r="311" spans="16:17">
      <c r="P311" s="167">
        <v>10</v>
      </c>
      <c r="Q311" s="205">
        <v>127</v>
      </c>
    </row>
    <row r="312" spans="16:17">
      <c r="P312" s="167">
        <v>11</v>
      </c>
      <c r="Q312" s="205">
        <v>268</v>
      </c>
    </row>
    <row r="313" spans="16:17">
      <c r="P313" s="167">
        <v>12</v>
      </c>
      <c r="Q313" s="205">
        <v>323</v>
      </c>
    </row>
    <row r="314" spans="16:17">
      <c r="P314" s="85">
        <v>2018</v>
      </c>
      <c r="Q314" s="205">
        <v>2265</v>
      </c>
    </row>
    <row r="315" spans="16:17">
      <c r="P315" s="167">
        <v>1</v>
      </c>
      <c r="Q315" s="205">
        <v>300</v>
      </c>
    </row>
    <row r="316" spans="16:17">
      <c r="P316" s="167">
        <v>2</v>
      </c>
      <c r="Q316" s="205">
        <v>380</v>
      </c>
    </row>
    <row r="317" spans="16:17">
      <c r="P317" s="167">
        <v>3</v>
      </c>
      <c r="Q317" s="205">
        <v>322</v>
      </c>
    </row>
    <row r="318" spans="16:17">
      <c r="P318" s="167">
        <v>4</v>
      </c>
      <c r="Q318" s="205">
        <v>190</v>
      </c>
    </row>
    <row r="319" spans="16:17">
      <c r="P319" s="167">
        <v>5</v>
      </c>
      <c r="Q319" s="205">
        <v>153</v>
      </c>
    </row>
    <row r="320" spans="16:17">
      <c r="P320" s="167">
        <v>6</v>
      </c>
      <c r="Q320" s="205">
        <v>57</v>
      </c>
    </row>
    <row r="321" spans="16:17">
      <c r="P321" s="167">
        <v>7</v>
      </c>
      <c r="Q321" s="205">
        <v>27</v>
      </c>
    </row>
    <row r="322" spans="16:17">
      <c r="P322" s="167">
        <v>8</v>
      </c>
      <c r="Q322" s="205">
        <v>45</v>
      </c>
    </row>
    <row r="323" spans="16:17">
      <c r="P323" s="167">
        <v>9</v>
      </c>
      <c r="Q323" s="205">
        <v>78</v>
      </c>
    </row>
    <row r="324" spans="16:17">
      <c r="P324" s="167">
        <v>10</v>
      </c>
      <c r="Q324" s="205">
        <v>160</v>
      </c>
    </row>
    <row r="325" spans="16:17">
      <c r="P325" s="167">
        <v>11</v>
      </c>
      <c r="Q325" s="205">
        <v>265</v>
      </c>
    </row>
    <row r="326" spans="16:17">
      <c r="P326" s="167">
        <v>12</v>
      </c>
      <c r="Q326" s="205">
        <v>288</v>
      </c>
    </row>
    <row r="327" spans="16:17">
      <c r="P327" s="85">
        <v>2019</v>
      </c>
      <c r="Q327" s="205">
        <v>2270</v>
      </c>
    </row>
    <row r="328" spans="16:17">
      <c r="P328" s="167">
        <v>1</v>
      </c>
      <c r="Q328" s="205">
        <v>358</v>
      </c>
    </row>
    <row r="329" spans="16:17">
      <c r="P329" s="167">
        <v>2</v>
      </c>
      <c r="Q329" s="205">
        <v>266</v>
      </c>
    </row>
    <row r="330" spans="16:17">
      <c r="P330" s="167">
        <v>3</v>
      </c>
      <c r="Q330" s="205">
        <v>262</v>
      </c>
    </row>
    <row r="331" spans="16:17">
      <c r="P331" s="167">
        <v>4</v>
      </c>
      <c r="Q331" s="205">
        <v>227</v>
      </c>
    </row>
    <row r="332" spans="16:17">
      <c r="P332" s="167">
        <v>5</v>
      </c>
      <c r="Q332" s="205">
        <v>174</v>
      </c>
    </row>
    <row r="333" spans="16:17">
      <c r="P333" s="167">
        <v>6</v>
      </c>
      <c r="Q333" s="205">
        <v>85</v>
      </c>
    </row>
    <row r="334" spans="16:17">
      <c r="P334" s="167">
        <v>7</v>
      </c>
      <c r="Q334" s="205">
        <v>37</v>
      </c>
    </row>
    <row r="335" spans="16:17">
      <c r="P335" s="167">
        <v>8</v>
      </c>
      <c r="Q335" s="205">
        <v>48</v>
      </c>
    </row>
    <row r="336" spans="16:17">
      <c r="P336" s="167">
        <v>9</v>
      </c>
      <c r="Q336" s="205">
        <v>71</v>
      </c>
    </row>
    <row r="337" spans="16:17">
      <c r="P337" s="167">
        <v>10</v>
      </c>
      <c r="Q337" s="205">
        <v>145</v>
      </c>
    </row>
    <row r="338" spans="16:17">
      <c r="P338" s="167">
        <v>11</v>
      </c>
      <c r="Q338" s="205">
        <v>278</v>
      </c>
    </row>
    <row r="339" spans="16:17">
      <c r="P339" s="167">
        <v>12</v>
      </c>
      <c r="Q339" s="205">
        <v>319</v>
      </c>
    </row>
    <row r="340" spans="16:17">
      <c r="P340" s="85">
        <v>2020</v>
      </c>
      <c r="Q340" s="205">
        <v>2107</v>
      </c>
    </row>
    <row r="341" spans="16:17">
      <c r="P341" s="167">
        <v>1</v>
      </c>
      <c r="Q341" s="205">
        <v>319</v>
      </c>
    </row>
    <row r="342" spans="16:17">
      <c r="P342" s="167">
        <v>2</v>
      </c>
      <c r="Q342" s="205">
        <v>252</v>
      </c>
    </row>
    <row r="343" spans="16:17">
      <c r="P343" s="167">
        <v>3</v>
      </c>
      <c r="Q343" s="205">
        <v>288</v>
      </c>
    </row>
    <row r="344" spans="16:17">
      <c r="P344" s="167">
        <v>4</v>
      </c>
      <c r="Q344" s="205">
        <v>167</v>
      </c>
    </row>
    <row r="345" spans="16:17">
      <c r="P345" s="167">
        <v>5</v>
      </c>
      <c r="Q345" s="205">
        <v>133</v>
      </c>
    </row>
    <row r="346" spans="16:17">
      <c r="P346" s="167">
        <v>6</v>
      </c>
      <c r="Q346" s="205">
        <v>86</v>
      </c>
    </row>
    <row r="347" spans="16:17">
      <c r="P347" s="167">
        <v>7</v>
      </c>
      <c r="Q347" s="205">
        <v>54</v>
      </c>
    </row>
    <row r="348" spans="16:17">
      <c r="P348" s="167">
        <v>8</v>
      </c>
      <c r="Q348" s="205">
        <v>38</v>
      </c>
    </row>
    <row r="349" spans="16:17">
      <c r="P349" s="167">
        <v>9</v>
      </c>
      <c r="Q349" s="205">
        <v>68</v>
      </c>
    </row>
    <row r="350" spans="16:17">
      <c r="P350" s="167">
        <v>10</v>
      </c>
      <c r="Q350" s="205">
        <v>169</v>
      </c>
    </row>
    <row r="351" spans="16:17">
      <c r="P351" s="167">
        <v>11</v>
      </c>
      <c r="Q351" s="205">
        <v>215</v>
      </c>
    </row>
    <row r="352" spans="16:17">
      <c r="P352" s="167">
        <v>12</v>
      </c>
      <c r="Q352" s="205">
        <v>318</v>
      </c>
    </row>
    <row r="353" spans="16:17">
      <c r="P353" s="85">
        <v>2021</v>
      </c>
      <c r="Q353" s="205">
        <v>2397</v>
      </c>
    </row>
    <row r="354" spans="16:17">
      <c r="P354" s="167">
        <v>1</v>
      </c>
      <c r="Q354" s="205">
        <v>377</v>
      </c>
    </row>
    <row r="355" spans="16:17">
      <c r="P355" s="167">
        <v>2</v>
      </c>
      <c r="Q355" s="205">
        <v>304</v>
      </c>
    </row>
    <row r="356" spans="16:17">
      <c r="P356" s="167">
        <v>3</v>
      </c>
      <c r="Q356" s="205">
        <v>297</v>
      </c>
    </row>
    <row r="357" spans="16:17">
      <c r="P357" s="167">
        <v>4</v>
      </c>
      <c r="Q357" s="205">
        <v>278</v>
      </c>
    </row>
    <row r="358" spans="16:17">
      <c r="P358" s="167">
        <v>5</v>
      </c>
      <c r="Q358" s="205">
        <v>191</v>
      </c>
    </row>
    <row r="359" spans="16:17">
      <c r="P359" s="167">
        <v>6</v>
      </c>
      <c r="Q359" s="205">
        <v>80</v>
      </c>
    </row>
    <row r="360" spans="16:17">
      <c r="P360" s="167">
        <v>7</v>
      </c>
      <c r="Q360" s="205">
        <v>42</v>
      </c>
    </row>
    <row r="361" spans="16:17">
      <c r="P361" s="167">
        <v>8</v>
      </c>
      <c r="Q361" s="205">
        <v>48</v>
      </c>
    </row>
    <row r="362" spans="16:17">
      <c r="P362" s="167">
        <v>9</v>
      </c>
      <c r="Q362" s="205">
        <v>54</v>
      </c>
    </row>
    <row r="363" spans="16:17">
      <c r="P363" s="167">
        <v>10</v>
      </c>
      <c r="Q363" s="205">
        <v>142</v>
      </c>
    </row>
    <row r="364" spans="16:17">
      <c r="P364" s="167">
        <v>11</v>
      </c>
      <c r="Q364" s="205">
        <v>272</v>
      </c>
    </row>
    <row r="365" spans="16:17">
      <c r="P365" s="167">
        <v>12</v>
      </c>
      <c r="Q365" s="205">
        <v>312</v>
      </c>
    </row>
    <row r="366" spans="16:17">
      <c r="P366" s="85">
        <v>2022</v>
      </c>
      <c r="Q366" s="205">
        <v>2087</v>
      </c>
    </row>
    <row r="367" spans="16:17">
      <c r="P367" s="167">
        <v>1</v>
      </c>
      <c r="Q367" s="205">
        <v>354</v>
      </c>
    </row>
    <row r="368" spans="16:17">
      <c r="P368" s="167">
        <v>2</v>
      </c>
      <c r="Q368" s="205">
        <v>276</v>
      </c>
    </row>
    <row r="369" spans="16:17">
      <c r="P369" s="167">
        <v>3</v>
      </c>
      <c r="Q369" s="205">
        <v>250</v>
      </c>
    </row>
    <row r="370" spans="16:17">
      <c r="P370" s="167">
        <v>4</v>
      </c>
      <c r="Q370" s="205">
        <v>217</v>
      </c>
    </row>
    <row r="371" spans="16:17">
      <c r="P371" s="167">
        <v>5</v>
      </c>
      <c r="Q371" s="205">
        <v>130</v>
      </c>
    </row>
    <row r="372" spans="16:17">
      <c r="P372" s="167">
        <v>6</v>
      </c>
      <c r="Q372" s="205">
        <v>66</v>
      </c>
    </row>
    <row r="373" spans="16:17">
      <c r="P373" s="167">
        <v>7</v>
      </c>
      <c r="Q373" s="205">
        <v>37</v>
      </c>
    </row>
    <row r="374" spans="16:17">
      <c r="P374" s="167">
        <v>8</v>
      </c>
      <c r="Q374" s="205">
        <v>20</v>
      </c>
    </row>
    <row r="375" spans="16:17">
      <c r="P375" s="167">
        <v>9</v>
      </c>
      <c r="Q375" s="205">
        <v>75</v>
      </c>
    </row>
    <row r="376" spans="16:17">
      <c r="P376" s="167">
        <v>10</v>
      </c>
      <c r="Q376" s="205">
        <v>82</v>
      </c>
    </row>
    <row r="377" spans="16:17">
      <c r="P377" s="167">
        <v>11</v>
      </c>
      <c r="Q377" s="205">
        <v>208</v>
      </c>
    </row>
    <row r="378" spans="16:17">
      <c r="P378" s="167">
        <v>12</v>
      </c>
      <c r="Q378" s="205">
        <v>372</v>
      </c>
    </row>
    <row r="379" spans="16:17">
      <c r="P379" s="85">
        <v>2023</v>
      </c>
      <c r="Q379" s="205">
        <v>2027</v>
      </c>
    </row>
    <row r="380" spans="16:17">
      <c r="P380" s="167">
        <v>1</v>
      </c>
      <c r="Q380" s="205">
        <v>329</v>
      </c>
    </row>
    <row r="381" spans="16:17">
      <c r="P381" s="167">
        <v>2</v>
      </c>
      <c r="Q381" s="205">
        <v>297</v>
      </c>
    </row>
    <row r="382" spans="16:17">
      <c r="P382" s="167">
        <v>3</v>
      </c>
      <c r="Q382" s="205">
        <v>254</v>
      </c>
    </row>
    <row r="383" spans="16:17">
      <c r="P383" s="167">
        <v>4</v>
      </c>
      <c r="Q383" s="205">
        <v>221</v>
      </c>
    </row>
    <row r="384" spans="16:17">
      <c r="P384" s="167">
        <v>5</v>
      </c>
      <c r="Q384" s="205">
        <v>136</v>
      </c>
    </row>
    <row r="385" spans="16:17">
      <c r="P385" s="167">
        <v>6</v>
      </c>
      <c r="Q385" s="205">
        <v>47</v>
      </c>
    </row>
    <row r="386" spans="16:17">
      <c r="P386" s="167">
        <v>7</v>
      </c>
      <c r="Q386" s="205">
        <v>42</v>
      </c>
    </row>
    <row r="387" spans="16:17">
      <c r="P387" s="167">
        <v>8</v>
      </c>
      <c r="Q387" s="205">
        <v>37</v>
      </c>
    </row>
    <row r="388" spans="16:17">
      <c r="P388" s="167">
        <v>9</v>
      </c>
      <c r="Q388" s="205">
        <v>36</v>
      </c>
    </row>
    <row r="389" spans="16:17">
      <c r="P389" s="167">
        <v>10</v>
      </c>
      <c r="Q389" s="205">
        <v>117</v>
      </c>
    </row>
    <row r="390" spans="16:17">
      <c r="P390" s="167">
        <v>11</v>
      </c>
      <c r="Q390" s="205">
        <v>233</v>
      </c>
    </row>
    <row r="391" spans="16:17">
      <c r="P391" s="167">
        <v>12</v>
      </c>
      <c r="Q391" s="205">
        <v>278</v>
      </c>
    </row>
    <row r="392" spans="16:17">
      <c r="P392" s="85">
        <v>2024</v>
      </c>
      <c r="Q392" s="205">
        <v>2164</v>
      </c>
    </row>
    <row r="393" spans="16:17">
      <c r="P393" s="167">
        <v>1</v>
      </c>
      <c r="Q393" s="205">
        <v>367</v>
      </c>
    </row>
    <row r="394" spans="16:17">
      <c r="P394" s="167">
        <v>2</v>
      </c>
      <c r="Q394" s="205">
        <v>238</v>
      </c>
    </row>
    <row r="395" spans="16:17">
      <c r="P395" s="167">
        <v>3</v>
      </c>
      <c r="Q395" s="205">
        <v>263</v>
      </c>
    </row>
    <row r="396" spans="16:17">
      <c r="P396" s="167">
        <v>4</v>
      </c>
      <c r="Q396" s="205">
        <v>210</v>
      </c>
    </row>
    <row r="397" spans="16:17">
      <c r="P397" s="167">
        <v>5</v>
      </c>
      <c r="Q397" s="205">
        <v>130</v>
      </c>
    </row>
    <row r="398" spans="16:17">
      <c r="P398" s="167">
        <v>6</v>
      </c>
      <c r="Q398" s="205">
        <v>95</v>
      </c>
    </row>
    <row r="399" spans="16:17">
      <c r="P399" s="167">
        <v>7</v>
      </c>
      <c r="Q399" s="205">
        <v>47</v>
      </c>
    </row>
    <row r="400" spans="16:17">
      <c r="P400" s="167">
        <v>8</v>
      </c>
      <c r="Q400" s="205">
        <v>33</v>
      </c>
    </row>
    <row r="401" spans="16:17">
      <c r="P401" s="167">
        <v>9</v>
      </c>
      <c r="Q401" s="205">
        <v>88</v>
      </c>
    </row>
    <row r="402" spans="16:17">
      <c r="P402" s="167">
        <v>10</v>
      </c>
      <c r="Q402" s="205">
        <v>136</v>
      </c>
    </row>
    <row r="403" spans="16:17">
      <c r="P403" s="167">
        <v>11</v>
      </c>
      <c r="Q403" s="205">
        <v>241</v>
      </c>
    </row>
    <row r="404" spans="16:17">
      <c r="P404" s="167">
        <v>12</v>
      </c>
      <c r="Q404" s="205">
        <v>316</v>
      </c>
    </row>
    <row r="405" spans="16:17">
      <c r="P405" s="85">
        <v>2025</v>
      </c>
      <c r="Q405" s="205">
        <v>2155</v>
      </c>
    </row>
    <row r="406" spans="16:17">
      <c r="P406" s="167">
        <v>1</v>
      </c>
      <c r="Q406" s="205">
        <v>392</v>
      </c>
    </row>
    <row r="407" spans="16:17">
      <c r="P407" s="167">
        <v>2</v>
      </c>
      <c r="Q407" s="205">
        <v>310</v>
      </c>
    </row>
    <row r="408" spans="16:17">
      <c r="P408" s="167">
        <v>3</v>
      </c>
      <c r="Q408" s="205">
        <v>269</v>
      </c>
    </row>
    <row r="409" spans="16:17">
      <c r="P409" s="167">
        <v>4</v>
      </c>
      <c r="Q409" s="205">
        <v>173</v>
      </c>
    </row>
    <row r="410" spans="16:17">
      <c r="P410" s="167">
        <v>5</v>
      </c>
      <c r="Q410" s="205">
        <v>120</v>
      </c>
    </row>
    <row r="411" spans="16:17">
      <c r="P411" s="167">
        <v>6</v>
      </c>
      <c r="Q411" s="205">
        <v>57</v>
      </c>
    </row>
    <row r="412" spans="16:17">
      <c r="P412" s="167">
        <v>7</v>
      </c>
      <c r="Q412" s="205">
        <v>33</v>
      </c>
    </row>
    <row r="413" spans="16:17">
      <c r="P413" s="167">
        <v>8</v>
      </c>
      <c r="Q413" s="205">
        <v>32</v>
      </c>
    </row>
    <row r="414" spans="16:17">
      <c r="P414" s="167">
        <v>9</v>
      </c>
      <c r="Q414" s="205">
        <v>81</v>
      </c>
    </row>
    <row r="415" spans="16:17">
      <c r="P415" s="167">
        <v>10</v>
      </c>
      <c r="Q415" s="205">
        <v>148</v>
      </c>
    </row>
    <row r="416" spans="16:17">
      <c r="P416" s="167">
        <v>11</v>
      </c>
      <c r="Q416" s="205">
        <v>216</v>
      </c>
    </row>
    <row r="417" spans="16:17">
      <c r="P417" s="167">
        <v>12</v>
      </c>
      <c r="Q417" s="205">
        <v>324</v>
      </c>
    </row>
    <row r="418" spans="16:17">
      <c r="P418" s="85" t="s">
        <v>76</v>
      </c>
      <c r="Q418" s="205"/>
    </row>
    <row r="419" spans="16:17">
      <c r="P419" s="167" t="s">
        <v>76</v>
      </c>
      <c r="Q419" s="205"/>
    </row>
    <row r="420" spans="16:17">
      <c r="P420" s="85">
        <v>2026</v>
      </c>
      <c r="Q420" s="205">
        <v>1089</v>
      </c>
    </row>
    <row r="421" spans="16:17">
      <c r="P421" s="167">
        <v>1</v>
      </c>
      <c r="Q421" s="205">
        <v>340</v>
      </c>
    </row>
    <row r="422" spans="16:17">
      <c r="P422" s="167">
        <v>2</v>
      </c>
      <c r="Q422" s="205">
        <v>227</v>
      </c>
    </row>
    <row r="423" spans="16:17">
      <c r="P423" s="167">
        <v>3</v>
      </c>
      <c r="Q423" s="205">
        <v>243</v>
      </c>
    </row>
    <row r="424" spans="16:17">
      <c r="P424" s="167">
        <v>4</v>
      </c>
      <c r="Q424" s="205">
        <v>163</v>
      </c>
    </row>
    <row r="425" spans="16:17">
      <c r="P425" s="167">
        <v>5</v>
      </c>
      <c r="Q425" s="205">
        <v>116</v>
      </c>
    </row>
    <row r="426" spans="16:17">
      <c r="P426" s="85" t="s">
        <v>86</v>
      </c>
      <c r="Q426" s="205">
        <v>58477</v>
      </c>
    </row>
  </sheetData>
  <pageMargins left="0.7" right="0.7" top="0.75" bottom="0.75" header="0.3" footer="0.3"/>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FF0000"/>
  </sheetPr>
  <dimension ref="A1:N41"/>
  <sheetViews>
    <sheetView workbookViewId="0"/>
  </sheetViews>
  <sheetFormatPr baseColWidth="10" defaultColWidth="0" defaultRowHeight="15" customHeight="1" zeroHeight="1"/>
  <cols>
    <col min="1" max="11" width="11.36328125" style="36" customWidth="1"/>
    <col min="12" max="16384" width="11.36328125" hidden="1"/>
  </cols>
  <sheetData>
    <row r="1" spans="2:5" ht="14.5"/>
    <row r="2" spans="2:5" ht="14.5">
      <c r="B2" s="102" t="s">
        <v>0</v>
      </c>
      <c r="C2" s="742">
        <f>Site!C2</f>
        <v>0</v>
      </c>
      <c r="D2" s="742"/>
      <c r="E2" s="742"/>
    </row>
    <row r="3" spans="2:5" ht="14.5"/>
    <row r="4" spans="2:5" ht="14.5"/>
    <row r="5" spans="2:5" ht="14.5"/>
    <row r="6" spans="2:5" ht="14.5"/>
    <row r="7" spans="2:5" ht="14.5"/>
    <row r="8" spans="2:5" ht="14.5"/>
    <row r="9" spans="2:5" ht="14.5"/>
    <row r="10" spans="2:5" ht="14.5"/>
    <row r="11" spans="2:5" ht="14.5"/>
    <row r="12" spans="2:5" ht="14.5"/>
    <row r="13" spans="2:5" ht="14.5"/>
    <row r="14" spans="2:5" ht="14.5"/>
    <row r="15" spans="2:5" ht="14.5"/>
    <row r="16" spans="2:5" ht="14.5"/>
    <row r="17" spans="9:14" ht="14.5"/>
    <row r="18" spans="9:14" ht="14.5"/>
    <row r="19" spans="9:14" ht="14.5"/>
    <row r="20" spans="9:14" ht="14.5"/>
    <row r="21" spans="9:14" ht="14.5"/>
    <row r="22" spans="9:14" ht="14.5"/>
    <row r="23" spans="9:14" ht="14.5"/>
    <row r="24" spans="9:14" ht="14.5"/>
    <row r="25" spans="9:14" ht="14.5"/>
    <row r="26" spans="9:14" ht="14.5">
      <c r="I26" s="738" t="s">
        <v>87</v>
      </c>
      <c r="J26" s="738"/>
      <c r="K26" s="738"/>
      <c r="L26" s="738"/>
      <c r="M26" s="738"/>
      <c r="N26" s="738"/>
    </row>
    <row r="27" spans="9:14" ht="14.5">
      <c r="I27" s="738"/>
      <c r="J27" s="738"/>
      <c r="K27" s="738"/>
      <c r="L27" s="738"/>
      <c r="M27" s="738"/>
      <c r="N27" s="738"/>
    </row>
    <row r="28" spans="9:14" ht="14.5">
      <c r="I28" s="738"/>
      <c r="J28" s="738"/>
      <c r="K28" s="738"/>
      <c r="L28" s="738"/>
      <c r="M28" s="738"/>
      <c r="N28" s="738"/>
    </row>
    <row r="29" spans="9:14" ht="14.5">
      <c r="I29" s="738"/>
      <c r="J29" s="738"/>
      <c r="K29" s="738"/>
      <c r="L29" s="738"/>
      <c r="M29" s="738"/>
      <c r="N29" s="738"/>
    </row>
    <row r="30" spans="9:14" ht="14.5">
      <c r="I30" s="738"/>
      <c r="J30" s="738"/>
      <c r="K30" s="738"/>
      <c r="L30" s="738"/>
      <c r="M30" s="738"/>
      <c r="N30" s="738"/>
    </row>
    <row r="31" spans="9:14" ht="14.5">
      <c r="I31" s="738"/>
      <c r="J31" s="738"/>
      <c r="K31" s="738"/>
      <c r="L31" s="738"/>
      <c r="M31" s="738"/>
      <c r="N31" s="738"/>
    </row>
    <row r="32" spans="9:14" ht="14.5">
      <c r="I32" s="738"/>
      <c r="J32" s="738"/>
      <c r="K32" s="738"/>
      <c r="L32" s="738"/>
      <c r="M32" s="738"/>
      <c r="N32" s="738"/>
    </row>
    <row r="33" spans="9:14" ht="14.5">
      <c r="I33" s="738"/>
      <c r="J33" s="738"/>
      <c r="K33" s="738"/>
      <c r="L33" s="738"/>
      <c r="M33" s="738"/>
      <c r="N33" s="738"/>
    </row>
    <row r="34" spans="9:14" ht="15" hidden="1" customHeight="1">
      <c r="I34" s="738"/>
      <c r="J34" s="738"/>
      <c r="K34" s="738"/>
      <c r="L34" s="738"/>
      <c r="M34" s="738"/>
      <c r="N34" s="738"/>
    </row>
    <row r="35" spans="9:14" ht="15" hidden="1" customHeight="1">
      <c r="I35" s="738"/>
      <c r="J35" s="738"/>
      <c r="K35" s="738"/>
      <c r="L35" s="738"/>
      <c r="M35" s="738"/>
      <c r="N35" s="738"/>
    </row>
    <row r="36" spans="9:14" ht="15" hidden="1" customHeight="1">
      <c r="I36" s="738"/>
      <c r="J36" s="738"/>
      <c r="K36" s="738"/>
      <c r="L36" s="738"/>
      <c r="M36" s="738"/>
      <c r="N36" s="738"/>
    </row>
    <row r="37" spans="9:14" ht="15" hidden="1" customHeight="1">
      <c r="I37" s="738"/>
      <c r="J37" s="738"/>
      <c r="K37" s="738"/>
      <c r="L37" s="738"/>
      <c r="M37" s="738"/>
      <c r="N37" s="738"/>
    </row>
    <row r="38" spans="9:14" ht="15" hidden="1" customHeight="1">
      <c r="I38" s="738"/>
      <c r="J38" s="738"/>
      <c r="K38" s="738"/>
      <c r="L38" s="738"/>
      <c r="M38" s="738"/>
      <c r="N38" s="738"/>
    </row>
    <row r="39" spans="9:14" ht="15" hidden="1" customHeight="1">
      <c r="I39" s="738"/>
      <c r="J39" s="738"/>
      <c r="K39" s="738"/>
      <c r="L39" s="738"/>
      <c r="M39" s="738"/>
      <c r="N39" s="738"/>
    </row>
    <row r="40" spans="9:14" ht="15" hidden="1" customHeight="1">
      <c r="I40" s="738"/>
      <c r="J40" s="738"/>
      <c r="K40" s="738"/>
      <c r="L40" s="738"/>
      <c r="M40" s="738"/>
      <c r="N40" s="738"/>
    </row>
    <row r="41" spans="9:14" ht="15" hidden="1" customHeight="1">
      <c r="I41" s="738"/>
      <c r="J41" s="738"/>
      <c r="K41" s="738"/>
      <c r="L41" s="738"/>
      <c r="M41" s="738"/>
      <c r="N41" s="738"/>
    </row>
  </sheetData>
  <protectedRanges>
    <protectedRange sqref="C2:E2" name="Plage1"/>
  </protectedRanges>
  <mergeCells count="2">
    <mergeCell ref="I26:N41"/>
    <mergeCell ref="C2:E2"/>
  </mergeCells>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rgb="FF92D050"/>
  </sheetPr>
  <dimension ref="A1:P48"/>
  <sheetViews>
    <sheetView workbookViewId="0">
      <selection activeCell="I3" sqref="I3"/>
    </sheetView>
  </sheetViews>
  <sheetFormatPr baseColWidth="10" defaultColWidth="0" defaultRowHeight="15" customHeight="1" zeroHeight="1"/>
  <cols>
    <col min="1" max="7" width="11.36328125" style="36" customWidth="1"/>
    <col min="8" max="8" width="13.36328125" style="36" customWidth="1"/>
    <col min="9" max="10" width="11.36328125" style="36" customWidth="1"/>
    <col min="11" max="11" width="10.08984375" style="36" customWidth="1"/>
    <col min="12" max="12" width="11.36328125" hidden="1" customWidth="1"/>
    <col min="13" max="13" width="21" hidden="1" customWidth="1"/>
    <col min="14" max="16" width="10.81640625" hidden="1" customWidth="1"/>
    <col min="17" max="16384" width="11.36328125" hidden="1"/>
  </cols>
  <sheetData>
    <row r="1" spans="2:14" ht="14.5"/>
    <row r="2" spans="2:14" ht="14.5">
      <c r="B2" s="102" t="s">
        <v>0</v>
      </c>
      <c r="C2" s="742">
        <f>Site!C2</f>
        <v>0</v>
      </c>
      <c r="D2" s="742"/>
      <c r="E2" s="742"/>
    </row>
    <row r="3" spans="2:14" ht="14.5">
      <c r="M3" s="166" t="s">
        <v>19</v>
      </c>
      <c r="N3" s="532" t="s" vm="4">
        <v>855</v>
      </c>
    </row>
    <row r="4" spans="2:14" ht="14.5"/>
    <row r="5" spans="2:14" ht="14.5">
      <c r="M5" s="166" t="s">
        <v>64</v>
      </c>
      <c r="N5" t="s">
        <v>865</v>
      </c>
    </row>
    <row r="6" spans="2:14" ht="14.5">
      <c r="M6" s="85" t="s">
        <v>899</v>
      </c>
      <c r="N6" s="536">
        <v>275.31256109481802</v>
      </c>
    </row>
    <row r="7" spans="2:14" ht="14.5">
      <c r="M7" s="85" t="s">
        <v>86</v>
      </c>
      <c r="N7" s="536">
        <v>275.31256109481802</v>
      </c>
    </row>
    <row r="8" spans="2:14" ht="14.5"/>
    <row r="9" spans="2:14" ht="14.5"/>
    <row r="10" spans="2:14" ht="14.5"/>
    <row r="11" spans="2:14" ht="14.5"/>
    <row r="12" spans="2:14" ht="14.5"/>
    <row r="13" spans="2:14" ht="14.5"/>
    <row r="14" spans="2:14" ht="14.5"/>
    <row r="15" spans="2:14" ht="14.5"/>
    <row r="16" spans="2:14" ht="14.5"/>
    <row r="17" spans="1:12" ht="14.5"/>
    <row r="18" spans="1:12" ht="14.5"/>
    <row r="19" spans="1:12" ht="14.5">
      <c r="I19" s="743" t="s">
        <v>883</v>
      </c>
      <c r="J19" s="744"/>
      <c r="K19" s="744"/>
    </row>
    <row r="20" spans="1:12" ht="31" customHeight="1">
      <c r="I20" s="744"/>
      <c r="J20" s="744"/>
      <c r="K20" s="744"/>
    </row>
    <row r="21" spans="1:12" s="454" customFormat="1" ht="14.5">
      <c r="A21" s="36"/>
      <c r="B21" s="36"/>
      <c r="C21" s="36"/>
      <c r="D21" s="36"/>
      <c r="E21" s="36"/>
      <c r="F21" s="36"/>
      <c r="G21" s="36"/>
      <c r="H21" s="36"/>
      <c r="I21" s="455"/>
      <c r="J21" s="455"/>
      <c r="K21" s="455"/>
    </row>
    <row r="22" spans="1:12" ht="14.5">
      <c r="I22" s="114" t="s">
        <v>89</v>
      </c>
    </row>
    <row r="23" spans="1:12" ht="14.5">
      <c r="I23" s="104" t="s">
        <v>850</v>
      </c>
      <c r="J23" s="36" t="str" cm="1" vm="12">
        <f t="array" ref="J23">CUBERANKEDMEMBER("ThisWorkbookDataModel",Segment_Nom,1)</f>
        <v>Gaz général</v>
      </c>
    </row>
    <row r="24" spans="1:12" ht="14.5">
      <c r="I24" s="104" t="s">
        <v>851</v>
      </c>
      <c r="J24" s="36" t="e">
        <f>VLOOKUP($J$23,Site!$C$38:$H$45,ROW(I24)-ROW($I$23)+1,0)</f>
        <v>#N/A</v>
      </c>
    </row>
    <row r="25" spans="1:12" ht="14.5">
      <c r="I25" s="104" t="s">
        <v>852</v>
      </c>
      <c r="J25" s="36" t="e">
        <f>VLOOKUP($J$23,Site!$C$38:$H$45,ROW(I25)-ROW($I$23)+1,0)</f>
        <v>#N/A</v>
      </c>
    </row>
    <row r="26" spans="1:12" ht="14.5">
      <c r="I26" s="104" t="s">
        <v>853</v>
      </c>
      <c r="J26" s="36" t="e">
        <f>VLOOKUP($J$23,Site!$C$38:$H$45,ROW(I26)-ROW($I$23)+1,0)</f>
        <v>#N/A</v>
      </c>
    </row>
    <row r="27" spans="1:12" ht="14.5">
      <c r="I27" s="104" t="s">
        <v>854</v>
      </c>
      <c r="J27" s="36" t="e">
        <f>VLOOKUP($J$23,Site!$C$38:$H$45,ROW(I27)-ROW($I$23)+1,0)</f>
        <v>#N/A</v>
      </c>
      <c r="K27" s="113"/>
      <c r="L27" s="113"/>
    </row>
    <row r="28" spans="1:12" ht="14.5">
      <c r="I28"/>
      <c r="K28" s="113"/>
      <c r="L28" s="113"/>
    </row>
    <row r="29" spans="1:12" ht="14.5">
      <c r="I29" s="113"/>
      <c r="J29" s="113"/>
      <c r="K29" s="113"/>
      <c r="L29" s="113"/>
    </row>
    <row r="30" spans="1:12" ht="14.5">
      <c r="I30" s="113"/>
      <c r="J30" s="113"/>
      <c r="K30" s="113"/>
      <c r="L30" s="113"/>
    </row>
    <row r="31" spans="1:12" ht="14.5">
      <c r="I31" s="113"/>
      <c r="J31" s="113"/>
      <c r="K31" s="113"/>
      <c r="L31" s="113"/>
    </row>
    <row r="32" spans="1:12" ht="14.5">
      <c r="I32" s="113"/>
      <c r="J32" s="113"/>
      <c r="K32" s="113"/>
      <c r="L32" s="113"/>
    </row>
    <row r="33" spans="9:12" ht="14.5" hidden="1">
      <c r="I33" s="113"/>
      <c r="J33" s="113"/>
      <c r="K33" s="113"/>
      <c r="L33" s="113"/>
    </row>
    <row r="34" spans="9:12" ht="14.5" hidden="1">
      <c r="I34" s="113"/>
      <c r="J34" s="113"/>
      <c r="K34" s="113"/>
      <c r="L34" s="113"/>
    </row>
    <row r="35" spans="9:12" ht="14.5" hidden="1">
      <c r="I35" s="113"/>
      <c r="J35" s="113"/>
      <c r="K35" s="113"/>
      <c r="L35" s="113"/>
    </row>
    <row r="36" spans="9:12" ht="14.5" hidden="1">
      <c r="I36" s="113"/>
      <c r="J36" s="113"/>
      <c r="K36" s="113"/>
      <c r="L36" s="113"/>
    </row>
    <row r="37" spans="9:12" ht="14.5" hidden="1">
      <c r="I37" s="113"/>
      <c r="J37" s="113"/>
      <c r="K37" s="113"/>
      <c r="L37" s="113"/>
    </row>
    <row r="38" spans="9:12" ht="14.5" hidden="1">
      <c r="I38" s="113"/>
      <c r="J38" s="113"/>
      <c r="K38" s="113"/>
      <c r="L38" s="113"/>
    </row>
    <row r="39" spans="9:12" ht="14.5" hidden="1">
      <c r="I39" s="113"/>
      <c r="J39" s="113"/>
      <c r="K39" s="113"/>
      <c r="L39" s="113"/>
    </row>
    <row r="40" spans="9:12" ht="14.5" hidden="1">
      <c r="I40" s="113"/>
      <c r="J40" s="113"/>
      <c r="K40" s="113"/>
      <c r="L40" s="113"/>
    </row>
    <row r="47" spans="9:12" ht="15" customHeight="1"/>
    <row r="48" spans="9:12" ht="15" customHeight="1"/>
  </sheetData>
  <sheetProtection sheet="1" pivotTables="0"/>
  <protectedRanges>
    <protectedRange sqref="C2:E2" name="Plage1"/>
  </protectedRanges>
  <mergeCells count="2">
    <mergeCell ref="C2:E2"/>
    <mergeCell ref="I19:K20"/>
  </mergeCells>
  <pageMargins left="0.7" right="0.7" top="0.75" bottom="0.75" header="0.3" footer="0.3"/>
  <pageSetup paperSize="9" orientation="landscape"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rgb="FF7030A0"/>
  </sheetPr>
  <dimension ref="A1:K33"/>
  <sheetViews>
    <sheetView zoomScale="115" zoomScaleNormal="115" workbookViewId="0">
      <selection activeCell="I2" sqref="I2"/>
    </sheetView>
  </sheetViews>
  <sheetFormatPr baseColWidth="10" defaultColWidth="0" defaultRowHeight="14.5" zeroHeight="1"/>
  <cols>
    <col min="1" max="11" width="11.36328125" customWidth="1"/>
    <col min="12" max="16384" width="11.36328125" hidden="1"/>
  </cols>
  <sheetData>
    <row r="1" spans="1:11">
      <c r="A1" s="36"/>
      <c r="B1" s="745"/>
      <c r="C1" s="745"/>
      <c r="D1" s="745"/>
      <c r="E1" s="745"/>
      <c r="F1" s="745"/>
      <c r="G1" s="745"/>
      <c r="H1" s="36"/>
      <c r="I1" s="36"/>
      <c r="J1" s="36"/>
      <c r="K1" s="36"/>
    </row>
    <row r="2" spans="1:11">
      <c r="A2" s="36"/>
      <c r="B2" s="745"/>
      <c r="C2" s="745"/>
      <c r="D2" s="745"/>
      <c r="E2" s="745"/>
      <c r="F2" s="745"/>
      <c r="G2" s="745"/>
      <c r="H2" s="36"/>
      <c r="I2" s="36"/>
      <c r="J2" s="36"/>
      <c r="K2" s="36"/>
    </row>
    <row r="3" spans="1:11">
      <c r="A3" s="36"/>
      <c r="B3" s="102" t="s">
        <v>0</v>
      </c>
      <c r="C3" s="730">
        <f>Site!C2</f>
        <v>0</v>
      </c>
      <c r="D3" s="730"/>
      <c r="E3" s="730"/>
      <c r="F3" s="36"/>
      <c r="G3" s="36"/>
      <c r="H3" s="36"/>
      <c r="I3" s="36"/>
      <c r="J3" s="36"/>
      <c r="K3" s="36"/>
    </row>
    <row r="4" spans="1:11">
      <c r="A4" s="36"/>
      <c r="B4" s="102" t="s">
        <v>53</v>
      </c>
      <c r="C4" s="36">
        <f>Controle_des_données!A40</f>
        <v>0</v>
      </c>
      <c r="D4" s="36"/>
      <c r="E4" s="36"/>
      <c r="F4" s="36"/>
      <c r="G4" s="36"/>
      <c r="H4" s="36"/>
      <c r="I4" s="36"/>
      <c r="J4" s="36"/>
      <c r="K4" s="36"/>
    </row>
    <row r="5" spans="1:11">
      <c r="A5" s="36"/>
      <c r="B5" s="36"/>
      <c r="C5" s="36"/>
      <c r="D5" s="36"/>
      <c r="E5" s="36"/>
      <c r="F5" s="36"/>
      <c r="G5" s="36"/>
      <c r="H5" s="36"/>
      <c r="I5" s="36"/>
      <c r="J5" s="36"/>
      <c r="K5" s="36"/>
    </row>
    <row r="6" spans="1:11">
      <c r="A6" s="36"/>
      <c r="B6" s="36"/>
      <c r="C6" s="36"/>
      <c r="D6" s="36"/>
      <c r="E6" s="36"/>
      <c r="F6" s="36"/>
      <c r="G6" s="36"/>
      <c r="H6" s="36"/>
      <c r="I6" s="36"/>
      <c r="J6" s="36"/>
      <c r="K6" s="36"/>
    </row>
    <row r="7" spans="1:11">
      <c r="A7" s="36"/>
      <c r="B7" s="36"/>
      <c r="C7" s="36"/>
      <c r="D7" s="36"/>
      <c r="E7" s="36"/>
      <c r="F7" s="36"/>
      <c r="G7" s="36"/>
      <c r="H7" s="36"/>
      <c r="I7" s="36"/>
      <c r="J7" s="36"/>
      <c r="K7" s="36"/>
    </row>
    <row r="8" spans="1:11">
      <c r="A8" s="36"/>
      <c r="B8" s="36"/>
      <c r="C8" s="36"/>
      <c r="D8" s="36"/>
      <c r="E8" s="36"/>
      <c r="F8" s="36"/>
      <c r="G8" s="36"/>
      <c r="H8" s="36"/>
      <c r="I8" s="36"/>
      <c r="J8" s="36"/>
      <c r="K8" s="36"/>
    </row>
    <row r="9" spans="1:11">
      <c r="A9" s="36"/>
      <c r="B9" s="36"/>
      <c r="C9" s="36"/>
      <c r="D9" s="36"/>
      <c r="E9" s="36"/>
      <c r="F9" s="36"/>
      <c r="G9" s="36"/>
      <c r="H9" s="36"/>
      <c r="I9" s="36"/>
      <c r="J9" s="36"/>
      <c r="K9" s="36"/>
    </row>
    <row r="10" spans="1:11">
      <c r="A10" s="36"/>
      <c r="B10" s="36"/>
      <c r="C10" s="36"/>
      <c r="D10" s="36"/>
      <c r="E10" s="36"/>
      <c r="F10" s="36"/>
      <c r="G10" s="36"/>
      <c r="H10" s="36"/>
      <c r="I10" s="36"/>
      <c r="J10" s="36"/>
      <c r="K10" s="36"/>
    </row>
    <row r="11" spans="1:11">
      <c r="A11" s="36"/>
      <c r="B11" s="36"/>
      <c r="C11" s="36"/>
      <c r="D11" s="36"/>
      <c r="E11" s="36"/>
      <c r="F11" s="36"/>
      <c r="G11" s="36"/>
      <c r="H11" s="36"/>
      <c r="I11" s="36"/>
      <c r="J11" s="36"/>
      <c r="K11" s="36"/>
    </row>
    <row r="12" spans="1:11">
      <c r="A12" s="36"/>
      <c r="B12" s="36"/>
      <c r="C12" s="36"/>
      <c r="D12" s="36"/>
      <c r="E12" s="36"/>
      <c r="F12" s="36"/>
      <c r="G12" s="36"/>
      <c r="H12" s="36"/>
      <c r="I12" s="36"/>
      <c r="J12" s="36"/>
      <c r="K12" s="36"/>
    </row>
    <row r="13" spans="1:11">
      <c r="A13" s="36"/>
      <c r="B13" s="36"/>
      <c r="C13" s="36"/>
      <c r="D13" s="36"/>
      <c r="E13" s="36"/>
      <c r="F13" s="36"/>
      <c r="G13" s="36"/>
      <c r="H13" s="36"/>
      <c r="I13" s="36"/>
      <c r="J13" s="36"/>
      <c r="K13" s="36"/>
    </row>
    <row r="14" spans="1:11">
      <c r="A14" s="36"/>
      <c r="B14" s="36"/>
      <c r="C14" s="36"/>
      <c r="D14" s="36"/>
      <c r="E14" s="36"/>
      <c r="F14" s="36"/>
      <c r="G14" s="36"/>
      <c r="H14" s="36"/>
      <c r="I14" s="36"/>
      <c r="J14" s="36"/>
      <c r="K14" s="36"/>
    </row>
    <row r="15" spans="1:11">
      <c r="A15" s="36"/>
      <c r="B15" s="36"/>
      <c r="C15" s="36"/>
      <c r="D15" s="36"/>
      <c r="E15" s="36"/>
      <c r="F15" s="36"/>
      <c r="G15" s="36"/>
      <c r="H15" s="36"/>
      <c r="I15" s="36"/>
      <c r="J15" s="36"/>
      <c r="K15" s="36"/>
    </row>
    <row r="16" spans="1:11">
      <c r="A16" s="36"/>
      <c r="B16" s="36"/>
      <c r="C16" s="36"/>
      <c r="D16" s="36"/>
      <c r="E16" s="36"/>
      <c r="F16" s="36"/>
      <c r="G16" s="36"/>
      <c r="H16" s="36"/>
      <c r="I16" s="36"/>
      <c r="J16" s="36"/>
      <c r="K16" s="36"/>
    </row>
    <row r="17" spans="1:11">
      <c r="A17" s="36"/>
      <c r="B17" s="36"/>
      <c r="C17" s="36"/>
      <c r="D17" s="36"/>
      <c r="E17" s="36"/>
      <c r="F17" s="36"/>
      <c r="G17" s="36"/>
      <c r="H17" s="36"/>
      <c r="I17" s="36"/>
      <c r="J17" s="36"/>
      <c r="K17" s="36"/>
    </row>
    <row r="18" spans="1:11">
      <c r="A18" s="36"/>
      <c r="B18" s="36"/>
      <c r="C18" s="36"/>
      <c r="D18" s="36"/>
      <c r="E18" s="36"/>
      <c r="F18" s="36"/>
      <c r="G18" s="36"/>
      <c r="H18" s="36"/>
      <c r="I18" s="36"/>
      <c r="J18" s="36"/>
      <c r="K18" s="36"/>
    </row>
    <row r="19" spans="1:11">
      <c r="A19" s="36"/>
      <c r="B19" s="36"/>
      <c r="C19" s="36"/>
      <c r="D19" s="36"/>
      <c r="E19" s="36"/>
      <c r="F19" s="36"/>
      <c r="G19" s="36"/>
      <c r="H19" s="36"/>
      <c r="I19" s="36"/>
      <c r="J19" s="36"/>
      <c r="K19" s="36"/>
    </row>
    <row r="20" spans="1:11">
      <c r="A20" s="36"/>
      <c r="B20" s="36"/>
      <c r="C20" s="36"/>
      <c r="D20" s="36"/>
      <c r="E20" s="36"/>
      <c r="F20" s="36"/>
      <c r="G20" s="36"/>
      <c r="H20" s="36"/>
      <c r="I20" s="36"/>
      <c r="J20" s="36"/>
      <c r="K20" s="36"/>
    </row>
    <row r="21" spans="1:11">
      <c r="A21" s="36"/>
      <c r="B21" s="36"/>
      <c r="C21" s="36"/>
      <c r="D21" s="36"/>
      <c r="E21" s="36"/>
      <c r="F21" s="36"/>
      <c r="G21" s="36"/>
      <c r="H21" s="36"/>
      <c r="I21" s="36"/>
      <c r="J21" s="36"/>
      <c r="K21" s="36"/>
    </row>
    <row r="22" spans="1:11">
      <c r="A22" s="36"/>
      <c r="B22" s="36"/>
      <c r="C22" s="36"/>
      <c r="D22" s="36"/>
      <c r="E22" s="36"/>
      <c r="F22" s="36"/>
      <c r="G22" s="36"/>
      <c r="H22" s="36"/>
      <c r="I22" s="36"/>
      <c r="J22" s="36"/>
      <c r="K22" s="36"/>
    </row>
    <row r="23" spans="1:11">
      <c r="A23" s="36"/>
      <c r="B23" s="36"/>
      <c r="C23" s="36"/>
      <c r="D23" s="36"/>
      <c r="E23" s="36"/>
      <c r="F23" s="36"/>
      <c r="G23" s="36"/>
      <c r="H23" s="36"/>
      <c r="I23" s="36"/>
      <c r="J23" s="36"/>
      <c r="K23" s="36"/>
    </row>
    <row r="24" spans="1:11">
      <c r="A24" s="36"/>
      <c r="B24" s="36"/>
      <c r="C24" s="36"/>
      <c r="D24" s="36"/>
      <c r="E24" s="36"/>
      <c r="F24" s="36"/>
      <c r="G24" s="36"/>
      <c r="H24" s="36"/>
      <c r="I24" s="36"/>
      <c r="J24" s="36"/>
      <c r="K24" s="36"/>
    </row>
    <row r="25" spans="1:11">
      <c r="A25" s="36"/>
      <c r="B25" s="36"/>
      <c r="C25" s="36"/>
      <c r="D25" s="36"/>
      <c r="E25" s="36"/>
      <c r="F25" s="36"/>
      <c r="G25" s="36"/>
      <c r="H25" s="36"/>
      <c r="I25" s="36"/>
      <c r="J25" s="36"/>
      <c r="K25" s="36"/>
    </row>
    <row r="26" spans="1:11">
      <c r="A26" s="36"/>
      <c r="B26" s="36"/>
      <c r="C26" s="36"/>
      <c r="D26" s="36"/>
      <c r="E26" s="36"/>
      <c r="F26" s="36"/>
      <c r="G26" s="36"/>
      <c r="H26" s="36"/>
      <c r="I26" s="36"/>
      <c r="J26" s="36"/>
      <c r="K26" s="36"/>
    </row>
    <row r="27" spans="1:11">
      <c r="A27" s="36"/>
      <c r="B27" s="36"/>
      <c r="C27" s="36"/>
      <c r="D27" s="36"/>
      <c r="E27" s="36"/>
      <c r="F27" s="36"/>
      <c r="G27" s="36"/>
      <c r="H27" s="36"/>
      <c r="I27" s="36"/>
      <c r="J27" s="36"/>
      <c r="K27" s="36"/>
    </row>
    <row r="28" spans="1:11">
      <c r="A28" s="36"/>
      <c r="B28" s="36"/>
      <c r="C28" s="36"/>
      <c r="D28" s="36"/>
      <c r="E28" s="36"/>
      <c r="F28" s="36"/>
      <c r="G28" s="36"/>
      <c r="H28" s="36"/>
      <c r="I28" s="36"/>
      <c r="J28" s="36"/>
      <c r="K28" s="36"/>
    </row>
    <row r="29" spans="1:11">
      <c r="A29" s="36"/>
      <c r="B29" s="36"/>
      <c r="C29" s="36"/>
      <c r="D29" s="36"/>
      <c r="E29" s="36"/>
      <c r="F29" s="36"/>
      <c r="G29" s="36"/>
      <c r="H29" s="36"/>
      <c r="I29" s="36"/>
      <c r="J29" s="36"/>
      <c r="K29" s="36"/>
    </row>
    <row r="30" spans="1:11">
      <c r="A30" s="36"/>
      <c r="B30" s="36"/>
      <c r="C30" s="36"/>
      <c r="D30" s="36"/>
      <c r="E30" s="36"/>
      <c r="F30" s="36"/>
      <c r="G30" s="36"/>
      <c r="H30" s="36"/>
      <c r="I30" s="36"/>
      <c r="J30" s="36"/>
      <c r="K30" s="36"/>
    </row>
    <row r="31" spans="1:11">
      <c r="A31" s="36"/>
      <c r="B31" s="36"/>
      <c r="C31" s="36"/>
      <c r="D31" s="36"/>
      <c r="E31" s="36"/>
      <c r="F31" s="36"/>
      <c r="G31" s="36"/>
      <c r="H31" s="36"/>
      <c r="I31" s="36"/>
      <c r="J31" s="36"/>
      <c r="K31" s="36"/>
    </row>
    <row r="32" spans="1:11">
      <c r="A32" s="36"/>
      <c r="B32" s="36"/>
      <c r="C32" s="36"/>
      <c r="D32" s="36"/>
      <c r="E32" s="36"/>
      <c r="F32" s="36"/>
      <c r="G32" s="36"/>
      <c r="H32" s="36"/>
      <c r="I32" s="36"/>
      <c r="J32" s="36"/>
      <c r="K32" s="36"/>
    </row>
    <row r="33" spans="1:11">
      <c r="A33" s="76" t="s">
        <v>88</v>
      </c>
      <c r="B33" s="36"/>
      <c r="C33" s="36"/>
      <c r="D33" s="36"/>
      <c r="E33" s="36"/>
      <c r="F33" s="36"/>
      <c r="G33" s="36"/>
      <c r="H33" s="36"/>
      <c r="I33" s="36"/>
      <c r="J33" s="36"/>
      <c r="K33" s="36"/>
    </row>
  </sheetData>
  <sheetProtection pivotTables="0"/>
  <protectedRanges>
    <protectedRange sqref="C3:E3" name="Plage1"/>
  </protectedRanges>
  <mergeCells count="2">
    <mergeCell ref="B1:G2"/>
    <mergeCell ref="C3:E3"/>
  </mergeCells>
  <pageMargins left="0.7" right="0.7" top="0.75" bottom="0.75" header="0.3" footer="0.3"/>
  <pageSetup paperSize="9" orientation="landscape" r:id="rId1"/>
  <drawing r:id="rId2"/>
  <extLst>
    <ext xmlns:x15="http://schemas.microsoft.com/office/spreadsheetml/2010/11/main" uri="{7E03D99C-DC04-49d9-9315-930204A7B6E9}">
      <x15:timelineRefs>
        <x15:timelineRef r:id="rId3"/>
      </x15:timelineRef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dimension ref="A1:Q247"/>
  <sheetViews>
    <sheetView workbookViewId="0"/>
  </sheetViews>
  <sheetFormatPr baseColWidth="10" defaultColWidth="11.36328125" defaultRowHeight="14.5"/>
  <cols>
    <col min="1" max="1" width="105.6328125" style="250" bestFit="1" customWidth="1"/>
    <col min="2" max="16384" width="11.36328125" style="250"/>
  </cols>
  <sheetData>
    <row r="1" spans="1:17" ht="27" thickTop="1" thickBot="1">
      <c r="B1" s="301" t="s">
        <v>245</v>
      </c>
      <c r="C1" s="693" t="s">
        <v>686</v>
      </c>
      <c r="D1" s="694"/>
      <c r="E1" s="694"/>
      <c r="F1" s="694"/>
      <c r="G1" s="694"/>
      <c r="H1" s="694"/>
      <c r="I1" s="694"/>
      <c r="J1" s="694"/>
      <c r="K1" s="694"/>
      <c r="L1" s="694"/>
      <c r="M1" s="694"/>
      <c r="N1" s="694"/>
      <c r="O1" s="695"/>
    </row>
    <row r="2" spans="1:17" ht="26.5" thickBot="1">
      <c r="B2" s="302" t="s">
        <v>687</v>
      </c>
      <c r="C2" s="86" t="s">
        <v>143</v>
      </c>
      <c r="D2" s="86" t="s">
        <v>160</v>
      </c>
      <c r="E2" s="86" t="s">
        <v>172</v>
      </c>
      <c r="F2" s="86" t="s">
        <v>178</v>
      </c>
      <c r="G2" s="86" t="s">
        <v>183</v>
      </c>
      <c r="H2" s="86" t="s">
        <v>188</v>
      </c>
      <c r="I2" s="86" t="s">
        <v>191</v>
      </c>
      <c r="J2" s="86" t="s">
        <v>193</v>
      </c>
      <c r="K2" s="86" t="s">
        <v>688</v>
      </c>
      <c r="L2" s="86" t="s">
        <v>689</v>
      </c>
      <c r="M2" s="86" t="s">
        <v>690</v>
      </c>
      <c r="N2" s="86" t="s">
        <v>691</v>
      </c>
      <c r="O2" s="86" t="s">
        <v>692</v>
      </c>
      <c r="P2" s="86"/>
      <c r="Q2" s="86"/>
    </row>
    <row r="3" spans="1:17" ht="26">
      <c r="A3" s="30" t="s">
        <v>582</v>
      </c>
      <c r="B3" s="303" t="s">
        <v>144</v>
      </c>
      <c r="C3" s="304">
        <v>57</v>
      </c>
      <c r="D3" s="304">
        <v>66</v>
      </c>
      <c r="E3" s="304">
        <v>62</v>
      </c>
      <c r="F3" s="304">
        <v>57</v>
      </c>
      <c r="G3" s="304">
        <v>50</v>
      </c>
      <c r="H3" s="304">
        <v>56</v>
      </c>
      <c r="I3" s="304">
        <v>63</v>
      </c>
      <c r="J3" s="304">
        <v>40</v>
      </c>
      <c r="K3" s="305" t="s">
        <v>693</v>
      </c>
      <c r="L3" s="305" t="s">
        <v>693</v>
      </c>
      <c r="M3" s="305" t="s">
        <v>693</v>
      </c>
      <c r="N3" s="305" t="s">
        <v>693</v>
      </c>
      <c r="O3" s="306" t="s">
        <v>694</v>
      </c>
    </row>
    <row r="4" spans="1:17" ht="26">
      <c r="A4" s="30" t="s">
        <v>582</v>
      </c>
      <c r="B4" s="307" t="s">
        <v>161</v>
      </c>
      <c r="C4" s="308">
        <v>68</v>
      </c>
      <c r="D4" s="308">
        <v>77</v>
      </c>
      <c r="E4" s="308">
        <v>71</v>
      </c>
      <c r="F4" s="309"/>
      <c r="G4" s="308">
        <v>61</v>
      </c>
      <c r="H4" s="308">
        <v>64</v>
      </c>
      <c r="I4" s="308">
        <v>66</v>
      </c>
      <c r="J4" s="308">
        <v>44</v>
      </c>
      <c r="K4" s="310" t="s">
        <v>693</v>
      </c>
      <c r="L4" s="310" t="s">
        <v>693</v>
      </c>
      <c r="M4" s="310" t="s">
        <v>693</v>
      </c>
      <c r="N4" s="311"/>
      <c r="O4" s="312" t="s">
        <v>693</v>
      </c>
    </row>
    <row r="5" spans="1:17" ht="26">
      <c r="A5" s="30" t="s">
        <v>582</v>
      </c>
      <c r="B5" s="307" t="s">
        <v>173</v>
      </c>
      <c r="C5" s="311"/>
      <c r="D5" s="308">
        <v>90</v>
      </c>
      <c r="E5" s="308">
        <v>81</v>
      </c>
      <c r="F5" s="309"/>
      <c r="G5" s="309"/>
      <c r="H5" s="308">
        <v>75</v>
      </c>
      <c r="I5" s="308">
        <v>68</v>
      </c>
      <c r="J5" s="308">
        <v>54</v>
      </c>
      <c r="K5" s="311"/>
      <c r="L5" s="311"/>
      <c r="M5" s="310" t="s">
        <v>693</v>
      </c>
      <c r="N5" s="311"/>
      <c r="O5" s="312" t="s">
        <v>693</v>
      </c>
    </row>
    <row r="6" spans="1:17" ht="26">
      <c r="A6" s="30" t="s">
        <v>582</v>
      </c>
      <c r="B6" s="307" t="s">
        <v>179</v>
      </c>
      <c r="C6" s="311"/>
      <c r="D6" s="308">
        <v>125</v>
      </c>
      <c r="E6" s="308">
        <v>115</v>
      </c>
      <c r="F6" s="309"/>
      <c r="G6" s="309"/>
      <c r="H6" s="308">
        <v>109</v>
      </c>
      <c r="I6" s="308">
        <v>99</v>
      </c>
      <c r="J6" s="308">
        <v>84</v>
      </c>
      <c r="K6" s="311"/>
      <c r="L6" s="311"/>
      <c r="M6" s="311"/>
      <c r="N6" s="311"/>
      <c r="O6" s="312" t="s">
        <v>693</v>
      </c>
    </row>
    <row r="7" spans="1:17" ht="26">
      <c r="A7" s="30" t="s">
        <v>582</v>
      </c>
      <c r="B7" s="307" t="s">
        <v>184</v>
      </c>
      <c r="C7" s="311"/>
      <c r="D7" s="309"/>
      <c r="E7" s="308">
        <v>133</v>
      </c>
      <c r="F7" s="309"/>
      <c r="G7" s="309"/>
      <c r="H7" s="308">
        <v>117</v>
      </c>
      <c r="I7" s="308">
        <v>107</v>
      </c>
      <c r="J7" s="308">
        <v>92</v>
      </c>
      <c r="K7" s="311"/>
      <c r="L7" s="311"/>
      <c r="M7" s="311"/>
      <c r="N7" s="311"/>
      <c r="O7" s="313"/>
    </row>
    <row r="8" spans="1:17" ht="26">
      <c r="A8" s="30" t="s">
        <v>586</v>
      </c>
      <c r="B8" s="307" t="s">
        <v>144</v>
      </c>
      <c r="C8" s="314">
        <v>57</v>
      </c>
      <c r="D8" s="314">
        <v>66</v>
      </c>
      <c r="E8" s="314">
        <v>62</v>
      </c>
      <c r="F8" s="314">
        <v>57</v>
      </c>
      <c r="G8" s="314">
        <v>50</v>
      </c>
      <c r="H8" s="314">
        <v>56</v>
      </c>
      <c r="I8" s="314">
        <v>63</v>
      </c>
      <c r="J8" s="314">
        <v>40</v>
      </c>
      <c r="K8" s="315">
        <v>47</v>
      </c>
      <c r="L8" s="315">
        <v>54</v>
      </c>
      <c r="M8" s="315">
        <v>55</v>
      </c>
      <c r="N8" s="315">
        <v>27</v>
      </c>
      <c r="O8" s="316">
        <v>56</v>
      </c>
    </row>
    <row r="9" spans="1:17" ht="26">
      <c r="A9" s="30" t="s">
        <v>586</v>
      </c>
      <c r="B9" s="307" t="s">
        <v>161</v>
      </c>
      <c r="C9" s="314">
        <v>68</v>
      </c>
      <c r="D9" s="314">
        <v>77</v>
      </c>
      <c r="E9" s="314">
        <v>71</v>
      </c>
      <c r="F9" s="317"/>
      <c r="G9" s="314">
        <v>61</v>
      </c>
      <c r="H9" s="314">
        <v>64</v>
      </c>
      <c r="I9" s="314">
        <v>66</v>
      </c>
      <c r="J9" s="314">
        <v>44</v>
      </c>
      <c r="K9" s="315">
        <v>29</v>
      </c>
      <c r="L9" s="315">
        <v>37</v>
      </c>
      <c r="M9" s="315"/>
      <c r="N9" s="318"/>
      <c r="O9" s="316"/>
    </row>
    <row r="10" spans="1:17" ht="26">
      <c r="A10" s="30" t="s">
        <v>586</v>
      </c>
      <c r="B10" s="307" t="s">
        <v>173</v>
      </c>
      <c r="C10" s="318"/>
      <c r="D10" s="314">
        <v>90</v>
      </c>
      <c r="E10" s="314">
        <v>81</v>
      </c>
      <c r="F10" s="317"/>
      <c r="G10" s="317"/>
      <c r="H10" s="314">
        <v>75</v>
      </c>
      <c r="I10" s="314">
        <v>68</v>
      </c>
      <c r="J10" s="314">
        <v>54</v>
      </c>
      <c r="K10" s="318"/>
      <c r="L10" s="318"/>
      <c r="M10" s="315"/>
      <c r="N10" s="318">
        <v>28</v>
      </c>
      <c r="O10" s="316"/>
    </row>
    <row r="11" spans="1:17" ht="26">
      <c r="A11" s="30" t="s">
        <v>586</v>
      </c>
      <c r="B11" s="307" t="s">
        <v>179</v>
      </c>
      <c r="C11" s="318"/>
      <c r="D11" s="314">
        <v>125</v>
      </c>
      <c r="E11" s="314">
        <v>115</v>
      </c>
      <c r="F11" s="317"/>
      <c r="G11" s="317"/>
      <c r="H11" s="314">
        <v>109</v>
      </c>
      <c r="I11" s="314">
        <v>99</v>
      </c>
      <c r="J11" s="314">
        <v>84</v>
      </c>
      <c r="K11" s="318"/>
      <c r="L11" s="318"/>
      <c r="M11" s="318"/>
      <c r="N11" s="318">
        <v>49</v>
      </c>
      <c r="O11" s="316"/>
    </row>
    <row r="12" spans="1:17" ht="26">
      <c r="A12" s="30" t="s">
        <v>586</v>
      </c>
      <c r="B12" s="307" t="s">
        <v>184</v>
      </c>
      <c r="C12" s="318"/>
      <c r="D12" s="317"/>
      <c r="E12" s="314">
        <v>133</v>
      </c>
      <c r="F12" s="317"/>
      <c r="G12" s="317"/>
      <c r="H12" s="314">
        <v>117</v>
      </c>
      <c r="I12" s="314">
        <v>107</v>
      </c>
      <c r="J12" s="314">
        <v>92</v>
      </c>
      <c r="K12" s="318"/>
      <c r="L12" s="318"/>
      <c r="M12" s="318"/>
      <c r="N12" s="318"/>
      <c r="O12" s="316"/>
    </row>
    <row r="13" spans="1:17" ht="26">
      <c r="A13" s="30" t="s">
        <v>588</v>
      </c>
      <c r="B13" s="307" t="s">
        <v>144</v>
      </c>
      <c r="C13" s="314">
        <v>57</v>
      </c>
      <c r="D13" s="314">
        <v>66</v>
      </c>
      <c r="E13" s="314">
        <v>62</v>
      </c>
      <c r="F13" s="314">
        <v>57</v>
      </c>
      <c r="G13" s="314">
        <v>50</v>
      </c>
      <c r="H13" s="314">
        <v>56</v>
      </c>
      <c r="I13" s="314">
        <v>63</v>
      </c>
      <c r="J13" s="314">
        <v>40</v>
      </c>
      <c r="K13" s="315">
        <v>47</v>
      </c>
      <c r="L13" s="315">
        <v>54</v>
      </c>
      <c r="M13" s="315">
        <v>55</v>
      </c>
      <c r="N13" s="315">
        <v>27</v>
      </c>
      <c r="O13" s="316">
        <v>56</v>
      </c>
    </row>
    <row r="14" spans="1:17" ht="26">
      <c r="A14" s="30" t="s">
        <v>588</v>
      </c>
      <c r="B14" s="307" t="s">
        <v>161</v>
      </c>
      <c r="C14" s="314">
        <v>68</v>
      </c>
      <c r="D14" s="314">
        <v>77</v>
      </c>
      <c r="E14" s="314">
        <v>71</v>
      </c>
      <c r="F14" s="317"/>
      <c r="G14" s="314">
        <v>61</v>
      </c>
      <c r="H14" s="314">
        <v>64</v>
      </c>
      <c r="I14" s="314">
        <v>66</v>
      </c>
      <c r="J14" s="314">
        <v>44</v>
      </c>
      <c r="K14" s="315">
        <v>29</v>
      </c>
      <c r="L14" s="315">
        <v>37</v>
      </c>
      <c r="M14" s="315"/>
      <c r="N14" s="318"/>
      <c r="O14" s="316"/>
    </row>
    <row r="15" spans="1:17" ht="26">
      <c r="A15" s="30" t="s">
        <v>588</v>
      </c>
      <c r="B15" s="307" t="s">
        <v>173</v>
      </c>
      <c r="C15" s="318"/>
      <c r="D15" s="314">
        <v>90</v>
      </c>
      <c r="E15" s="314">
        <v>81</v>
      </c>
      <c r="F15" s="317"/>
      <c r="G15" s="317"/>
      <c r="H15" s="314">
        <v>75</v>
      </c>
      <c r="I15" s="314">
        <v>68</v>
      </c>
      <c r="J15" s="314">
        <v>54</v>
      </c>
      <c r="K15" s="318"/>
      <c r="L15" s="318"/>
      <c r="M15" s="315"/>
      <c r="N15" s="318">
        <v>28</v>
      </c>
      <c r="O15" s="316"/>
    </row>
    <row r="16" spans="1:17" ht="26">
      <c r="A16" s="30" t="s">
        <v>588</v>
      </c>
      <c r="B16" s="307" t="s">
        <v>179</v>
      </c>
      <c r="C16" s="318"/>
      <c r="D16" s="314">
        <v>125</v>
      </c>
      <c r="E16" s="314">
        <v>115</v>
      </c>
      <c r="F16" s="317"/>
      <c r="G16" s="317"/>
      <c r="H16" s="314">
        <v>109</v>
      </c>
      <c r="I16" s="314">
        <v>99</v>
      </c>
      <c r="J16" s="314">
        <v>84</v>
      </c>
      <c r="K16" s="318"/>
      <c r="L16" s="318"/>
      <c r="M16" s="318"/>
      <c r="N16" s="318">
        <v>49</v>
      </c>
      <c r="O16" s="316"/>
    </row>
    <row r="17" spans="1:15" ht="26">
      <c r="A17" s="30" t="s">
        <v>588</v>
      </c>
      <c r="B17" s="307" t="s">
        <v>184</v>
      </c>
      <c r="C17" s="318"/>
      <c r="D17" s="317"/>
      <c r="E17" s="314">
        <v>133</v>
      </c>
      <c r="F17" s="317"/>
      <c r="G17" s="317"/>
      <c r="H17" s="314">
        <v>117</v>
      </c>
      <c r="I17" s="314">
        <v>107</v>
      </c>
      <c r="J17" s="314">
        <v>92</v>
      </c>
      <c r="K17" s="318"/>
      <c r="L17" s="318"/>
      <c r="M17" s="318"/>
      <c r="N17" s="318"/>
      <c r="O17" s="316"/>
    </row>
    <row r="18" spans="1:15" ht="26">
      <c r="A18" s="30" t="s">
        <v>608</v>
      </c>
      <c r="B18" s="307" t="s">
        <v>144</v>
      </c>
      <c r="C18" s="319">
        <v>66</v>
      </c>
      <c r="D18" s="319">
        <v>71</v>
      </c>
      <c r="E18" s="319">
        <v>64</v>
      </c>
      <c r="F18" s="319">
        <v>60</v>
      </c>
      <c r="G18" s="319">
        <v>62</v>
      </c>
      <c r="H18" s="319">
        <v>54</v>
      </c>
      <c r="I18" s="319">
        <v>54</v>
      </c>
      <c r="J18" s="319">
        <v>46</v>
      </c>
      <c r="K18" s="310">
        <v>35</v>
      </c>
      <c r="L18" s="310">
        <v>39</v>
      </c>
      <c r="M18" s="310">
        <v>40</v>
      </c>
      <c r="N18" s="310">
        <v>24</v>
      </c>
      <c r="O18" s="312">
        <v>40</v>
      </c>
    </row>
    <row r="19" spans="1:15" ht="26">
      <c r="A19" s="30" t="s">
        <v>608</v>
      </c>
      <c r="B19" s="307" t="s">
        <v>161</v>
      </c>
      <c r="C19" s="319">
        <v>80</v>
      </c>
      <c r="D19" s="319">
        <v>86</v>
      </c>
      <c r="E19" s="319">
        <v>76</v>
      </c>
      <c r="F19" s="309"/>
      <c r="G19" s="319">
        <v>74</v>
      </c>
      <c r="H19" s="319">
        <v>66</v>
      </c>
      <c r="I19" s="319">
        <v>64</v>
      </c>
      <c r="J19" s="319">
        <v>54</v>
      </c>
      <c r="K19" s="310">
        <v>25</v>
      </c>
      <c r="L19" s="310">
        <v>29</v>
      </c>
      <c r="M19" s="310"/>
      <c r="N19" s="320"/>
      <c r="O19" s="312"/>
    </row>
    <row r="20" spans="1:15" ht="26">
      <c r="A20" s="30" t="s">
        <v>608</v>
      </c>
      <c r="B20" s="307" t="s">
        <v>173</v>
      </c>
      <c r="C20" s="311"/>
      <c r="D20" s="319">
        <v>102</v>
      </c>
      <c r="E20" s="319">
        <v>90</v>
      </c>
      <c r="F20" s="309"/>
      <c r="G20" s="309"/>
      <c r="H20" s="319">
        <v>79</v>
      </c>
      <c r="I20" s="319">
        <v>74</v>
      </c>
      <c r="J20" s="319">
        <v>65</v>
      </c>
      <c r="K20" s="320"/>
      <c r="L20" s="320"/>
      <c r="M20" s="310"/>
      <c r="N20" s="320">
        <v>41</v>
      </c>
      <c r="O20" s="312"/>
    </row>
    <row r="21" spans="1:15" ht="26">
      <c r="A21" s="30" t="s">
        <v>608</v>
      </c>
      <c r="B21" s="307" t="s">
        <v>179</v>
      </c>
      <c r="C21" s="311"/>
      <c r="D21" s="319">
        <v>112</v>
      </c>
      <c r="E21" s="319">
        <v>109</v>
      </c>
      <c r="F21" s="309"/>
      <c r="G21" s="309"/>
      <c r="H21" s="319">
        <v>96</v>
      </c>
      <c r="I21" s="319">
        <v>90</v>
      </c>
      <c r="J21" s="319">
        <v>80</v>
      </c>
      <c r="K21" s="320"/>
      <c r="L21" s="320"/>
      <c r="M21" s="320"/>
      <c r="N21" s="320">
        <v>78</v>
      </c>
      <c r="O21" s="312"/>
    </row>
    <row r="22" spans="1:15" ht="26">
      <c r="A22" s="30" t="s">
        <v>608</v>
      </c>
      <c r="B22" s="307" t="s">
        <v>184</v>
      </c>
      <c r="C22" s="311"/>
      <c r="D22" s="309"/>
      <c r="E22" s="319">
        <v>120</v>
      </c>
      <c r="F22" s="309"/>
      <c r="G22" s="309"/>
      <c r="H22" s="319">
        <v>108</v>
      </c>
      <c r="I22" s="319">
        <v>100</v>
      </c>
      <c r="J22" s="319">
        <v>90</v>
      </c>
      <c r="K22" s="320"/>
      <c r="L22" s="320"/>
      <c r="M22" s="320"/>
      <c r="N22" s="320"/>
      <c r="O22" s="312"/>
    </row>
    <row r="23" spans="1:15" ht="26">
      <c r="A23" s="30" t="s">
        <v>589</v>
      </c>
      <c r="B23" s="307" t="s">
        <v>144</v>
      </c>
      <c r="C23" s="308">
        <v>66</v>
      </c>
      <c r="D23" s="308">
        <v>71</v>
      </c>
      <c r="E23" s="308">
        <v>64</v>
      </c>
      <c r="F23" s="308">
        <v>60</v>
      </c>
      <c r="G23" s="308">
        <v>62</v>
      </c>
      <c r="H23" s="308">
        <v>54</v>
      </c>
      <c r="I23" s="308">
        <v>54</v>
      </c>
      <c r="J23" s="308">
        <v>46</v>
      </c>
      <c r="K23" s="310">
        <v>35</v>
      </c>
      <c r="L23" s="310">
        <v>39</v>
      </c>
      <c r="M23" s="310">
        <v>40</v>
      </c>
      <c r="N23" s="310">
        <v>24</v>
      </c>
      <c r="O23" s="312">
        <v>40</v>
      </c>
    </row>
    <row r="24" spans="1:15" ht="26">
      <c r="A24" s="30" t="s">
        <v>589</v>
      </c>
      <c r="B24" s="307" t="s">
        <v>161</v>
      </c>
      <c r="C24" s="308">
        <v>80</v>
      </c>
      <c r="D24" s="308">
        <v>86</v>
      </c>
      <c r="E24" s="308">
        <v>76</v>
      </c>
      <c r="F24" s="308"/>
      <c r="G24" s="308">
        <v>74</v>
      </c>
      <c r="H24" s="308">
        <v>66</v>
      </c>
      <c r="I24" s="308">
        <v>64</v>
      </c>
      <c r="J24" s="308">
        <v>54</v>
      </c>
      <c r="K24" s="310">
        <v>25</v>
      </c>
      <c r="L24" s="310">
        <v>29</v>
      </c>
      <c r="M24" s="310"/>
      <c r="N24" s="320"/>
      <c r="O24" s="312"/>
    </row>
    <row r="25" spans="1:15" ht="26">
      <c r="A25" s="30" t="s">
        <v>589</v>
      </c>
      <c r="B25" s="307" t="s">
        <v>173</v>
      </c>
      <c r="C25" s="320"/>
      <c r="D25" s="308">
        <v>102</v>
      </c>
      <c r="E25" s="308">
        <v>90</v>
      </c>
      <c r="F25" s="308"/>
      <c r="G25" s="308"/>
      <c r="H25" s="308">
        <v>79</v>
      </c>
      <c r="I25" s="308">
        <v>74</v>
      </c>
      <c r="J25" s="308">
        <v>65</v>
      </c>
      <c r="K25" s="320"/>
      <c r="L25" s="320"/>
      <c r="M25" s="310"/>
      <c r="N25" s="320">
        <v>41</v>
      </c>
      <c r="O25" s="312"/>
    </row>
    <row r="26" spans="1:15" ht="26">
      <c r="A26" s="30" t="s">
        <v>589</v>
      </c>
      <c r="B26" s="307" t="s">
        <v>179</v>
      </c>
      <c r="C26" s="320"/>
      <c r="D26" s="308">
        <v>112</v>
      </c>
      <c r="E26" s="308">
        <v>109</v>
      </c>
      <c r="F26" s="308"/>
      <c r="G26" s="308"/>
      <c r="H26" s="308">
        <v>96</v>
      </c>
      <c r="I26" s="308">
        <v>90</v>
      </c>
      <c r="J26" s="308">
        <v>80</v>
      </c>
      <c r="K26" s="320"/>
      <c r="L26" s="320"/>
      <c r="M26" s="320"/>
      <c r="N26" s="320">
        <v>78</v>
      </c>
      <c r="O26" s="312"/>
    </row>
    <row r="27" spans="1:15" ht="26">
      <c r="A27" s="30" t="s">
        <v>589</v>
      </c>
      <c r="B27" s="307" t="s">
        <v>184</v>
      </c>
      <c r="C27" s="320"/>
      <c r="D27" s="308"/>
      <c r="E27" s="308">
        <v>120</v>
      </c>
      <c r="F27" s="308"/>
      <c r="G27" s="308"/>
      <c r="H27" s="308">
        <v>108</v>
      </c>
      <c r="I27" s="308">
        <v>100</v>
      </c>
      <c r="J27" s="308">
        <v>90</v>
      </c>
      <c r="K27" s="320"/>
      <c r="L27" s="320"/>
      <c r="M27" s="320"/>
      <c r="N27" s="320"/>
      <c r="O27" s="312"/>
    </row>
    <row r="28" spans="1:15" ht="26">
      <c r="A28" s="30" t="s">
        <v>592</v>
      </c>
      <c r="B28" s="307" t="s">
        <v>144</v>
      </c>
      <c r="C28" s="308">
        <v>66</v>
      </c>
      <c r="D28" s="308">
        <v>71</v>
      </c>
      <c r="E28" s="308">
        <v>64</v>
      </c>
      <c r="F28" s="308">
        <v>60</v>
      </c>
      <c r="G28" s="308">
        <v>62</v>
      </c>
      <c r="H28" s="308">
        <v>54</v>
      </c>
      <c r="I28" s="308">
        <v>54</v>
      </c>
      <c r="J28" s="308">
        <v>46</v>
      </c>
      <c r="K28" s="310">
        <v>35</v>
      </c>
      <c r="L28" s="310">
        <v>39</v>
      </c>
      <c r="M28" s="310">
        <v>40</v>
      </c>
      <c r="N28" s="310">
        <v>24</v>
      </c>
      <c r="O28" s="312">
        <v>40</v>
      </c>
    </row>
    <row r="29" spans="1:15" ht="26">
      <c r="A29" s="30" t="s">
        <v>592</v>
      </c>
      <c r="B29" s="307" t="s">
        <v>161</v>
      </c>
      <c r="C29" s="308">
        <v>80</v>
      </c>
      <c r="D29" s="308">
        <v>86</v>
      </c>
      <c r="E29" s="308">
        <v>76</v>
      </c>
      <c r="F29" s="308"/>
      <c r="G29" s="308">
        <v>74</v>
      </c>
      <c r="H29" s="308">
        <v>66</v>
      </c>
      <c r="I29" s="308">
        <v>64</v>
      </c>
      <c r="J29" s="308">
        <v>54</v>
      </c>
      <c r="K29" s="310">
        <v>25</v>
      </c>
      <c r="L29" s="310">
        <v>29</v>
      </c>
      <c r="M29" s="310"/>
      <c r="N29" s="320"/>
      <c r="O29" s="312"/>
    </row>
    <row r="30" spans="1:15" ht="26">
      <c r="A30" s="30" t="s">
        <v>592</v>
      </c>
      <c r="B30" s="307" t="s">
        <v>173</v>
      </c>
      <c r="C30" s="320"/>
      <c r="D30" s="308">
        <v>102</v>
      </c>
      <c r="E30" s="308">
        <v>90</v>
      </c>
      <c r="F30" s="308"/>
      <c r="G30" s="308"/>
      <c r="H30" s="308">
        <v>79</v>
      </c>
      <c r="I30" s="308">
        <v>74</v>
      </c>
      <c r="J30" s="308">
        <v>65</v>
      </c>
      <c r="K30" s="320"/>
      <c r="L30" s="320"/>
      <c r="M30" s="310"/>
      <c r="N30" s="320">
        <v>41</v>
      </c>
      <c r="O30" s="312"/>
    </row>
    <row r="31" spans="1:15" ht="26">
      <c r="A31" s="30" t="s">
        <v>592</v>
      </c>
      <c r="B31" s="307" t="s">
        <v>179</v>
      </c>
      <c r="C31" s="320"/>
      <c r="D31" s="308">
        <v>112</v>
      </c>
      <c r="E31" s="308">
        <v>109</v>
      </c>
      <c r="F31" s="308"/>
      <c r="G31" s="308"/>
      <c r="H31" s="308">
        <v>96</v>
      </c>
      <c r="I31" s="308">
        <v>90</v>
      </c>
      <c r="J31" s="308">
        <v>80</v>
      </c>
      <c r="K31" s="320"/>
      <c r="L31" s="320"/>
      <c r="M31" s="320"/>
      <c r="N31" s="320">
        <v>78</v>
      </c>
      <c r="O31" s="312"/>
    </row>
    <row r="32" spans="1:15" ht="26">
      <c r="A32" s="30" t="s">
        <v>592</v>
      </c>
      <c r="B32" s="307" t="s">
        <v>184</v>
      </c>
      <c r="C32" s="320"/>
      <c r="D32" s="308"/>
      <c r="E32" s="308">
        <v>120</v>
      </c>
      <c r="F32" s="308"/>
      <c r="G32" s="308"/>
      <c r="H32" s="308">
        <v>108</v>
      </c>
      <c r="I32" s="308">
        <v>100</v>
      </c>
      <c r="J32" s="308">
        <v>90</v>
      </c>
      <c r="K32" s="320"/>
      <c r="L32" s="320"/>
      <c r="M32" s="320"/>
      <c r="N32" s="320"/>
      <c r="O32" s="312"/>
    </row>
    <row r="33" spans="1:15" ht="26">
      <c r="A33" s="30" t="s">
        <v>593</v>
      </c>
      <c r="B33" s="307" t="s">
        <v>144</v>
      </c>
      <c r="C33" s="308">
        <v>72</v>
      </c>
      <c r="D33" s="308">
        <v>78</v>
      </c>
      <c r="E33" s="308">
        <v>71</v>
      </c>
      <c r="F33" s="308">
        <v>66</v>
      </c>
      <c r="G33" s="308">
        <v>68</v>
      </c>
      <c r="H33" s="308">
        <v>63</v>
      </c>
      <c r="I33" s="308">
        <v>64</v>
      </c>
      <c r="J33" s="308">
        <v>59</v>
      </c>
      <c r="K33" s="310">
        <v>136</v>
      </c>
      <c r="L33" s="310">
        <v>156</v>
      </c>
      <c r="M33" s="310">
        <v>161</v>
      </c>
      <c r="N33" s="310">
        <v>75</v>
      </c>
      <c r="O33" s="312">
        <v>163</v>
      </c>
    </row>
    <row r="34" spans="1:15" ht="26">
      <c r="A34" s="30" t="s">
        <v>593</v>
      </c>
      <c r="B34" s="307" t="s">
        <v>161</v>
      </c>
      <c r="C34" s="308">
        <v>84</v>
      </c>
      <c r="D34" s="308">
        <v>91</v>
      </c>
      <c r="E34" s="308">
        <v>83</v>
      </c>
      <c r="F34" s="308"/>
      <c r="G34" s="308">
        <v>80</v>
      </c>
      <c r="H34" s="308">
        <v>73</v>
      </c>
      <c r="I34" s="308">
        <v>70</v>
      </c>
      <c r="J34" s="308">
        <v>63</v>
      </c>
      <c r="K34" s="310">
        <v>84</v>
      </c>
      <c r="L34" s="310">
        <v>105</v>
      </c>
      <c r="M34" s="310"/>
      <c r="N34" s="320"/>
      <c r="O34" s="312"/>
    </row>
    <row r="35" spans="1:15" ht="26">
      <c r="A35" s="30" t="s">
        <v>593</v>
      </c>
      <c r="B35" s="307" t="s">
        <v>173</v>
      </c>
      <c r="C35" s="308" t="s">
        <v>57</v>
      </c>
      <c r="D35" s="308">
        <v>105</v>
      </c>
      <c r="E35" s="308">
        <v>95</v>
      </c>
      <c r="F35" s="308"/>
      <c r="G35" s="308"/>
      <c r="H35" s="308">
        <v>84</v>
      </c>
      <c r="I35" s="308">
        <v>81</v>
      </c>
      <c r="J35" s="308">
        <v>71</v>
      </c>
      <c r="K35" s="320"/>
      <c r="L35" s="320"/>
      <c r="M35" s="310"/>
      <c r="N35" s="320">
        <v>53</v>
      </c>
      <c r="O35" s="312"/>
    </row>
    <row r="36" spans="1:15" ht="26">
      <c r="A36" s="30" t="s">
        <v>593</v>
      </c>
      <c r="B36" s="307" t="s">
        <v>179</v>
      </c>
      <c r="C36" s="320"/>
      <c r="D36" s="308">
        <v>125</v>
      </c>
      <c r="E36" s="308">
        <v>112</v>
      </c>
      <c r="F36" s="308" t="s">
        <v>695</v>
      </c>
      <c r="G36" s="308" t="s">
        <v>57</v>
      </c>
      <c r="H36" s="308">
        <v>101</v>
      </c>
      <c r="I36" s="308">
        <v>95</v>
      </c>
      <c r="J36" s="308">
        <v>85</v>
      </c>
      <c r="K36" s="320"/>
      <c r="L36" s="320"/>
      <c r="M36" s="320"/>
      <c r="N36" s="320">
        <v>81</v>
      </c>
      <c r="O36" s="312"/>
    </row>
    <row r="37" spans="1:15" ht="26">
      <c r="A37" s="30" t="s">
        <v>593</v>
      </c>
      <c r="B37" s="307" t="s">
        <v>184</v>
      </c>
      <c r="C37" s="320"/>
      <c r="D37" s="308"/>
      <c r="E37" s="308">
        <v>124</v>
      </c>
      <c r="F37" s="308" t="s">
        <v>57</v>
      </c>
      <c r="G37" s="308"/>
      <c r="H37" s="308">
        <v>111</v>
      </c>
      <c r="I37" s="308">
        <v>104</v>
      </c>
      <c r="J37" s="308">
        <v>94</v>
      </c>
      <c r="K37" s="321"/>
      <c r="L37" s="321"/>
      <c r="M37" s="321"/>
      <c r="N37" s="321"/>
      <c r="O37" s="322"/>
    </row>
    <row r="38" spans="1:15" ht="26">
      <c r="A38" s="30" t="s">
        <v>609</v>
      </c>
      <c r="B38" s="307" t="s">
        <v>144</v>
      </c>
      <c r="C38" s="308">
        <v>72</v>
      </c>
      <c r="D38" s="308">
        <v>78</v>
      </c>
      <c r="E38" s="308">
        <v>71</v>
      </c>
      <c r="F38" s="308">
        <v>66</v>
      </c>
      <c r="G38" s="308">
        <v>68</v>
      </c>
      <c r="H38" s="308">
        <v>63</v>
      </c>
      <c r="I38" s="308">
        <v>64</v>
      </c>
      <c r="J38" s="308">
        <v>59</v>
      </c>
      <c r="K38" s="310">
        <v>136</v>
      </c>
      <c r="L38" s="310">
        <v>156</v>
      </c>
      <c r="M38" s="310">
        <v>161</v>
      </c>
      <c r="N38" s="310">
        <v>75</v>
      </c>
      <c r="O38" s="312">
        <v>163</v>
      </c>
    </row>
    <row r="39" spans="1:15" ht="26">
      <c r="A39" s="30" t="s">
        <v>609</v>
      </c>
      <c r="B39" s="307" t="s">
        <v>161</v>
      </c>
      <c r="C39" s="308">
        <v>84</v>
      </c>
      <c r="D39" s="308">
        <v>91</v>
      </c>
      <c r="E39" s="308">
        <v>83</v>
      </c>
      <c r="F39" s="308"/>
      <c r="G39" s="308">
        <v>80</v>
      </c>
      <c r="H39" s="308">
        <v>73</v>
      </c>
      <c r="I39" s="308">
        <v>70</v>
      </c>
      <c r="J39" s="308">
        <v>63</v>
      </c>
      <c r="K39" s="310">
        <v>84</v>
      </c>
      <c r="L39" s="310">
        <v>105</v>
      </c>
      <c r="M39" s="310"/>
      <c r="N39" s="320"/>
      <c r="O39" s="312"/>
    </row>
    <row r="40" spans="1:15" ht="26">
      <c r="A40" s="30" t="s">
        <v>609</v>
      </c>
      <c r="B40" s="307" t="s">
        <v>173</v>
      </c>
      <c r="C40" s="308" t="s">
        <v>57</v>
      </c>
      <c r="D40" s="308">
        <v>105</v>
      </c>
      <c r="E40" s="308">
        <v>95</v>
      </c>
      <c r="F40" s="308"/>
      <c r="G40" s="308"/>
      <c r="H40" s="308">
        <v>84</v>
      </c>
      <c r="I40" s="308">
        <v>81</v>
      </c>
      <c r="J40" s="308">
        <v>71</v>
      </c>
      <c r="K40" s="320"/>
      <c r="L40" s="320"/>
      <c r="M40" s="310"/>
      <c r="N40" s="320">
        <v>53</v>
      </c>
      <c r="O40" s="312"/>
    </row>
    <row r="41" spans="1:15" ht="26">
      <c r="A41" s="30" t="s">
        <v>609</v>
      </c>
      <c r="B41" s="307" t="s">
        <v>179</v>
      </c>
      <c r="C41" s="320"/>
      <c r="D41" s="308">
        <v>125</v>
      </c>
      <c r="E41" s="308">
        <v>112</v>
      </c>
      <c r="F41" s="308" t="s">
        <v>695</v>
      </c>
      <c r="G41" s="308" t="s">
        <v>57</v>
      </c>
      <c r="H41" s="308">
        <v>101</v>
      </c>
      <c r="I41" s="308">
        <v>95</v>
      </c>
      <c r="J41" s="308">
        <v>85</v>
      </c>
      <c r="K41" s="320"/>
      <c r="L41" s="320"/>
      <c r="M41" s="320"/>
      <c r="N41" s="320">
        <v>81</v>
      </c>
      <c r="O41" s="312"/>
    </row>
    <row r="42" spans="1:15" ht="26">
      <c r="A42" s="30" t="s">
        <v>609</v>
      </c>
      <c r="B42" s="307" t="s">
        <v>184</v>
      </c>
      <c r="C42" s="320"/>
      <c r="D42" s="308"/>
      <c r="E42" s="308">
        <v>124</v>
      </c>
      <c r="F42" s="308" t="s">
        <v>57</v>
      </c>
      <c r="G42" s="308"/>
      <c r="H42" s="308">
        <v>111</v>
      </c>
      <c r="I42" s="308">
        <v>104</v>
      </c>
      <c r="J42" s="308">
        <v>94</v>
      </c>
      <c r="K42" s="321"/>
      <c r="L42" s="321"/>
      <c r="M42" s="321"/>
      <c r="N42" s="321"/>
      <c r="O42" s="322"/>
    </row>
    <row r="43" spans="1:15" ht="26">
      <c r="A43" s="30" t="s">
        <v>596</v>
      </c>
      <c r="B43" s="307" t="s">
        <v>144</v>
      </c>
      <c r="C43" s="319">
        <v>68</v>
      </c>
      <c r="D43" s="319">
        <v>76</v>
      </c>
      <c r="E43" s="319">
        <v>85</v>
      </c>
      <c r="F43" s="319">
        <v>64</v>
      </c>
      <c r="G43" s="319">
        <v>73</v>
      </c>
      <c r="H43" s="319">
        <v>92</v>
      </c>
      <c r="I43" s="319">
        <v>115</v>
      </c>
      <c r="J43" s="319">
        <v>117</v>
      </c>
      <c r="K43" s="310" t="s">
        <v>693</v>
      </c>
      <c r="L43" s="310" t="s">
        <v>693</v>
      </c>
      <c r="M43" s="310" t="s">
        <v>693</v>
      </c>
      <c r="N43" s="310" t="s">
        <v>693</v>
      </c>
      <c r="O43" s="312" t="s">
        <v>694</v>
      </c>
    </row>
    <row r="44" spans="1:15" ht="26">
      <c r="A44" s="30" t="s">
        <v>596</v>
      </c>
      <c r="B44" s="307" t="s">
        <v>161</v>
      </c>
      <c r="C44" s="319">
        <v>62</v>
      </c>
      <c r="D44" s="319">
        <v>69</v>
      </c>
      <c r="E44" s="319">
        <v>74</v>
      </c>
      <c r="F44" s="323"/>
      <c r="G44" s="319">
        <v>65</v>
      </c>
      <c r="H44" s="319">
        <v>75</v>
      </c>
      <c r="I44" s="319">
        <v>95</v>
      </c>
      <c r="J44" s="319">
        <v>93</v>
      </c>
      <c r="K44" s="310" t="s">
        <v>693</v>
      </c>
      <c r="L44" s="310" t="s">
        <v>693</v>
      </c>
      <c r="M44" s="310" t="s">
        <v>693</v>
      </c>
      <c r="N44" s="324"/>
      <c r="O44" s="312" t="s">
        <v>693</v>
      </c>
    </row>
    <row r="45" spans="1:15" ht="26">
      <c r="A45" s="30" t="s">
        <v>596</v>
      </c>
      <c r="B45" s="307" t="s">
        <v>173</v>
      </c>
      <c r="C45" s="324"/>
      <c r="D45" s="319">
        <v>67</v>
      </c>
      <c r="E45" s="319">
        <v>68</v>
      </c>
      <c r="F45" s="323"/>
      <c r="G45" s="323"/>
      <c r="H45" s="319">
        <v>66</v>
      </c>
      <c r="I45" s="319">
        <v>81</v>
      </c>
      <c r="J45" s="319">
        <v>75</v>
      </c>
      <c r="K45" s="324"/>
      <c r="L45" s="324"/>
      <c r="M45" s="310" t="s">
        <v>693</v>
      </c>
      <c r="N45" s="324"/>
      <c r="O45" s="312" t="s">
        <v>693</v>
      </c>
    </row>
    <row r="46" spans="1:15" ht="26">
      <c r="A46" s="30" t="s">
        <v>596</v>
      </c>
      <c r="B46" s="307" t="s">
        <v>179</v>
      </c>
      <c r="C46" s="324"/>
      <c r="D46" s="319">
        <v>71</v>
      </c>
      <c r="E46" s="319">
        <v>68</v>
      </c>
      <c r="F46" s="323"/>
      <c r="G46" s="323"/>
      <c r="H46" s="319">
        <v>64</v>
      </c>
      <c r="I46" s="319">
        <v>72</v>
      </c>
      <c r="J46" s="319">
        <v>64</v>
      </c>
      <c r="K46" s="324"/>
      <c r="L46" s="324"/>
      <c r="M46" s="324"/>
      <c r="N46" s="324"/>
      <c r="O46" s="312" t="s">
        <v>693</v>
      </c>
    </row>
    <row r="47" spans="1:15" ht="26">
      <c r="A47" s="30" t="s">
        <v>596</v>
      </c>
      <c r="B47" s="307" t="s">
        <v>184</v>
      </c>
      <c r="C47" s="324"/>
      <c r="D47" s="323"/>
      <c r="E47" s="319">
        <v>70</v>
      </c>
      <c r="F47" s="323"/>
      <c r="G47" s="323"/>
      <c r="H47" s="319">
        <v>66</v>
      </c>
      <c r="I47" s="319">
        <v>69</v>
      </c>
      <c r="J47" s="319">
        <v>62</v>
      </c>
      <c r="K47" s="324"/>
      <c r="L47" s="324"/>
      <c r="M47" s="324"/>
      <c r="N47" s="324"/>
      <c r="O47" s="325"/>
    </row>
    <row r="48" spans="1:15" ht="26">
      <c r="A48" s="30" t="s">
        <v>599</v>
      </c>
      <c r="B48" s="307" t="s">
        <v>144</v>
      </c>
      <c r="C48" s="319">
        <v>56</v>
      </c>
      <c r="D48" s="319">
        <v>61</v>
      </c>
      <c r="E48" s="319">
        <v>54</v>
      </c>
      <c r="F48" s="319">
        <v>51</v>
      </c>
      <c r="G48" s="319">
        <v>53</v>
      </c>
      <c r="H48" s="319">
        <v>47</v>
      </c>
      <c r="I48" s="319">
        <v>46</v>
      </c>
      <c r="J48" s="319">
        <v>39</v>
      </c>
      <c r="K48" s="310">
        <v>44</v>
      </c>
      <c r="L48" s="310">
        <v>49</v>
      </c>
      <c r="M48" s="310">
        <v>50</v>
      </c>
      <c r="N48" s="310">
        <v>30</v>
      </c>
      <c r="O48" s="312">
        <v>50</v>
      </c>
    </row>
    <row r="49" spans="1:15" ht="26">
      <c r="A49" s="30" t="s">
        <v>599</v>
      </c>
      <c r="B49" s="307" t="s">
        <v>161</v>
      </c>
      <c r="C49" s="319">
        <v>67</v>
      </c>
      <c r="D49" s="319">
        <v>73</v>
      </c>
      <c r="E49" s="319">
        <v>65</v>
      </c>
      <c r="F49" s="326"/>
      <c r="G49" s="319">
        <v>64</v>
      </c>
      <c r="H49" s="319">
        <v>56</v>
      </c>
      <c r="I49" s="319">
        <v>53</v>
      </c>
      <c r="J49" s="319">
        <v>47</v>
      </c>
      <c r="K49" s="310">
        <v>32</v>
      </c>
      <c r="L49" s="310">
        <v>37</v>
      </c>
      <c r="M49" s="310"/>
      <c r="N49" s="320"/>
      <c r="O49" s="312"/>
    </row>
    <row r="50" spans="1:15" ht="26">
      <c r="A50" s="30" t="s">
        <v>599</v>
      </c>
      <c r="B50" s="307" t="s">
        <v>173</v>
      </c>
      <c r="C50" s="321"/>
      <c r="D50" s="319">
        <v>84</v>
      </c>
      <c r="E50" s="319">
        <v>75</v>
      </c>
      <c r="F50" s="326"/>
      <c r="G50" s="326"/>
      <c r="H50" s="319">
        <v>68</v>
      </c>
      <c r="I50" s="319">
        <v>64</v>
      </c>
      <c r="J50" s="319">
        <v>55</v>
      </c>
      <c r="K50" s="320"/>
      <c r="L50" s="320"/>
      <c r="M50" s="310"/>
      <c r="N50" s="320">
        <v>41</v>
      </c>
      <c r="O50" s="312"/>
    </row>
    <row r="51" spans="1:15" ht="26">
      <c r="A51" s="30" t="s">
        <v>599</v>
      </c>
      <c r="B51" s="307" t="s">
        <v>179</v>
      </c>
      <c r="C51" s="321"/>
      <c r="D51" s="319">
        <v>101</v>
      </c>
      <c r="E51" s="319">
        <v>90</v>
      </c>
      <c r="F51" s="326"/>
      <c r="G51" s="326"/>
      <c r="H51" s="319">
        <v>80</v>
      </c>
      <c r="I51" s="319">
        <v>76</v>
      </c>
      <c r="J51" s="319">
        <v>68</v>
      </c>
      <c r="K51" s="320"/>
      <c r="L51" s="320"/>
      <c r="M51" s="320"/>
      <c r="N51" s="320">
        <v>70</v>
      </c>
      <c r="O51" s="312"/>
    </row>
    <row r="52" spans="1:15" ht="26">
      <c r="A52" s="30" t="s">
        <v>599</v>
      </c>
      <c r="B52" s="307" t="s">
        <v>184</v>
      </c>
      <c r="C52" s="321"/>
      <c r="D52" s="326"/>
      <c r="E52" s="319">
        <v>100</v>
      </c>
      <c r="F52" s="326"/>
      <c r="G52" s="326"/>
      <c r="H52" s="319">
        <v>90</v>
      </c>
      <c r="I52" s="319">
        <v>83</v>
      </c>
      <c r="J52" s="319">
        <v>75</v>
      </c>
      <c r="K52" s="321"/>
      <c r="L52" s="321"/>
      <c r="M52" s="321"/>
      <c r="N52" s="321"/>
      <c r="O52" s="322"/>
    </row>
    <row r="53" spans="1:15" ht="26">
      <c r="A53" s="30" t="s">
        <v>622</v>
      </c>
      <c r="B53" s="307" t="s">
        <v>144</v>
      </c>
      <c r="C53" s="317">
        <v>100</v>
      </c>
      <c r="D53" s="317">
        <v>110</v>
      </c>
      <c r="E53" s="317">
        <v>98</v>
      </c>
      <c r="F53" s="317">
        <v>92</v>
      </c>
      <c r="G53" s="317">
        <v>95</v>
      </c>
      <c r="H53" s="317">
        <v>85</v>
      </c>
      <c r="I53" s="317">
        <v>85</v>
      </c>
      <c r="J53" s="317">
        <v>74</v>
      </c>
      <c r="K53" s="315">
        <v>74</v>
      </c>
      <c r="L53" s="315">
        <v>85</v>
      </c>
      <c r="M53" s="315">
        <v>87</v>
      </c>
      <c r="N53" s="315">
        <v>43</v>
      </c>
      <c r="O53" s="316">
        <v>88</v>
      </c>
    </row>
    <row r="54" spans="1:15" ht="26">
      <c r="A54" s="30" t="s">
        <v>622</v>
      </c>
      <c r="B54" s="307" t="s">
        <v>161</v>
      </c>
      <c r="C54" s="317">
        <v>121</v>
      </c>
      <c r="D54" s="317">
        <v>131</v>
      </c>
      <c r="E54" s="317">
        <v>116</v>
      </c>
      <c r="F54" s="317"/>
      <c r="G54" s="317">
        <v>114</v>
      </c>
      <c r="H54" s="317">
        <v>102</v>
      </c>
      <c r="I54" s="317">
        <v>96</v>
      </c>
      <c r="J54" s="317">
        <v>84</v>
      </c>
      <c r="K54" s="315">
        <v>46</v>
      </c>
      <c r="L54" s="315">
        <v>58</v>
      </c>
      <c r="M54" s="315"/>
      <c r="N54" s="318"/>
      <c r="O54" s="316"/>
    </row>
    <row r="55" spans="1:15" ht="26">
      <c r="A55" s="30" t="s">
        <v>622</v>
      </c>
      <c r="B55" s="307" t="s">
        <v>173</v>
      </c>
      <c r="C55" s="318"/>
      <c r="D55" s="317">
        <v>154</v>
      </c>
      <c r="E55" s="317">
        <v>138</v>
      </c>
      <c r="F55" s="317"/>
      <c r="G55" s="317"/>
      <c r="H55" s="317">
        <v>120</v>
      </c>
      <c r="I55" s="317">
        <v>115</v>
      </c>
      <c r="J55" s="317">
        <v>99</v>
      </c>
      <c r="K55" s="318"/>
      <c r="L55" s="318"/>
      <c r="M55" s="315"/>
      <c r="N55" s="318">
        <v>49</v>
      </c>
      <c r="O55" s="316"/>
    </row>
    <row r="56" spans="1:15" ht="26">
      <c r="A56" s="30" t="s">
        <v>622</v>
      </c>
      <c r="B56" s="307" t="s">
        <v>179</v>
      </c>
      <c r="C56" s="318"/>
      <c r="D56" s="317">
        <v>181</v>
      </c>
      <c r="E56" s="317">
        <v>163</v>
      </c>
      <c r="F56" s="317"/>
      <c r="G56" s="317"/>
      <c r="H56" s="317">
        <v>146</v>
      </c>
      <c r="I56" s="317">
        <v>138</v>
      </c>
      <c r="J56" s="317">
        <v>122</v>
      </c>
      <c r="K56" s="318"/>
      <c r="L56" s="318"/>
      <c r="M56" s="318"/>
      <c r="N56" s="318">
        <v>90</v>
      </c>
      <c r="O56" s="316"/>
    </row>
    <row r="57" spans="1:15" ht="26">
      <c r="A57" s="30" t="s">
        <v>622</v>
      </c>
      <c r="B57" s="307" t="s">
        <v>184</v>
      </c>
      <c r="C57" s="318"/>
      <c r="D57" s="317"/>
      <c r="E57" s="317">
        <v>179</v>
      </c>
      <c r="F57" s="317"/>
      <c r="G57" s="317"/>
      <c r="H57" s="317">
        <v>161</v>
      </c>
      <c r="I57" s="317">
        <v>153</v>
      </c>
      <c r="J57" s="317">
        <v>137</v>
      </c>
      <c r="K57" s="318"/>
      <c r="L57" s="318"/>
      <c r="M57" s="318"/>
      <c r="N57" s="318"/>
      <c r="O57" s="316"/>
    </row>
    <row r="58" spans="1:15" ht="26">
      <c r="A58" s="30" t="s">
        <v>621</v>
      </c>
      <c r="B58" s="307" t="s">
        <v>144</v>
      </c>
      <c r="C58" s="317">
        <v>100</v>
      </c>
      <c r="D58" s="317">
        <v>110</v>
      </c>
      <c r="E58" s="317">
        <v>98</v>
      </c>
      <c r="F58" s="317">
        <v>92</v>
      </c>
      <c r="G58" s="317">
        <v>95</v>
      </c>
      <c r="H58" s="317">
        <v>85</v>
      </c>
      <c r="I58" s="317">
        <v>85</v>
      </c>
      <c r="J58" s="317">
        <v>74</v>
      </c>
      <c r="K58" s="315">
        <v>74</v>
      </c>
      <c r="L58" s="315">
        <v>85</v>
      </c>
      <c r="M58" s="315">
        <v>87</v>
      </c>
      <c r="N58" s="315">
        <v>43</v>
      </c>
      <c r="O58" s="316">
        <v>88</v>
      </c>
    </row>
    <row r="59" spans="1:15" ht="26">
      <c r="A59" s="30" t="s">
        <v>621</v>
      </c>
      <c r="B59" s="307" t="s">
        <v>161</v>
      </c>
      <c r="C59" s="317">
        <v>121</v>
      </c>
      <c r="D59" s="317">
        <v>131</v>
      </c>
      <c r="E59" s="317">
        <v>116</v>
      </c>
      <c r="F59" s="317"/>
      <c r="G59" s="317">
        <v>114</v>
      </c>
      <c r="H59" s="317">
        <v>102</v>
      </c>
      <c r="I59" s="317">
        <v>96</v>
      </c>
      <c r="J59" s="317">
        <v>84</v>
      </c>
      <c r="K59" s="315">
        <v>46</v>
      </c>
      <c r="L59" s="315">
        <v>58</v>
      </c>
      <c r="M59" s="315"/>
      <c r="N59" s="318"/>
      <c r="O59" s="316"/>
    </row>
    <row r="60" spans="1:15" ht="26">
      <c r="A60" s="30" t="s">
        <v>621</v>
      </c>
      <c r="B60" s="307" t="s">
        <v>173</v>
      </c>
      <c r="C60" s="318"/>
      <c r="D60" s="317">
        <v>154</v>
      </c>
      <c r="E60" s="317">
        <v>138</v>
      </c>
      <c r="F60" s="317"/>
      <c r="G60" s="317"/>
      <c r="H60" s="317">
        <v>120</v>
      </c>
      <c r="I60" s="317">
        <v>115</v>
      </c>
      <c r="J60" s="317">
        <v>99</v>
      </c>
      <c r="K60" s="318"/>
      <c r="L60" s="318"/>
      <c r="M60" s="315"/>
      <c r="N60" s="318">
        <v>49</v>
      </c>
      <c r="O60" s="316"/>
    </row>
    <row r="61" spans="1:15" ht="26">
      <c r="A61" s="30" t="s">
        <v>621</v>
      </c>
      <c r="B61" s="307" t="s">
        <v>179</v>
      </c>
      <c r="C61" s="318"/>
      <c r="D61" s="317">
        <v>181</v>
      </c>
      <c r="E61" s="317">
        <v>163</v>
      </c>
      <c r="F61" s="317"/>
      <c r="G61" s="317"/>
      <c r="H61" s="317">
        <v>146</v>
      </c>
      <c r="I61" s="317">
        <v>138</v>
      </c>
      <c r="J61" s="317">
        <v>122</v>
      </c>
      <c r="K61" s="318"/>
      <c r="L61" s="318"/>
      <c r="M61" s="318"/>
      <c r="N61" s="318">
        <v>90</v>
      </c>
      <c r="O61" s="316"/>
    </row>
    <row r="62" spans="1:15" ht="26">
      <c r="A62" s="30" t="s">
        <v>621</v>
      </c>
      <c r="B62" s="307" t="s">
        <v>184</v>
      </c>
      <c r="C62" s="318"/>
      <c r="D62" s="317"/>
      <c r="E62" s="317">
        <v>179</v>
      </c>
      <c r="F62" s="317"/>
      <c r="G62" s="317"/>
      <c r="H62" s="317">
        <v>161</v>
      </c>
      <c r="I62" s="317">
        <v>153</v>
      </c>
      <c r="J62" s="317">
        <v>137</v>
      </c>
      <c r="K62" s="318"/>
      <c r="L62" s="318"/>
      <c r="M62" s="318"/>
      <c r="N62" s="318"/>
      <c r="O62" s="316"/>
    </row>
    <row r="63" spans="1:15" ht="26">
      <c r="A63" s="30" t="s">
        <v>619</v>
      </c>
      <c r="B63" s="307" t="s">
        <v>144</v>
      </c>
      <c r="C63" s="314">
        <v>34</v>
      </c>
      <c r="D63" s="314">
        <v>37</v>
      </c>
      <c r="E63" s="314">
        <v>36</v>
      </c>
      <c r="F63" s="314">
        <v>32</v>
      </c>
      <c r="G63" s="314">
        <v>34</v>
      </c>
      <c r="H63" s="314">
        <v>35</v>
      </c>
      <c r="I63" s="314">
        <v>38</v>
      </c>
      <c r="J63" s="314">
        <v>36</v>
      </c>
      <c r="K63" s="315">
        <v>47</v>
      </c>
      <c r="L63" s="315">
        <v>54</v>
      </c>
      <c r="M63" s="315">
        <v>55</v>
      </c>
      <c r="N63" s="315">
        <v>27</v>
      </c>
      <c r="O63" s="316">
        <v>56</v>
      </c>
    </row>
    <row r="64" spans="1:15" ht="26">
      <c r="A64" s="30" t="s">
        <v>619</v>
      </c>
      <c r="B64" s="307" t="s">
        <v>161</v>
      </c>
      <c r="C64" s="314">
        <v>38</v>
      </c>
      <c r="D64" s="314">
        <v>41</v>
      </c>
      <c r="E64" s="314">
        <v>39</v>
      </c>
      <c r="F64" s="317"/>
      <c r="G64" s="314">
        <v>37</v>
      </c>
      <c r="H64" s="314">
        <v>36</v>
      </c>
      <c r="I64" s="314">
        <v>38</v>
      </c>
      <c r="J64" s="314">
        <v>35</v>
      </c>
      <c r="K64" s="315">
        <v>29</v>
      </c>
      <c r="L64" s="315">
        <v>37</v>
      </c>
      <c r="M64" s="315"/>
      <c r="N64" s="318"/>
      <c r="O64" s="316"/>
    </row>
    <row r="65" spans="1:15" ht="26">
      <c r="A65" s="30" t="s">
        <v>619</v>
      </c>
      <c r="B65" s="307" t="s">
        <v>173</v>
      </c>
      <c r="C65" s="318"/>
      <c r="D65" s="314">
        <v>46</v>
      </c>
      <c r="E65" s="314">
        <v>42</v>
      </c>
      <c r="F65" s="317"/>
      <c r="G65" s="317"/>
      <c r="H65" s="314">
        <v>38</v>
      </c>
      <c r="I65" s="314">
        <v>39</v>
      </c>
      <c r="J65" s="314">
        <v>35</v>
      </c>
      <c r="K65" s="318"/>
      <c r="L65" s="318"/>
      <c r="M65" s="315"/>
      <c r="N65" s="318">
        <v>28</v>
      </c>
      <c r="O65" s="316"/>
    </row>
    <row r="66" spans="1:15" ht="26">
      <c r="A66" s="30" t="s">
        <v>619</v>
      </c>
      <c r="B66" s="307" t="s">
        <v>179</v>
      </c>
      <c r="C66" s="318"/>
      <c r="D66" s="314">
        <v>53</v>
      </c>
      <c r="E66" s="314">
        <v>48</v>
      </c>
      <c r="F66" s="317"/>
      <c r="G66" s="317"/>
      <c r="H66" s="314">
        <v>43</v>
      </c>
      <c r="I66" s="314">
        <v>43</v>
      </c>
      <c r="J66" s="314">
        <v>38</v>
      </c>
      <c r="K66" s="318"/>
      <c r="L66" s="318"/>
      <c r="M66" s="318"/>
      <c r="N66" s="318">
        <v>49</v>
      </c>
      <c r="O66" s="316"/>
    </row>
    <row r="67" spans="1:15" ht="26">
      <c r="A67" s="30" t="s">
        <v>619</v>
      </c>
      <c r="B67" s="307" t="s">
        <v>184</v>
      </c>
      <c r="C67" s="318"/>
      <c r="D67" s="317"/>
      <c r="E67" s="314">
        <v>52</v>
      </c>
      <c r="F67" s="317"/>
      <c r="G67" s="317"/>
      <c r="H67" s="314">
        <v>47</v>
      </c>
      <c r="I67" s="314">
        <v>45</v>
      </c>
      <c r="J67" s="314">
        <v>41</v>
      </c>
      <c r="K67" s="318"/>
      <c r="L67" s="318"/>
      <c r="M67" s="318"/>
      <c r="N67" s="318"/>
      <c r="O67" s="316"/>
    </row>
    <row r="68" spans="1:15" ht="26">
      <c r="A68" s="30" t="s">
        <v>623</v>
      </c>
      <c r="B68" s="307" t="s">
        <v>144</v>
      </c>
      <c r="C68" s="314">
        <v>57</v>
      </c>
      <c r="D68" s="314">
        <v>66</v>
      </c>
      <c r="E68" s="314">
        <v>62</v>
      </c>
      <c r="F68" s="314">
        <v>57</v>
      </c>
      <c r="G68" s="314">
        <v>50</v>
      </c>
      <c r="H68" s="314">
        <v>56</v>
      </c>
      <c r="I68" s="314">
        <v>63</v>
      </c>
      <c r="J68" s="314">
        <v>40</v>
      </c>
      <c r="K68" s="315">
        <v>47</v>
      </c>
      <c r="L68" s="315">
        <v>54</v>
      </c>
      <c r="M68" s="315">
        <v>55</v>
      </c>
      <c r="N68" s="315">
        <v>27</v>
      </c>
      <c r="O68" s="316">
        <v>56</v>
      </c>
    </row>
    <row r="69" spans="1:15" ht="26">
      <c r="A69" s="30" t="s">
        <v>623</v>
      </c>
      <c r="B69" s="307" t="s">
        <v>161</v>
      </c>
      <c r="C69" s="314">
        <v>68</v>
      </c>
      <c r="D69" s="314">
        <v>77</v>
      </c>
      <c r="E69" s="314">
        <v>71</v>
      </c>
      <c r="F69" s="317"/>
      <c r="G69" s="314">
        <v>61</v>
      </c>
      <c r="H69" s="314">
        <v>64</v>
      </c>
      <c r="I69" s="314">
        <v>66</v>
      </c>
      <c r="J69" s="314">
        <v>44</v>
      </c>
      <c r="K69" s="315">
        <v>29</v>
      </c>
      <c r="L69" s="315">
        <v>37</v>
      </c>
      <c r="M69" s="315"/>
      <c r="N69" s="318"/>
      <c r="O69" s="316"/>
    </row>
    <row r="70" spans="1:15" ht="26">
      <c r="A70" s="30" t="s">
        <v>623</v>
      </c>
      <c r="B70" s="307" t="s">
        <v>173</v>
      </c>
      <c r="C70" s="318"/>
      <c r="D70" s="314">
        <v>90</v>
      </c>
      <c r="E70" s="314">
        <v>81</v>
      </c>
      <c r="F70" s="317"/>
      <c r="G70" s="317"/>
      <c r="H70" s="314">
        <v>75</v>
      </c>
      <c r="I70" s="314">
        <v>68</v>
      </c>
      <c r="J70" s="314">
        <v>54</v>
      </c>
      <c r="K70" s="318"/>
      <c r="L70" s="318"/>
      <c r="M70" s="315"/>
      <c r="N70" s="318">
        <v>28</v>
      </c>
      <c r="O70" s="316"/>
    </row>
    <row r="71" spans="1:15" ht="26">
      <c r="A71" s="30" t="s">
        <v>623</v>
      </c>
      <c r="B71" s="307" t="s">
        <v>179</v>
      </c>
      <c r="C71" s="318"/>
      <c r="D71" s="314">
        <v>125</v>
      </c>
      <c r="E71" s="314">
        <v>115</v>
      </c>
      <c r="F71" s="317"/>
      <c r="G71" s="317"/>
      <c r="H71" s="314">
        <v>109</v>
      </c>
      <c r="I71" s="314">
        <v>99</v>
      </c>
      <c r="J71" s="314">
        <v>84</v>
      </c>
      <c r="K71" s="318"/>
      <c r="L71" s="318"/>
      <c r="M71" s="318"/>
      <c r="N71" s="318">
        <v>49</v>
      </c>
      <c r="O71" s="316"/>
    </row>
    <row r="72" spans="1:15" ht="26">
      <c r="A72" s="30" t="s">
        <v>623</v>
      </c>
      <c r="B72" s="307" t="s">
        <v>184</v>
      </c>
      <c r="C72" s="318"/>
      <c r="D72" s="317"/>
      <c r="E72" s="314">
        <v>133</v>
      </c>
      <c r="F72" s="317"/>
      <c r="G72" s="317"/>
      <c r="H72" s="314">
        <v>117</v>
      </c>
      <c r="I72" s="314">
        <v>107</v>
      </c>
      <c r="J72" s="314">
        <v>92</v>
      </c>
      <c r="K72" s="318"/>
      <c r="L72" s="318"/>
      <c r="M72" s="318"/>
      <c r="N72" s="318"/>
      <c r="O72" s="316"/>
    </row>
    <row r="73" spans="1:15" ht="26">
      <c r="A73" s="30" t="s">
        <v>624</v>
      </c>
      <c r="B73" s="307" t="s">
        <v>144</v>
      </c>
      <c r="C73" s="314">
        <v>80</v>
      </c>
      <c r="D73" s="314">
        <v>87</v>
      </c>
      <c r="E73" s="314">
        <v>78</v>
      </c>
      <c r="F73" s="314">
        <v>73</v>
      </c>
      <c r="G73" s="314">
        <v>76</v>
      </c>
      <c r="H73" s="314">
        <v>68</v>
      </c>
      <c r="I73" s="314">
        <v>69</v>
      </c>
      <c r="J73" s="314">
        <v>60</v>
      </c>
      <c r="K73" s="315">
        <v>63</v>
      </c>
      <c r="L73" s="315">
        <v>73</v>
      </c>
      <c r="M73" s="315">
        <v>74</v>
      </c>
      <c r="N73" s="315">
        <v>37</v>
      </c>
      <c r="O73" s="316">
        <v>75</v>
      </c>
    </row>
    <row r="74" spans="1:15" ht="26">
      <c r="A74" s="30" t="s">
        <v>624</v>
      </c>
      <c r="B74" s="307" t="s">
        <v>161</v>
      </c>
      <c r="C74" s="314">
        <v>96</v>
      </c>
      <c r="D74" s="314">
        <v>104</v>
      </c>
      <c r="E74" s="314">
        <v>92</v>
      </c>
      <c r="F74" s="317"/>
      <c r="G74" s="314">
        <v>90</v>
      </c>
      <c r="H74" s="314">
        <v>81</v>
      </c>
      <c r="I74" s="314">
        <v>77</v>
      </c>
      <c r="J74" s="314">
        <v>68</v>
      </c>
      <c r="K74" s="315">
        <v>39</v>
      </c>
      <c r="L74" s="315">
        <v>50</v>
      </c>
      <c r="M74" s="315"/>
      <c r="N74" s="318"/>
      <c r="O74" s="316"/>
    </row>
    <row r="75" spans="1:15" ht="26">
      <c r="A75" s="30" t="s">
        <v>624</v>
      </c>
      <c r="B75" s="307" t="s">
        <v>173</v>
      </c>
      <c r="C75" s="318"/>
      <c r="D75" s="314">
        <v>121</v>
      </c>
      <c r="E75" s="314">
        <v>109</v>
      </c>
      <c r="F75" s="317"/>
      <c r="G75" s="317"/>
      <c r="H75" s="314">
        <v>95</v>
      </c>
      <c r="I75" s="314">
        <v>91</v>
      </c>
      <c r="J75" s="314">
        <v>79</v>
      </c>
      <c r="K75" s="318"/>
      <c r="L75" s="318"/>
      <c r="M75" s="315"/>
      <c r="N75" s="318">
        <v>41</v>
      </c>
      <c r="O75" s="316"/>
    </row>
    <row r="76" spans="1:15" ht="26">
      <c r="A76" s="30" t="s">
        <v>624</v>
      </c>
      <c r="B76" s="307" t="s">
        <v>179</v>
      </c>
      <c r="C76" s="318"/>
      <c r="D76" s="314">
        <v>143</v>
      </c>
      <c r="E76" s="314">
        <v>129</v>
      </c>
      <c r="F76" s="317"/>
      <c r="G76" s="317"/>
      <c r="H76" s="314">
        <v>115</v>
      </c>
      <c r="I76" s="314">
        <v>109</v>
      </c>
      <c r="J76" s="314">
        <v>97</v>
      </c>
      <c r="K76" s="318"/>
      <c r="L76" s="318"/>
      <c r="M76" s="318"/>
      <c r="N76" s="318">
        <v>74</v>
      </c>
      <c r="O76" s="316"/>
    </row>
    <row r="77" spans="1:15" ht="26">
      <c r="A77" s="30" t="s">
        <v>624</v>
      </c>
      <c r="B77" s="307" t="s">
        <v>184</v>
      </c>
      <c r="C77" s="318"/>
      <c r="D77" s="317"/>
      <c r="E77" s="314">
        <v>141</v>
      </c>
      <c r="F77" s="317"/>
      <c r="G77" s="317"/>
      <c r="H77" s="314">
        <v>127</v>
      </c>
      <c r="I77" s="314">
        <v>121</v>
      </c>
      <c r="J77" s="314">
        <v>108</v>
      </c>
      <c r="K77" s="318"/>
      <c r="L77" s="318"/>
      <c r="M77" s="318"/>
      <c r="N77" s="318"/>
      <c r="O77" s="316"/>
    </row>
    <row r="78" spans="1:15" ht="26">
      <c r="A78" s="30" t="s">
        <v>610</v>
      </c>
      <c r="B78" s="307" t="s">
        <v>144</v>
      </c>
      <c r="C78" s="314">
        <v>56</v>
      </c>
      <c r="D78" s="314">
        <v>61</v>
      </c>
      <c r="E78" s="314">
        <v>54</v>
      </c>
      <c r="F78" s="314">
        <v>51</v>
      </c>
      <c r="G78" s="314">
        <v>53</v>
      </c>
      <c r="H78" s="314">
        <v>47</v>
      </c>
      <c r="I78" s="314">
        <v>46</v>
      </c>
      <c r="J78" s="314">
        <v>39</v>
      </c>
      <c r="K78" s="315">
        <v>44</v>
      </c>
      <c r="L78" s="315">
        <v>49</v>
      </c>
      <c r="M78" s="315">
        <v>50</v>
      </c>
      <c r="N78" s="315">
        <v>30</v>
      </c>
      <c r="O78" s="316">
        <v>50</v>
      </c>
    </row>
    <row r="79" spans="1:15" ht="26">
      <c r="A79" s="30" t="s">
        <v>610</v>
      </c>
      <c r="B79" s="307" t="s">
        <v>161</v>
      </c>
      <c r="C79" s="314">
        <v>67</v>
      </c>
      <c r="D79" s="314">
        <v>73</v>
      </c>
      <c r="E79" s="314">
        <v>65</v>
      </c>
      <c r="F79" s="327"/>
      <c r="G79" s="314">
        <v>64</v>
      </c>
      <c r="H79" s="314">
        <v>56</v>
      </c>
      <c r="I79" s="314">
        <v>53</v>
      </c>
      <c r="J79" s="314">
        <v>47</v>
      </c>
      <c r="K79" s="315">
        <v>32</v>
      </c>
      <c r="L79" s="315">
        <v>37</v>
      </c>
      <c r="M79" s="315"/>
      <c r="N79" s="318"/>
      <c r="O79" s="316"/>
    </row>
    <row r="80" spans="1:15" ht="26">
      <c r="A80" s="30" t="s">
        <v>610</v>
      </c>
      <c r="B80" s="307" t="s">
        <v>173</v>
      </c>
      <c r="C80" s="328"/>
      <c r="D80" s="314">
        <v>84</v>
      </c>
      <c r="E80" s="314">
        <v>75</v>
      </c>
      <c r="F80" s="327"/>
      <c r="G80" s="327"/>
      <c r="H80" s="314">
        <v>68</v>
      </c>
      <c r="I80" s="314">
        <v>64</v>
      </c>
      <c r="J80" s="314">
        <v>55</v>
      </c>
      <c r="K80" s="318"/>
      <c r="L80" s="318"/>
      <c r="M80" s="315"/>
      <c r="N80" s="318">
        <v>41</v>
      </c>
      <c r="O80" s="316"/>
    </row>
    <row r="81" spans="1:15" ht="18.75" customHeight="1">
      <c r="A81" s="30" t="s">
        <v>610</v>
      </c>
      <c r="B81" s="307" t="s">
        <v>179</v>
      </c>
      <c r="C81" s="328"/>
      <c r="D81" s="314">
        <v>101</v>
      </c>
      <c r="E81" s="314">
        <v>90</v>
      </c>
      <c r="F81" s="327"/>
      <c r="G81" s="327"/>
      <c r="H81" s="314">
        <v>80</v>
      </c>
      <c r="I81" s="314">
        <v>76</v>
      </c>
      <c r="J81" s="314">
        <v>68</v>
      </c>
      <c r="K81" s="318"/>
      <c r="L81" s="318"/>
      <c r="M81" s="318"/>
      <c r="N81" s="318">
        <v>70</v>
      </c>
      <c r="O81" s="316"/>
    </row>
    <row r="82" spans="1:15" ht="26">
      <c r="A82" s="30" t="s">
        <v>610</v>
      </c>
      <c r="B82" s="307" t="s">
        <v>184</v>
      </c>
      <c r="C82" s="328"/>
      <c r="D82" s="327"/>
      <c r="E82" s="314">
        <v>100</v>
      </c>
      <c r="F82" s="327"/>
      <c r="G82" s="327"/>
      <c r="H82" s="314">
        <v>90</v>
      </c>
      <c r="I82" s="314">
        <v>83</v>
      </c>
      <c r="J82" s="314">
        <v>75</v>
      </c>
      <c r="K82" s="328"/>
      <c r="L82" s="328"/>
      <c r="M82" s="328"/>
      <c r="N82" s="328"/>
      <c r="O82" s="329"/>
    </row>
    <row r="83" spans="1:15" ht="26">
      <c r="A83" s="30" t="s">
        <v>613</v>
      </c>
      <c r="B83" s="307" t="s">
        <v>144</v>
      </c>
      <c r="C83" s="314">
        <v>68</v>
      </c>
      <c r="D83" s="314">
        <v>76</v>
      </c>
      <c r="E83" s="314">
        <v>86</v>
      </c>
      <c r="F83" s="314">
        <v>64</v>
      </c>
      <c r="G83" s="314">
        <v>74</v>
      </c>
      <c r="H83" s="314">
        <v>92</v>
      </c>
      <c r="I83" s="314">
        <v>115</v>
      </c>
      <c r="J83" s="314">
        <v>116</v>
      </c>
      <c r="K83" s="315" t="s">
        <v>693</v>
      </c>
      <c r="L83" s="315" t="s">
        <v>693</v>
      </c>
      <c r="M83" s="315" t="s">
        <v>693</v>
      </c>
      <c r="N83" s="315" t="s">
        <v>693</v>
      </c>
      <c r="O83" s="316" t="s">
        <v>694</v>
      </c>
    </row>
    <row r="84" spans="1:15" ht="26">
      <c r="A84" s="30" t="s">
        <v>613</v>
      </c>
      <c r="B84" s="307" t="s">
        <v>161</v>
      </c>
      <c r="C84" s="314">
        <v>65</v>
      </c>
      <c r="D84" s="314">
        <v>72</v>
      </c>
      <c r="E84" s="314">
        <v>74</v>
      </c>
      <c r="F84" s="327"/>
      <c r="G84" s="314">
        <v>66</v>
      </c>
      <c r="H84" s="314">
        <v>75</v>
      </c>
      <c r="I84" s="314">
        <v>95</v>
      </c>
      <c r="J84" s="314">
        <v>93</v>
      </c>
      <c r="K84" s="315" t="s">
        <v>693</v>
      </c>
      <c r="L84" s="315" t="s">
        <v>693</v>
      </c>
      <c r="M84" s="315" t="s">
        <v>693</v>
      </c>
      <c r="N84" s="318"/>
      <c r="O84" s="316" t="s">
        <v>693</v>
      </c>
    </row>
    <row r="85" spans="1:15" ht="26">
      <c r="A85" s="30" t="s">
        <v>613</v>
      </c>
      <c r="B85" s="307" t="s">
        <v>173</v>
      </c>
      <c r="C85" s="328"/>
      <c r="D85" s="314">
        <v>72</v>
      </c>
      <c r="E85" s="314">
        <v>72</v>
      </c>
      <c r="F85" s="327"/>
      <c r="G85" s="327"/>
      <c r="H85" s="314">
        <v>69</v>
      </c>
      <c r="I85" s="314">
        <v>81</v>
      </c>
      <c r="J85" s="314">
        <v>76</v>
      </c>
      <c r="K85" s="318"/>
      <c r="L85" s="318"/>
      <c r="M85" s="315" t="s">
        <v>693</v>
      </c>
      <c r="N85" s="318"/>
      <c r="O85" s="316" t="s">
        <v>693</v>
      </c>
    </row>
    <row r="86" spans="1:15" ht="26">
      <c r="A86" s="30" t="s">
        <v>613</v>
      </c>
      <c r="B86" s="307" t="s">
        <v>179</v>
      </c>
      <c r="C86" s="328"/>
      <c r="D86" s="314">
        <v>76</v>
      </c>
      <c r="E86" s="314">
        <v>73</v>
      </c>
      <c r="F86" s="327"/>
      <c r="G86" s="327"/>
      <c r="H86" s="314">
        <v>69</v>
      </c>
      <c r="I86" s="314">
        <v>75</v>
      </c>
      <c r="J86" s="314">
        <v>67</v>
      </c>
      <c r="K86" s="318"/>
      <c r="L86" s="318"/>
      <c r="M86" s="318"/>
      <c r="N86" s="318"/>
      <c r="O86" s="316" t="s">
        <v>693</v>
      </c>
    </row>
    <row r="87" spans="1:15" ht="26">
      <c r="A87" s="30" t="s">
        <v>613</v>
      </c>
      <c r="B87" s="307" t="s">
        <v>184</v>
      </c>
      <c r="C87" s="328"/>
      <c r="D87" s="327"/>
      <c r="E87" s="314">
        <v>75</v>
      </c>
      <c r="F87" s="327"/>
      <c r="G87" s="327"/>
      <c r="H87" s="314">
        <v>71</v>
      </c>
      <c r="I87" s="314">
        <v>73</v>
      </c>
      <c r="J87" s="314">
        <v>66</v>
      </c>
      <c r="K87" s="328"/>
      <c r="L87" s="328"/>
      <c r="M87" s="328"/>
      <c r="N87" s="328"/>
      <c r="O87" s="329"/>
    </row>
    <row r="88" spans="1:15" ht="26">
      <c r="A88" s="30" t="s">
        <v>625</v>
      </c>
      <c r="B88" s="330" t="s">
        <v>144</v>
      </c>
      <c r="C88" s="331">
        <v>45</v>
      </c>
      <c r="D88" s="331">
        <v>49</v>
      </c>
      <c r="E88" s="331">
        <v>45</v>
      </c>
      <c r="F88" s="331">
        <v>40</v>
      </c>
      <c r="G88" s="331">
        <v>42</v>
      </c>
      <c r="H88" s="331">
        <v>38</v>
      </c>
      <c r="I88" s="331">
        <v>39</v>
      </c>
      <c r="J88" s="331">
        <v>32</v>
      </c>
      <c r="K88" s="332" t="s">
        <v>693</v>
      </c>
      <c r="L88" s="332" t="s">
        <v>693</v>
      </c>
      <c r="M88" s="332" t="s">
        <v>693</v>
      </c>
      <c r="N88" s="332" t="s">
        <v>693</v>
      </c>
      <c r="O88" s="333" t="s">
        <v>694</v>
      </c>
    </row>
    <row r="89" spans="1:15" ht="26">
      <c r="A89" s="30" t="s">
        <v>625</v>
      </c>
      <c r="B89" s="307" t="s">
        <v>161</v>
      </c>
      <c r="C89" s="327">
        <v>55</v>
      </c>
      <c r="D89" s="327">
        <v>59</v>
      </c>
      <c r="E89" s="327">
        <v>53</v>
      </c>
      <c r="F89" s="327"/>
      <c r="G89" s="327">
        <v>51</v>
      </c>
      <c r="H89" s="334">
        <v>46</v>
      </c>
      <c r="I89" s="328">
        <v>45</v>
      </c>
      <c r="J89" s="327">
        <v>38</v>
      </c>
      <c r="K89" s="315" t="s">
        <v>693</v>
      </c>
      <c r="L89" s="315" t="s">
        <v>693</v>
      </c>
      <c r="M89" s="315" t="s">
        <v>693</v>
      </c>
      <c r="N89" s="318"/>
      <c r="O89" s="316" t="s">
        <v>693</v>
      </c>
    </row>
    <row r="90" spans="1:15" ht="26">
      <c r="A90" s="30" t="s">
        <v>625</v>
      </c>
      <c r="B90" s="307" t="s">
        <v>173</v>
      </c>
      <c r="C90" s="328"/>
      <c r="D90" s="327">
        <v>71</v>
      </c>
      <c r="E90" s="327">
        <v>63</v>
      </c>
      <c r="F90" s="327"/>
      <c r="G90" s="327"/>
      <c r="H90" s="327">
        <v>55</v>
      </c>
      <c r="I90" s="327">
        <v>54</v>
      </c>
      <c r="J90" s="327">
        <v>45</v>
      </c>
      <c r="K90" s="318"/>
      <c r="L90" s="318"/>
      <c r="M90" s="315" t="s">
        <v>693</v>
      </c>
      <c r="N90" s="318"/>
      <c r="O90" s="316" t="s">
        <v>693</v>
      </c>
    </row>
    <row r="91" spans="1:15" ht="26">
      <c r="A91" s="30" t="s">
        <v>625</v>
      </c>
      <c r="B91" s="307" t="s">
        <v>179</v>
      </c>
      <c r="C91" s="328"/>
      <c r="D91" s="327">
        <v>87</v>
      </c>
      <c r="E91" s="327">
        <v>78</v>
      </c>
      <c r="F91" s="327"/>
      <c r="G91" s="327"/>
      <c r="H91" s="327">
        <v>69</v>
      </c>
      <c r="I91" s="327">
        <v>65</v>
      </c>
      <c r="J91" s="327">
        <v>56</v>
      </c>
      <c r="K91" s="318"/>
      <c r="L91" s="318"/>
      <c r="M91" s="318"/>
      <c r="N91" s="318"/>
      <c r="O91" s="316" t="s">
        <v>693</v>
      </c>
    </row>
    <row r="92" spans="1:15" ht="26">
      <c r="A92" s="30" t="s">
        <v>625</v>
      </c>
      <c r="B92" s="307" t="s">
        <v>184</v>
      </c>
      <c r="C92" s="328"/>
      <c r="D92" s="327"/>
      <c r="E92" s="327">
        <v>88</v>
      </c>
      <c r="F92" s="327"/>
      <c r="G92" s="327"/>
      <c r="H92" s="327">
        <v>78</v>
      </c>
      <c r="I92" s="327">
        <v>74</v>
      </c>
      <c r="J92" s="327">
        <v>65</v>
      </c>
      <c r="K92" s="328"/>
      <c r="L92" s="328"/>
      <c r="M92" s="328"/>
      <c r="N92" s="328"/>
      <c r="O92" s="329"/>
    </row>
    <row r="93" spans="1:15" ht="26">
      <c r="A93" s="30" t="s">
        <v>616</v>
      </c>
      <c r="B93" s="307" t="s">
        <v>144</v>
      </c>
      <c r="C93" s="314">
        <v>34</v>
      </c>
      <c r="D93" s="314">
        <v>37</v>
      </c>
      <c r="E93" s="314">
        <v>36</v>
      </c>
      <c r="F93" s="314">
        <v>32</v>
      </c>
      <c r="G93" s="314">
        <v>34</v>
      </c>
      <c r="H93" s="314">
        <v>35</v>
      </c>
      <c r="I93" s="314">
        <v>38</v>
      </c>
      <c r="J93" s="314">
        <v>36</v>
      </c>
      <c r="K93" s="315" t="s">
        <v>693</v>
      </c>
      <c r="L93" s="315" t="s">
        <v>693</v>
      </c>
      <c r="M93" s="315" t="s">
        <v>693</v>
      </c>
      <c r="N93" s="315" t="s">
        <v>693</v>
      </c>
      <c r="O93" s="316" t="s">
        <v>694</v>
      </c>
    </row>
    <row r="94" spans="1:15" ht="26">
      <c r="A94" s="30" t="s">
        <v>616</v>
      </c>
      <c r="B94" s="307" t="s">
        <v>161</v>
      </c>
      <c r="C94" s="314">
        <v>38</v>
      </c>
      <c r="D94" s="314">
        <v>41</v>
      </c>
      <c r="E94" s="314">
        <v>39</v>
      </c>
      <c r="F94" s="317"/>
      <c r="G94" s="314">
        <v>37</v>
      </c>
      <c r="H94" s="314">
        <v>36</v>
      </c>
      <c r="I94" s="314">
        <v>38</v>
      </c>
      <c r="J94" s="314">
        <v>35</v>
      </c>
      <c r="K94" s="315" t="s">
        <v>693</v>
      </c>
      <c r="L94" s="315" t="s">
        <v>693</v>
      </c>
      <c r="M94" s="315" t="s">
        <v>693</v>
      </c>
      <c r="N94" s="318"/>
      <c r="O94" s="316" t="s">
        <v>693</v>
      </c>
    </row>
    <row r="95" spans="1:15" ht="26">
      <c r="A95" s="30" t="s">
        <v>616</v>
      </c>
      <c r="B95" s="307" t="s">
        <v>173</v>
      </c>
      <c r="C95" s="318"/>
      <c r="D95" s="314">
        <v>46</v>
      </c>
      <c r="E95" s="314">
        <v>42</v>
      </c>
      <c r="F95" s="317"/>
      <c r="G95" s="317"/>
      <c r="H95" s="314">
        <v>38</v>
      </c>
      <c r="I95" s="314">
        <v>39</v>
      </c>
      <c r="J95" s="314">
        <v>35</v>
      </c>
      <c r="K95" s="318"/>
      <c r="L95" s="318"/>
      <c r="M95" s="315" t="s">
        <v>693</v>
      </c>
      <c r="N95" s="318"/>
      <c r="O95" s="316" t="s">
        <v>693</v>
      </c>
    </row>
    <row r="96" spans="1:15" ht="26">
      <c r="A96" s="30" t="s">
        <v>616</v>
      </c>
      <c r="B96" s="307" t="s">
        <v>179</v>
      </c>
      <c r="C96" s="318"/>
      <c r="D96" s="314">
        <v>53</v>
      </c>
      <c r="E96" s="314">
        <v>48</v>
      </c>
      <c r="F96" s="317"/>
      <c r="G96" s="317"/>
      <c r="H96" s="314">
        <v>43</v>
      </c>
      <c r="I96" s="314">
        <v>43</v>
      </c>
      <c r="J96" s="314">
        <v>38</v>
      </c>
      <c r="K96" s="318"/>
      <c r="L96" s="318"/>
      <c r="M96" s="318"/>
      <c r="N96" s="318"/>
      <c r="O96" s="316" t="s">
        <v>693</v>
      </c>
    </row>
    <row r="97" spans="1:15" ht="26">
      <c r="A97" s="30" t="s">
        <v>616</v>
      </c>
      <c r="B97" s="307" t="s">
        <v>184</v>
      </c>
      <c r="C97" s="318"/>
      <c r="D97" s="317"/>
      <c r="E97" s="314">
        <v>52</v>
      </c>
      <c r="F97" s="317"/>
      <c r="G97" s="317"/>
      <c r="H97" s="314">
        <v>47</v>
      </c>
      <c r="I97" s="314">
        <v>45</v>
      </c>
      <c r="J97" s="314">
        <v>41</v>
      </c>
      <c r="K97" s="318"/>
      <c r="L97" s="318"/>
      <c r="M97" s="318"/>
      <c r="N97" s="318"/>
      <c r="O97" s="316"/>
    </row>
    <row r="98" spans="1:15" ht="26">
      <c r="A98" s="250" t="s">
        <v>628</v>
      </c>
      <c r="B98" s="307" t="s">
        <v>144</v>
      </c>
      <c r="C98" s="285">
        <v>96</v>
      </c>
      <c r="D98" s="285">
        <v>105</v>
      </c>
      <c r="E98" s="285">
        <v>94</v>
      </c>
      <c r="F98" s="285">
        <v>88</v>
      </c>
      <c r="G98" s="285">
        <v>91</v>
      </c>
      <c r="H98" s="285">
        <v>82</v>
      </c>
      <c r="I98" s="285">
        <v>82</v>
      </c>
      <c r="J98" s="285">
        <v>71</v>
      </c>
      <c r="K98" s="318">
        <v>74</v>
      </c>
      <c r="L98" s="318">
        <v>85</v>
      </c>
      <c r="M98" s="318">
        <v>87</v>
      </c>
      <c r="N98" s="318">
        <v>43</v>
      </c>
      <c r="O98" s="316">
        <v>88</v>
      </c>
    </row>
    <row r="99" spans="1:15" ht="26">
      <c r="A99" s="250" t="s">
        <v>628</v>
      </c>
      <c r="B99" s="307" t="s">
        <v>161</v>
      </c>
      <c r="C99" s="285">
        <v>117</v>
      </c>
      <c r="D99" s="285">
        <v>126</v>
      </c>
      <c r="E99" s="285">
        <v>111</v>
      </c>
      <c r="F99" s="318"/>
      <c r="G99" s="285">
        <v>109</v>
      </c>
      <c r="H99" s="285">
        <v>98</v>
      </c>
      <c r="I99" s="285">
        <v>93</v>
      </c>
      <c r="J99" s="285">
        <v>81</v>
      </c>
      <c r="K99" s="318">
        <v>46</v>
      </c>
      <c r="L99" s="318">
        <v>58</v>
      </c>
      <c r="M99" s="318"/>
      <c r="N99" s="318"/>
      <c r="O99" s="316"/>
    </row>
    <row r="100" spans="1:15" ht="26">
      <c r="A100" s="250" t="s">
        <v>628</v>
      </c>
      <c r="B100" s="307" t="s">
        <v>173</v>
      </c>
      <c r="C100" s="285"/>
      <c r="D100" s="285">
        <v>148</v>
      </c>
      <c r="E100" s="285">
        <v>133</v>
      </c>
      <c r="F100" s="285"/>
      <c r="G100" s="285"/>
      <c r="H100" s="285">
        <v>115</v>
      </c>
      <c r="I100" s="285">
        <v>110</v>
      </c>
      <c r="J100" s="285">
        <v>95</v>
      </c>
      <c r="K100" s="318"/>
      <c r="L100" s="318"/>
      <c r="M100" s="318"/>
      <c r="N100" s="318">
        <v>49</v>
      </c>
      <c r="O100" s="316"/>
    </row>
    <row r="101" spans="1:15" ht="26">
      <c r="A101" s="250" t="s">
        <v>628</v>
      </c>
      <c r="B101" s="307" t="s">
        <v>179</v>
      </c>
      <c r="C101" s="285"/>
      <c r="D101" s="285">
        <v>174</v>
      </c>
      <c r="E101" s="285">
        <v>157</v>
      </c>
      <c r="F101" s="285"/>
      <c r="G101" s="285"/>
      <c r="H101" s="285">
        <v>140</v>
      </c>
      <c r="I101" s="285">
        <v>132</v>
      </c>
      <c r="J101" s="285">
        <v>117</v>
      </c>
      <c r="K101" s="318"/>
      <c r="L101" s="318"/>
      <c r="M101" s="318"/>
      <c r="N101" s="318">
        <v>90</v>
      </c>
      <c r="O101" s="316"/>
    </row>
    <row r="102" spans="1:15" ht="26">
      <c r="A102" s="250" t="s">
        <v>628</v>
      </c>
      <c r="B102" s="307" t="s">
        <v>184</v>
      </c>
      <c r="C102" s="285"/>
      <c r="D102" s="285"/>
      <c r="E102" s="285">
        <v>172</v>
      </c>
      <c r="F102" s="285"/>
      <c r="G102" s="285"/>
      <c r="H102" s="285">
        <v>154</v>
      </c>
      <c r="I102" s="285">
        <v>147</v>
      </c>
      <c r="J102" s="285">
        <v>132</v>
      </c>
      <c r="K102" s="318"/>
      <c r="L102" s="318"/>
      <c r="M102" s="318"/>
      <c r="N102" s="318"/>
      <c r="O102" s="316"/>
    </row>
    <row r="103" spans="1:15" ht="26">
      <c r="A103" s="250" t="s">
        <v>632</v>
      </c>
      <c r="B103" s="307" t="s">
        <v>144</v>
      </c>
      <c r="C103" s="285">
        <v>100</v>
      </c>
      <c r="D103" s="285">
        <v>110</v>
      </c>
      <c r="E103" s="285">
        <v>98</v>
      </c>
      <c r="F103" s="285">
        <v>92</v>
      </c>
      <c r="G103" s="285">
        <v>95</v>
      </c>
      <c r="H103" s="285">
        <v>85</v>
      </c>
      <c r="I103" s="285">
        <v>85</v>
      </c>
      <c r="J103" s="285">
        <v>74</v>
      </c>
      <c r="K103" s="318">
        <v>74</v>
      </c>
      <c r="L103" s="318">
        <v>85</v>
      </c>
      <c r="M103" s="318">
        <v>87</v>
      </c>
      <c r="N103" s="318">
        <v>43</v>
      </c>
      <c r="O103" s="316">
        <v>88</v>
      </c>
    </row>
    <row r="104" spans="1:15" ht="26">
      <c r="A104" s="250" t="s">
        <v>632</v>
      </c>
      <c r="B104" s="307" t="s">
        <v>161</v>
      </c>
      <c r="C104" s="285">
        <v>121</v>
      </c>
      <c r="D104" s="285">
        <v>131</v>
      </c>
      <c r="E104" s="285">
        <v>116</v>
      </c>
      <c r="F104" s="285"/>
      <c r="G104" s="285">
        <v>114</v>
      </c>
      <c r="H104" s="285">
        <v>102</v>
      </c>
      <c r="I104" s="285">
        <v>96</v>
      </c>
      <c r="J104" s="285">
        <v>84</v>
      </c>
      <c r="K104" s="318">
        <v>46</v>
      </c>
      <c r="L104" s="318">
        <v>58</v>
      </c>
      <c r="M104" s="318"/>
      <c r="N104" s="318"/>
      <c r="O104" s="316"/>
    </row>
    <row r="105" spans="1:15" ht="26">
      <c r="A105" s="250" t="s">
        <v>632</v>
      </c>
      <c r="B105" s="307" t="s">
        <v>173</v>
      </c>
      <c r="C105" s="285"/>
      <c r="D105" s="285">
        <v>154</v>
      </c>
      <c r="E105" s="285">
        <v>138</v>
      </c>
      <c r="F105" s="285"/>
      <c r="G105" s="285"/>
      <c r="H105" s="285">
        <v>120</v>
      </c>
      <c r="I105" s="285">
        <v>115</v>
      </c>
      <c r="J105" s="285">
        <v>99</v>
      </c>
      <c r="K105" s="318"/>
      <c r="L105" s="318"/>
      <c r="M105" s="318"/>
      <c r="N105" s="318">
        <v>49</v>
      </c>
      <c r="O105" s="316"/>
    </row>
    <row r="106" spans="1:15" ht="26">
      <c r="A106" s="250" t="s">
        <v>632</v>
      </c>
      <c r="B106" s="307" t="s">
        <v>179</v>
      </c>
      <c r="C106" s="285"/>
      <c r="D106" s="285">
        <v>181</v>
      </c>
      <c r="E106" s="285">
        <v>163</v>
      </c>
      <c r="F106" s="285"/>
      <c r="G106" s="285"/>
      <c r="H106" s="285">
        <v>146</v>
      </c>
      <c r="I106" s="285">
        <v>138</v>
      </c>
      <c r="J106" s="285">
        <v>122</v>
      </c>
      <c r="K106" s="318"/>
      <c r="L106" s="318"/>
      <c r="M106" s="318"/>
      <c r="N106" s="318">
        <v>90</v>
      </c>
      <c r="O106" s="316"/>
    </row>
    <row r="107" spans="1:15" ht="26">
      <c r="A107" s="250" t="s">
        <v>632</v>
      </c>
      <c r="B107" s="307" t="s">
        <v>184</v>
      </c>
      <c r="C107" s="285"/>
      <c r="D107" s="285"/>
      <c r="E107" s="285">
        <v>179</v>
      </c>
      <c r="F107" s="285"/>
      <c r="G107" s="285"/>
      <c r="H107" s="285">
        <v>161</v>
      </c>
      <c r="I107" s="285">
        <v>153</v>
      </c>
      <c r="J107" s="285">
        <v>137</v>
      </c>
      <c r="K107" s="318"/>
      <c r="L107" s="318"/>
      <c r="M107" s="318"/>
      <c r="N107" s="318"/>
      <c r="O107" s="316"/>
    </row>
    <row r="108" spans="1:15" ht="26">
      <c r="A108" s="250" t="s">
        <v>635</v>
      </c>
      <c r="B108" s="307" t="s">
        <v>144</v>
      </c>
      <c r="C108" s="285">
        <v>104</v>
      </c>
      <c r="D108" s="285">
        <v>114</v>
      </c>
      <c r="E108" s="285">
        <v>102</v>
      </c>
      <c r="F108" s="285">
        <v>96</v>
      </c>
      <c r="G108" s="285">
        <v>99</v>
      </c>
      <c r="H108" s="285">
        <v>89</v>
      </c>
      <c r="I108" s="285">
        <v>89</v>
      </c>
      <c r="J108" s="285">
        <v>77</v>
      </c>
      <c r="K108" s="318">
        <v>74</v>
      </c>
      <c r="L108" s="318">
        <v>85</v>
      </c>
      <c r="M108" s="318">
        <v>87</v>
      </c>
      <c r="N108" s="318">
        <v>43</v>
      </c>
      <c r="O108" s="316">
        <v>88</v>
      </c>
    </row>
    <row r="109" spans="1:15" ht="26">
      <c r="A109" s="250" t="s">
        <v>635</v>
      </c>
      <c r="B109" s="307" t="s">
        <v>161</v>
      </c>
      <c r="C109" s="285">
        <v>126</v>
      </c>
      <c r="D109" s="285">
        <v>136</v>
      </c>
      <c r="E109" s="285">
        <v>121</v>
      </c>
      <c r="F109" s="285"/>
      <c r="G109" s="285">
        <v>118</v>
      </c>
      <c r="H109" s="285">
        <v>106</v>
      </c>
      <c r="I109" s="285">
        <v>100</v>
      </c>
      <c r="J109" s="285">
        <v>88</v>
      </c>
      <c r="K109" s="318">
        <v>46</v>
      </c>
      <c r="L109" s="318">
        <v>58</v>
      </c>
      <c r="M109" s="318"/>
      <c r="N109" s="318"/>
      <c r="O109" s="316"/>
    </row>
    <row r="110" spans="1:15" ht="26">
      <c r="A110" s="250" t="s">
        <v>635</v>
      </c>
      <c r="B110" s="307" t="s">
        <v>173</v>
      </c>
      <c r="C110" s="285"/>
      <c r="D110" s="285">
        <v>160</v>
      </c>
      <c r="E110" s="285">
        <v>144</v>
      </c>
      <c r="F110" s="285"/>
      <c r="G110" s="285"/>
      <c r="H110" s="285">
        <v>125</v>
      </c>
      <c r="I110" s="285">
        <v>119</v>
      </c>
      <c r="J110" s="285">
        <v>103</v>
      </c>
      <c r="K110" s="318"/>
      <c r="L110" s="318"/>
      <c r="M110" s="318"/>
      <c r="N110" s="318">
        <v>49</v>
      </c>
      <c r="O110" s="316"/>
    </row>
    <row r="111" spans="1:15" ht="26">
      <c r="A111" s="250" t="s">
        <v>635</v>
      </c>
      <c r="B111" s="307" t="s">
        <v>179</v>
      </c>
      <c r="C111" s="285"/>
      <c r="D111" s="285">
        <v>188</v>
      </c>
      <c r="E111" s="285">
        <v>170</v>
      </c>
      <c r="F111" s="285"/>
      <c r="G111" s="285"/>
      <c r="H111" s="285">
        <v>152</v>
      </c>
      <c r="I111" s="285">
        <v>143</v>
      </c>
      <c r="J111" s="285">
        <v>127</v>
      </c>
      <c r="K111" s="318"/>
      <c r="L111" s="318"/>
      <c r="M111" s="318"/>
      <c r="N111" s="318">
        <v>90</v>
      </c>
      <c r="O111" s="316"/>
    </row>
    <row r="112" spans="1:15" ht="26">
      <c r="A112" s="250" t="s">
        <v>635</v>
      </c>
      <c r="B112" s="307" t="s">
        <v>184</v>
      </c>
      <c r="C112" s="285"/>
      <c r="D112" s="285"/>
      <c r="E112" s="285">
        <v>186</v>
      </c>
      <c r="F112" s="285"/>
      <c r="G112" s="285"/>
      <c r="H112" s="285">
        <v>167</v>
      </c>
      <c r="I112" s="285">
        <v>159</v>
      </c>
      <c r="J112" s="285">
        <v>143</v>
      </c>
      <c r="K112" s="318"/>
      <c r="L112" s="318"/>
      <c r="M112" s="318"/>
      <c r="N112" s="318"/>
      <c r="O112" s="316"/>
    </row>
    <row r="113" spans="1:15" ht="26">
      <c r="A113" s="250" t="s">
        <v>638</v>
      </c>
      <c r="B113" s="307" t="s">
        <v>144</v>
      </c>
      <c r="C113" s="285">
        <v>0</v>
      </c>
      <c r="D113" s="285">
        <v>0</v>
      </c>
      <c r="E113" s="285">
        <v>0</v>
      </c>
      <c r="F113" s="285">
        <v>0</v>
      </c>
      <c r="G113" s="285">
        <v>0</v>
      </c>
      <c r="H113" s="285">
        <v>0</v>
      </c>
      <c r="I113" s="285">
        <v>0</v>
      </c>
      <c r="J113" s="285">
        <v>0</v>
      </c>
      <c r="K113" s="318"/>
      <c r="L113" s="318"/>
      <c r="M113" s="318"/>
      <c r="N113" s="318"/>
      <c r="O113" s="316"/>
    </row>
    <row r="114" spans="1:15" ht="26">
      <c r="A114" s="250" t="s">
        <v>638</v>
      </c>
      <c r="B114" s="307" t="s">
        <v>161</v>
      </c>
      <c r="C114" s="285"/>
      <c r="D114" s="285">
        <v>0</v>
      </c>
      <c r="E114" s="285">
        <v>0</v>
      </c>
      <c r="F114" s="285"/>
      <c r="G114" s="285">
        <v>0</v>
      </c>
      <c r="H114" s="285">
        <v>0</v>
      </c>
      <c r="I114" s="285">
        <v>0</v>
      </c>
      <c r="J114" s="285">
        <v>0</v>
      </c>
      <c r="K114" s="318"/>
      <c r="L114" s="318"/>
      <c r="M114" s="318"/>
      <c r="N114" s="318"/>
      <c r="O114" s="316"/>
    </row>
    <row r="115" spans="1:15" ht="26">
      <c r="A115" s="250" t="s">
        <v>638</v>
      </c>
      <c r="B115" s="307" t="s">
        <v>173</v>
      </c>
      <c r="C115" s="285"/>
      <c r="D115" s="285">
        <v>0</v>
      </c>
      <c r="E115" s="285">
        <v>0</v>
      </c>
      <c r="F115" s="285"/>
      <c r="G115" s="285"/>
      <c r="H115" s="285">
        <v>0</v>
      </c>
      <c r="I115" s="285">
        <v>0</v>
      </c>
      <c r="J115" s="285">
        <v>0</v>
      </c>
      <c r="K115" s="318"/>
      <c r="L115" s="318"/>
      <c r="M115" s="318"/>
      <c r="N115" s="318"/>
      <c r="O115" s="316"/>
    </row>
    <row r="116" spans="1:15" ht="26">
      <c r="A116" s="250" t="s">
        <v>638</v>
      </c>
      <c r="B116" s="307" t="s">
        <v>179</v>
      </c>
      <c r="C116" s="285"/>
      <c r="D116" s="285">
        <v>0</v>
      </c>
      <c r="E116" s="285">
        <v>0</v>
      </c>
      <c r="F116" s="285"/>
      <c r="G116" s="285"/>
      <c r="H116" s="285">
        <v>0</v>
      </c>
      <c r="I116" s="285">
        <v>0</v>
      </c>
      <c r="J116" s="285">
        <v>0</v>
      </c>
      <c r="K116" s="318"/>
      <c r="L116" s="318"/>
      <c r="M116" s="318"/>
      <c r="N116" s="318"/>
      <c r="O116" s="316"/>
    </row>
    <row r="117" spans="1:15" ht="26">
      <c r="A117" s="250" t="s">
        <v>638</v>
      </c>
      <c r="B117" s="307" t="s">
        <v>184</v>
      </c>
      <c r="C117" s="285"/>
      <c r="D117" s="285">
        <v>0</v>
      </c>
      <c r="E117" s="285">
        <v>0</v>
      </c>
      <c r="F117" s="285"/>
      <c r="G117" s="285"/>
      <c r="H117" s="285">
        <v>0</v>
      </c>
      <c r="I117" s="285">
        <v>0</v>
      </c>
      <c r="J117" s="285">
        <v>0</v>
      </c>
      <c r="K117" s="318"/>
      <c r="L117" s="318"/>
      <c r="M117" s="318"/>
      <c r="N117" s="318"/>
      <c r="O117" s="316"/>
    </row>
    <row r="118" spans="1:15" ht="26">
      <c r="A118" s="250" t="s">
        <v>639</v>
      </c>
      <c r="B118" s="307" t="s">
        <v>144</v>
      </c>
      <c r="C118" s="285">
        <v>318</v>
      </c>
      <c r="D118" s="285">
        <v>292</v>
      </c>
      <c r="E118" s="285">
        <v>332</v>
      </c>
      <c r="F118" s="285">
        <v>302</v>
      </c>
      <c r="G118" s="285">
        <v>308</v>
      </c>
      <c r="H118" s="285">
        <v>283</v>
      </c>
      <c r="I118" s="285">
        <v>323</v>
      </c>
      <c r="J118" s="285">
        <v>273</v>
      </c>
      <c r="K118" s="318" t="s">
        <v>693</v>
      </c>
      <c r="L118" s="318" t="s">
        <v>693</v>
      </c>
      <c r="M118" s="318" t="s">
        <v>693</v>
      </c>
      <c r="N118" s="318" t="s">
        <v>693</v>
      </c>
      <c r="O118" s="318" t="s">
        <v>693</v>
      </c>
    </row>
    <row r="119" spans="1:15" ht="26">
      <c r="A119" s="250" t="s">
        <v>639</v>
      </c>
      <c r="B119" s="307" t="s">
        <v>161</v>
      </c>
      <c r="C119" s="285">
        <v>375</v>
      </c>
      <c r="D119" s="285">
        <v>356</v>
      </c>
      <c r="E119" s="285">
        <v>364</v>
      </c>
      <c r="F119" s="285"/>
      <c r="G119" s="285">
        <v>366</v>
      </c>
      <c r="H119" s="285">
        <v>341</v>
      </c>
      <c r="I119" s="285">
        <v>387</v>
      </c>
      <c r="J119" s="285">
        <v>333</v>
      </c>
      <c r="K119" s="318" t="s">
        <v>693</v>
      </c>
      <c r="L119" s="318" t="s">
        <v>693</v>
      </c>
      <c r="M119" s="318" t="s">
        <v>693</v>
      </c>
      <c r="N119" s="318"/>
      <c r="O119" s="318" t="s">
        <v>693</v>
      </c>
    </row>
    <row r="120" spans="1:15" ht="26">
      <c r="A120" s="250" t="s">
        <v>639</v>
      </c>
      <c r="B120" s="307" t="s">
        <v>173</v>
      </c>
      <c r="C120" s="285"/>
      <c r="D120" s="285">
        <v>424</v>
      </c>
      <c r="E120" s="285">
        <v>429</v>
      </c>
      <c r="F120" s="285"/>
      <c r="G120" s="285"/>
      <c r="H120" s="285">
        <v>403</v>
      </c>
      <c r="I120" s="285">
        <v>453</v>
      </c>
      <c r="J120" s="285">
        <v>395</v>
      </c>
      <c r="K120" s="318"/>
      <c r="L120" s="318"/>
      <c r="M120" s="318" t="s">
        <v>693</v>
      </c>
      <c r="N120" s="318"/>
      <c r="O120" s="318" t="s">
        <v>693</v>
      </c>
    </row>
    <row r="121" spans="1:15" ht="26">
      <c r="A121" s="250" t="s">
        <v>639</v>
      </c>
      <c r="B121" s="307" t="s">
        <v>179</v>
      </c>
      <c r="C121" s="285"/>
      <c r="D121" s="285">
        <v>506</v>
      </c>
      <c r="E121" s="285">
        <v>505</v>
      </c>
      <c r="F121" s="285"/>
      <c r="G121" s="285"/>
      <c r="H121" s="285">
        <v>478</v>
      </c>
      <c r="I121" s="285">
        <v>527</v>
      </c>
      <c r="J121" s="285">
        <v>468</v>
      </c>
      <c r="K121" s="318"/>
      <c r="L121" s="318"/>
      <c r="M121" s="318"/>
      <c r="N121" s="318"/>
      <c r="O121" s="318" t="s">
        <v>693</v>
      </c>
    </row>
    <row r="122" spans="1:15" ht="26">
      <c r="A122" s="250" t="s">
        <v>639</v>
      </c>
      <c r="B122" s="307" t="s">
        <v>184</v>
      </c>
      <c r="C122" s="285"/>
      <c r="D122" s="285"/>
      <c r="E122" s="285">
        <v>556</v>
      </c>
      <c r="F122" s="285"/>
      <c r="G122" s="285"/>
      <c r="H122" s="285">
        <v>533</v>
      </c>
      <c r="I122" s="285">
        <v>578</v>
      </c>
      <c r="J122" s="285">
        <v>520</v>
      </c>
      <c r="K122" s="318"/>
      <c r="L122" s="318"/>
      <c r="M122" s="318"/>
      <c r="N122" s="318"/>
      <c r="O122" s="316"/>
    </row>
    <row r="123" spans="1:15" ht="26">
      <c r="A123" s="250" t="s">
        <v>643</v>
      </c>
      <c r="B123" s="307" t="s">
        <v>144</v>
      </c>
      <c r="C123" s="285">
        <v>47</v>
      </c>
      <c r="D123" s="285">
        <v>50</v>
      </c>
      <c r="E123" s="285">
        <v>45</v>
      </c>
      <c r="F123" s="285">
        <v>43</v>
      </c>
      <c r="G123" s="285">
        <v>44</v>
      </c>
      <c r="H123" s="285">
        <v>39</v>
      </c>
      <c r="I123" s="285">
        <v>38</v>
      </c>
      <c r="J123" s="285">
        <v>33</v>
      </c>
      <c r="K123" s="318" t="s">
        <v>693</v>
      </c>
      <c r="L123" s="318" t="s">
        <v>693</v>
      </c>
      <c r="M123" s="318" t="s">
        <v>693</v>
      </c>
      <c r="N123" s="318" t="s">
        <v>693</v>
      </c>
      <c r="O123" s="318" t="s">
        <v>693</v>
      </c>
    </row>
    <row r="124" spans="1:15" ht="26">
      <c r="A124" s="250" t="s">
        <v>643</v>
      </c>
      <c r="B124" s="307" t="s">
        <v>161</v>
      </c>
      <c r="C124" s="285">
        <v>56</v>
      </c>
      <c r="D124" s="285">
        <v>60</v>
      </c>
      <c r="E124" s="285">
        <v>54</v>
      </c>
      <c r="F124" s="285"/>
      <c r="G124" s="285">
        <v>53</v>
      </c>
      <c r="H124" s="285">
        <v>47</v>
      </c>
      <c r="I124" s="285">
        <v>44</v>
      </c>
      <c r="J124" s="285">
        <v>39</v>
      </c>
      <c r="K124" s="318" t="s">
        <v>693</v>
      </c>
      <c r="L124" s="318" t="s">
        <v>693</v>
      </c>
      <c r="M124" s="318" t="s">
        <v>693</v>
      </c>
      <c r="N124" s="318"/>
      <c r="O124" s="318" t="s">
        <v>693</v>
      </c>
    </row>
    <row r="125" spans="1:15" ht="26">
      <c r="A125" s="250" t="s">
        <v>643</v>
      </c>
      <c r="B125" s="307" t="s">
        <v>173</v>
      </c>
      <c r="C125" s="285"/>
      <c r="D125" s="285">
        <v>70</v>
      </c>
      <c r="E125" s="285">
        <v>62</v>
      </c>
      <c r="F125" s="285"/>
      <c r="G125" s="285"/>
      <c r="H125" s="285">
        <v>56</v>
      </c>
      <c r="I125" s="285">
        <v>52</v>
      </c>
      <c r="J125" s="285">
        <v>46</v>
      </c>
      <c r="K125" s="318"/>
      <c r="L125" s="318"/>
      <c r="M125" s="318" t="s">
        <v>693</v>
      </c>
      <c r="N125" s="318"/>
      <c r="O125" s="318" t="s">
        <v>693</v>
      </c>
    </row>
    <row r="126" spans="1:15" ht="26">
      <c r="A126" s="250" t="s">
        <v>643</v>
      </c>
      <c r="B126" s="307" t="s">
        <v>179</v>
      </c>
      <c r="C126" s="285"/>
      <c r="D126" s="285">
        <v>84</v>
      </c>
      <c r="E126" s="285">
        <v>75</v>
      </c>
      <c r="F126" s="285"/>
      <c r="G126" s="285"/>
      <c r="H126" s="285">
        <v>67</v>
      </c>
      <c r="I126" s="285">
        <v>62</v>
      </c>
      <c r="J126" s="285">
        <v>56</v>
      </c>
      <c r="K126" s="318"/>
      <c r="L126" s="318"/>
      <c r="M126" s="318"/>
      <c r="N126" s="318"/>
      <c r="O126" s="318" t="s">
        <v>693</v>
      </c>
    </row>
    <row r="127" spans="1:15" ht="26">
      <c r="A127" s="250" t="s">
        <v>643</v>
      </c>
      <c r="B127" s="307" t="s">
        <v>184</v>
      </c>
      <c r="C127" s="285"/>
      <c r="D127" s="285"/>
      <c r="E127" s="285">
        <v>83</v>
      </c>
      <c r="F127" s="285"/>
      <c r="G127" s="285"/>
      <c r="H127" s="285">
        <v>74</v>
      </c>
      <c r="I127" s="285">
        <v>69</v>
      </c>
      <c r="J127" s="285">
        <v>62</v>
      </c>
      <c r="K127" s="318"/>
      <c r="L127" s="318"/>
      <c r="M127" s="318"/>
      <c r="N127" s="318"/>
      <c r="O127" s="316"/>
    </row>
    <row r="128" spans="1:15" ht="26">
      <c r="A128" s="250" t="s">
        <v>645</v>
      </c>
      <c r="B128" s="307" t="s">
        <v>144</v>
      </c>
      <c r="C128" s="285">
        <v>21</v>
      </c>
      <c r="D128" s="285">
        <v>21</v>
      </c>
      <c r="E128" s="285">
        <v>22</v>
      </c>
      <c r="F128" s="285">
        <v>16</v>
      </c>
      <c r="G128" s="285">
        <v>16</v>
      </c>
      <c r="H128" s="285">
        <v>14</v>
      </c>
      <c r="I128" s="285">
        <v>18</v>
      </c>
      <c r="J128" s="285">
        <v>10</v>
      </c>
      <c r="K128" s="318"/>
      <c r="L128" s="318"/>
      <c r="M128" s="318"/>
      <c r="N128" s="318"/>
      <c r="O128" s="316"/>
    </row>
    <row r="129" spans="1:15" ht="26">
      <c r="A129" s="250" t="s">
        <v>645</v>
      </c>
      <c r="B129" s="307" t="s">
        <v>161</v>
      </c>
      <c r="C129" s="285">
        <v>30</v>
      </c>
      <c r="D129" s="285">
        <v>31</v>
      </c>
      <c r="E129" s="285">
        <v>31</v>
      </c>
      <c r="F129" s="285"/>
      <c r="G129" s="285">
        <v>25</v>
      </c>
      <c r="H129" s="285">
        <v>22</v>
      </c>
      <c r="I129" s="285">
        <v>25</v>
      </c>
      <c r="J129" s="285">
        <v>16</v>
      </c>
      <c r="K129" s="318"/>
      <c r="L129" s="318"/>
      <c r="M129" s="318"/>
      <c r="N129" s="318"/>
      <c r="O129" s="316"/>
    </row>
    <row r="130" spans="1:15" ht="26">
      <c r="A130" s="250" t="s">
        <v>645</v>
      </c>
      <c r="B130" s="307" t="s">
        <v>173</v>
      </c>
      <c r="C130" s="285"/>
      <c r="D130" s="285">
        <v>43</v>
      </c>
      <c r="E130" s="285">
        <v>41</v>
      </c>
      <c r="F130" s="285"/>
      <c r="G130" s="285">
        <v>32</v>
      </c>
      <c r="H130" s="285">
        <v>35</v>
      </c>
      <c r="I130" s="285">
        <v>24</v>
      </c>
      <c r="J130" s="285"/>
      <c r="K130" s="318"/>
      <c r="L130" s="318"/>
      <c r="M130" s="318"/>
      <c r="N130" s="318"/>
      <c r="O130" s="316"/>
    </row>
    <row r="131" spans="1:15" ht="26">
      <c r="A131" s="250" t="s">
        <v>645</v>
      </c>
      <c r="B131" s="307" t="s">
        <v>179</v>
      </c>
      <c r="C131" s="285"/>
      <c r="D131" s="285">
        <v>62</v>
      </c>
      <c r="E131" s="285">
        <v>57</v>
      </c>
      <c r="F131" s="285"/>
      <c r="G131" s="285">
        <v>48</v>
      </c>
      <c r="H131" s="285">
        <v>49</v>
      </c>
      <c r="I131" s="285">
        <v>37</v>
      </c>
      <c r="J131" s="285"/>
      <c r="K131" s="318"/>
      <c r="L131" s="318"/>
      <c r="M131" s="318"/>
      <c r="N131" s="318"/>
      <c r="O131" s="316"/>
    </row>
    <row r="132" spans="1:15" ht="26">
      <c r="A132" s="250" t="s">
        <v>645</v>
      </c>
      <c r="B132" s="307" t="s">
        <v>184</v>
      </c>
      <c r="C132" s="285"/>
      <c r="D132" s="285"/>
      <c r="E132" s="285">
        <v>69</v>
      </c>
      <c r="F132" s="285"/>
      <c r="G132" s="285">
        <v>59</v>
      </c>
      <c r="H132" s="285">
        <v>60</v>
      </c>
      <c r="I132" s="285">
        <v>46</v>
      </c>
      <c r="J132" s="285"/>
      <c r="K132" s="318"/>
      <c r="L132" s="318"/>
      <c r="M132" s="318"/>
      <c r="N132" s="318"/>
      <c r="O132" s="316"/>
    </row>
    <row r="133" spans="1:15" ht="26">
      <c r="A133" s="250" t="s">
        <v>696</v>
      </c>
      <c r="B133" s="307" t="s">
        <v>144</v>
      </c>
      <c r="C133" s="285">
        <v>10</v>
      </c>
      <c r="D133" s="285">
        <v>10</v>
      </c>
      <c r="E133" s="285">
        <v>10</v>
      </c>
      <c r="F133" s="285">
        <v>10</v>
      </c>
      <c r="G133" s="285">
        <v>10</v>
      </c>
      <c r="H133" s="285">
        <v>10</v>
      </c>
      <c r="I133" s="285">
        <v>10</v>
      </c>
      <c r="J133" s="285">
        <v>10</v>
      </c>
      <c r="K133" s="318"/>
      <c r="L133" s="318"/>
      <c r="M133" s="318"/>
      <c r="N133" s="318"/>
      <c r="O133" s="316"/>
    </row>
    <row r="134" spans="1:15" ht="26">
      <c r="A134" s="250" t="s">
        <v>696</v>
      </c>
      <c r="B134" s="307" t="s">
        <v>161</v>
      </c>
      <c r="C134" s="285">
        <v>10</v>
      </c>
      <c r="D134" s="285">
        <v>10</v>
      </c>
      <c r="E134" s="285">
        <v>10</v>
      </c>
      <c r="F134" s="285"/>
      <c r="G134" s="285">
        <v>10</v>
      </c>
      <c r="H134" s="285">
        <v>10</v>
      </c>
      <c r="I134" s="285">
        <v>10</v>
      </c>
      <c r="J134" s="285">
        <v>10</v>
      </c>
      <c r="K134" s="318"/>
      <c r="L134" s="318"/>
      <c r="M134" s="318"/>
      <c r="N134" s="318"/>
      <c r="O134" s="316"/>
    </row>
    <row r="135" spans="1:15" ht="26">
      <c r="A135" s="250" t="s">
        <v>696</v>
      </c>
      <c r="B135" s="307" t="s">
        <v>173</v>
      </c>
      <c r="C135" s="285"/>
      <c r="D135" s="285">
        <v>10</v>
      </c>
      <c r="E135" s="285">
        <v>10</v>
      </c>
      <c r="F135" s="285"/>
      <c r="G135" s="285">
        <v>10</v>
      </c>
      <c r="H135" s="285">
        <v>10</v>
      </c>
      <c r="I135" s="285">
        <v>10</v>
      </c>
      <c r="J135" s="285"/>
      <c r="K135" s="318"/>
      <c r="L135" s="318"/>
      <c r="M135" s="318"/>
      <c r="N135" s="318"/>
      <c r="O135" s="316"/>
    </row>
    <row r="136" spans="1:15" ht="26">
      <c r="A136" s="250" t="s">
        <v>696</v>
      </c>
      <c r="B136" s="307" t="s">
        <v>179</v>
      </c>
      <c r="C136" s="285"/>
      <c r="D136" s="285">
        <v>0</v>
      </c>
      <c r="E136" s="285">
        <v>0</v>
      </c>
      <c r="F136" s="285"/>
      <c r="G136" s="285">
        <v>0</v>
      </c>
      <c r="H136" s="285">
        <v>0</v>
      </c>
      <c r="I136" s="285">
        <v>0</v>
      </c>
      <c r="J136" s="285"/>
      <c r="K136" s="318"/>
      <c r="L136" s="318"/>
      <c r="M136" s="318"/>
      <c r="N136" s="318"/>
      <c r="O136" s="316"/>
    </row>
    <row r="137" spans="1:15" ht="26">
      <c r="A137" s="250" t="s">
        <v>696</v>
      </c>
      <c r="B137" s="307" t="s">
        <v>184</v>
      </c>
      <c r="C137" s="285"/>
      <c r="D137" s="285">
        <v>0</v>
      </c>
      <c r="E137" s="285">
        <v>0</v>
      </c>
      <c r="F137" s="285"/>
      <c r="G137" s="285">
        <v>0</v>
      </c>
      <c r="H137" s="285">
        <v>0</v>
      </c>
      <c r="I137" s="285">
        <v>0</v>
      </c>
      <c r="J137" s="285"/>
      <c r="K137" s="318"/>
      <c r="L137" s="318"/>
      <c r="M137" s="318"/>
      <c r="N137" s="318"/>
      <c r="O137" s="316"/>
    </row>
    <row r="138" spans="1:15" ht="26">
      <c r="A138" s="250" t="s">
        <v>647</v>
      </c>
      <c r="B138" s="307" t="s">
        <v>144</v>
      </c>
      <c r="C138" s="285">
        <v>2</v>
      </c>
      <c r="D138" s="285">
        <v>2</v>
      </c>
      <c r="E138" s="285">
        <v>2</v>
      </c>
      <c r="F138" s="285">
        <v>2</v>
      </c>
      <c r="G138" s="285">
        <v>2</v>
      </c>
      <c r="H138" s="285">
        <v>2</v>
      </c>
      <c r="I138" s="285">
        <v>2</v>
      </c>
      <c r="J138" s="285">
        <v>2</v>
      </c>
      <c r="K138" s="318"/>
      <c r="L138" s="318"/>
      <c r="M138" s="318"/>
      <c r="N138" s="318"/>
      <c r="O138" s="316"/>
    </row>
    <row r="139" spans="1:15" ht="26">
      <c r="A139" s="250" t="s">
        <v>647</v>
      </c>
      <c r="B139" s="307" t="s">
        <v>161</v>
      </c>
      <c r="C139" s="285">
        <v>2</v>
      </c>
      <c r="D139" s="285">
        <v>2</v>
      </c>
      <c r="E139" s="285">
        <v>2</v>
      </c>
      <c r="F139" s="285"/>
      <c r="G139" s="285">
        <v>2</v>
      </c>
      <c r="H139" s="285">
        <v>2</v>
      </c>
      <c r="I139" s="285">
        <v>2</v>
      </c>
      <c r="J139" s="285">
        <v>2</v>
      </c>
      <c r="K139" s="318"/>
      <c r="L139" s="318"/>
      <c r="M139" s="318"/>
      <c r="N139" s="318"/>
      <c r="O139" s="316"/>
    </row>
    <row r="140" spans="1:15" ht="26">
      <c r="A140" s="250" t="s">
        <v>647</v>
      </c>
      <c r="B140" s="307" t="s">
        <v>173</v>
      </c>
      <c r="C140" s="285"/>
      <c r="D140" s="285">
        <v>2</v>
      </c>
      <c r="E140" s="285">
        <v>2</v>
      </c>
      <c r="F140" s="285"/>
      <c r="G140" s="285"/>
      <c r="H140" s="285">
        <v>2</v>
      </c>
      <c r="I140" s="285">
        <v>2</v>
      </c>
      <c r="J140" s="285">
        <v>2</v>
      </c>
      <c r="K140" s="318"/>
      <c r="L140" s="318"/>
      <c r="M140" s="318"/>
      <c r="N140" s="318"/>
      <c r="O140" s="316"/>
    </row>
    <row r="141" spans="1:15" ht="26">
      <c r="A141" s="250" t="s">
        <v>647</v>
      </c>
      <c r="B141" s="307" t="s">
        <v>179</v>
      </c>
      <c r="C141" s="285"/>
      <c r="D141" s="285">
        <v>2</v>
      </c>
      <c r="E141" s="285">
        <v>2</v>
      </c>
      <c r="F141" s="285"/>
      <c r="G141" s="285"/>
      <c r="H141" s="285">
        <v>2</v>
      </c>
      <c r="I141" s="285">
        <v>2</v>
      </c>
      <c r="J141" s="285">
        <v>2</v>
      </c>
      <c r="K141" s="318"/>
      <c r="L141" s="318"/>
      <c r="M141" s="318"/>
      <c r="N141" s="318"/>
      <c r="O141" s="316"/>
    </row>
    <row r="142" spans="1:15" ht="26">
      <c r="A142" s="250" t="s">
        <v>647</v>
      </c>
      <c r="B142" s="307" t="s">
        <v>184</v>
      </c>
      <c r="C142" s="285"/>
      <c r="D142" s="285"/>
      <c r="E142" s="285">
        <v>2</v>
      </c>
      <c r="F142" s="285"/>
      <c r="G142" s="285"/>
      <c r="H142" s="285">
        <v>2</v>
      </c>
      <c r="I142" s="285">
        <v>2</v>
      </c>
      <c r="J142" s="285">
        <v>2</v>
      </c>
      <c r="K142" s="318"/>
      <c r="L142" s="318"/>
      <c r="M142" s="318"/>
      <c r="N142" s="318"/>
      <c r="O142" s="316"/>
    </row>
    <row r="143" spans="1:15" ht="26">
      <c r="A143" s="250" t="s">
        <v>646</v>
      </c>
      <c r="B143" s="307" t="s">
        <v>144</v>
      </c>
      <c r="C143" s="285">
        <v>1</v>
      </c>
      <c r="D143" s="285">
        <v>1</v>
      </c>
      <c r="E143" s="285">
        <v>1</v>
      </c>
      <c r="F143" s="285">
        <v>1</v>
      </c>
      <c r="G143" s="285">
        <v>1</v>
      </c>
      <c r="H143" s="285">
        <v>1</v>
      </c>
      <c r="I143" s="285">
        <v>1</v>
      </c>
      <c r="J143" s="285">
        <v>1</v>
      </c>
      <c r="K143" s="318"/>
      <c r="L143" s="318"/>
      <c r="M143" s="318"/>
      <c r="N143" s="318"/>
      <c r="O143" s="316"/>
    </row>
    <row r="144" spans="1:15" ht="26">
      <c r="A144" s="250" t="s">
        <v>646</v>
      </c>
      <c r="B144" s="307" t="s">
        <v>161</v>
      </c>
      <c r="C144" s="285">
        <v>1</v>
      </c>
      <c r="D144" s="285">
        <v>1</v>
      </c>
      <c r="E144" s="285">
        <v>1</v>
      </c>
      <c r="F144" s="285"/>
      <c r="G144" s="285">
        <v>1</v>
      </c>
      <c r="H144" s="285">
        <v>1</v>
      </c>
      <c r="I144" s="285">
        <v>1</v>
      </c>
      <c r="J144" s="285">
        <v>1</v>
      </c>
      <c r="K144" s="318"/>
      <c r="L144" s="318"/>
      <c r="M144" s="318"/>
      <c r="N144" s="318"/>
      <c r="O144" s="316"/>
    </row>
    <row r="145" spans="1:15" ht="26">
      <c r="A145" s="250" t="s">
        <v>646</v>
      </c>
      <c r="B145" s="307" t="s">
        <v>173</v>
      </c>
      <c r="C145" s="285"/>
      <c r="D145" s="285">
        <v>2</v>
      </c>
      <c r="E145" s="285">
        <v>2</v>
      </c>
      <c r="F145" s="285"/>
      <c r="G145" s="285"/>
      <c r="H145" s="285">
        <v>1</v>
      </c>
      <c r="I145" s="285">
        <v>2</v>
      </c>
      <c r="J145" s="285">
        <v>1</v>
      </c>
      <c r="K145" s="318"/>
      <c r="L145" s="318"/>
      <c r="M145" s="318"/>
      <c r="N145" s="318"/>
      <c r="O145" s="316"/>
    </row>
    <row r="146" spans="1:15" ht="26">
      <c r="A146" s="250" t="s">
        <v>646</v>
      </c>
      <c r="B146" s="307" t="s">
        <v>179</v>
      </c>
      <c r="C146" s="285"/>
      <c r="D146" s="285">
        <v>3</v>
      </c>
      <c r="E146" s="285">
        <v>3</v>
      </c>
      <c r="F146" s="285"/>
      <c r="G146" s="285"/>
      <c r="H146" s="285">
        <v>2</v>
      </c>
      <c r="I146" s="285">
        <v>2</v>
      </c>
      <c r="J146" s="285">
        <v>2</v>
      </c>
      <c r="K146" s="318"/>
      <c r="L146" s="318"/>
      <c r="M146" s="318"/>
      <c r="N146" s="318"/>
      <c r="O146" s="316"/>
    </row>
    <row r="147" spans="1:15" ht="26">
      <c r="A147" s="250" t="s">
        <v>646</v>
      </c>
      <c r="B147" s="307" t="s">
        <v>184</v>
      </c>
      <c r="C147" s="285"/>
      <c r="D147" s="285"/>
      <c r="E147" s="285">
        <v>3</v>
      </c>
      <c r="F147" s="285"/>
      <c r="G147" s="285"/>
      <c r="H147" s="285">
        <v>3</v>
      </c>
      <c r="I147" s="285">
        <v>3</v>
      </c>
      <c r="J147" s="285">
        <v>2</v>
      </c>
      <c r="K147" s="318"/>
      <c r="L147" s="318"/>
      <c r="M147" s="318"/>
      <c r="N147" s="318"/>
      <c r="O147" s="316"/>
    </row>
    <row r="148" spans="1:15" ht="26">
      <c r="A148" s="250" t="s">
        <v>651</v>
      </c>
      <c r="B148" s="307" t="s">
        <v>144</v>
      </c>
      <c r="C148" s="285">
        <v>0</v>
      </c>
      <c r="D148" s="285">
        <v>0</v>
      </c>
      <c r="E148" s="285">
        <v>0</v>
      </c>
      <c r="F148" s="285">
        <v>0</v>
      </c>
      <c r="G148" s="285">
        <v>0</v>
      </c>
      <c r="H148" s="285">
        <v>0</v>
      </c>
      <c r="I148" s="285">
        <v>0</v>
      </c>
      <c r="J148" s="285">
        <v>0</v>
      </c>
      <c r="K148" s="318"/>
      <c r="L148" s="318"/>
      <c r="M148" s="318"/>
      <c r="N148" s="318"/>
      <c r="O148" s="316"/>
    </row>
    <row r="149" spans="1:15" ht="26">
      <c r="A149" s="250" t="s">
        <v>651</v>
      </c>
      <c r="B149" s="307" t="s">
        <v>161</v>
      </c>
      <c r="C149" s="285">
        <v>0</v>
      </c>
      <c r="D149" s="285">
        <v>0</v>
      </c>
      <c r="E149" s="285">
        <v>0</v>
      </c>
      <c r="F149" s="285"/>
      <c r="G149" s="285">
        <v>0</v>
      </c>
      <c r="H149" s="285">
        <v>0</v>
      </c>
      <c r="I149" s="285">
        <v>0</v>
      </c>
      <c r="J149" s="285">
        <v>0</v>
      </c>
      <c r="K149" s="318"/>
      <c r="L149" s="318"/>
      <c r="M149" s="318"/>
      <c r="N149" s="318"/>
      <c r="O149" s="316"/>
    </row>
    <row r="150" spans="1:15" ht="26">
      <c r="A150" s="250" t="s">
        <v>651</v>
      </c>
      <c r="B150" s="307" t="s">
        <v>173</v>
      </c>
      <c r="C150" s="285"/>
      <c r="D150" s="285">
        <v>0</v>
      </c>
      <c r="E150" s="285">
        <v>0</v>
      </c>
      <c r="F150" s="285"/>
      <c r="G150" s="285"/>
      <c r="H150" s="285">
        <v>0</v>
      </c>
      <c r="I150" s="285">
        <v>0</v>
      </c>
      <c r="J150" s="285">
        <v>0</v>
      </c>
      <c r="K150" s="318"/>
      <c r="L150" s="318"/>
      <c r="M150" s="318"/>
      <c r="N150" s="318"/>
      <c r="O150" s="316"/>
    </row>
    <row r="151" spans="1:15" ht="26">
      <c r="A151" s="250" t="s">
        <v>651</v>
      </c>
      <c r="B151" s="307" t="s">
        <v>179</v>
      </c>
      <c r="C151" s="285"/>
      <c r="D151" s="285">
        <v>0</v>
      </c>
      <c r="E151" s="285">
        <v>0</v>
      </c>
      <c r="F151" s="285"/>
      <c r="G151" s="285"/>
      <c r="H151" s="285">
        <v>0</v>
      </c>
      <c r="I151" s="285">
        <v>0</v>
      </c>
      <c r="J151" s="285">
        <v>0</v>
      </c>
      <c r="K151" s="318"/>
      <c r="L151" s="318"/>
      <c r="M151" s="318"/>
      <c r="N151" s="318"/>
      <c r="O151" s="316"/>
    </row>
    <row r="152" spans="1:15" ht="26">
      <c r="A152" s="250" t="s">
        <v>651</v>
      </c>
      <c r="B152" s="307" t="s">
        <v>184</v>
      </c>
      <c r="C152" s="285"/>
      <c r="D152" s="285"/>
      <c r="E152" s="285">
        <v>0</v>
      </c>
      <c r="F152" s="285"/>
      <c r="G152" s="285"/>
      <c r="H152" s="285">
        <v>0</v>
      </c>
      <c r="I152" s="285">
        <v>0</v>
      </c>
      <c r="J152" s="285">
        <v>0</v>
      </c>
      <c r="K152" s="318"/>
      <c r="L152" s="318"/>
      <c r="M152" s="318"/>
      <c r="N152" s="318"/>
      <c r="O152" s="316"/>
    </row>
    <row r="153" spans="1:15" ht="26">
      <c r="A153" s="250" t="s">
        <v>652</v>
      </c>
      <c r="B153" s="307" t="s">
        <v>144</v>
      </c>
      <c r="C153" s="308">
        <v>57</v>
      </c>
      <c r="D153" s="308">
        <v>66</v>
      </c>
      <c r="E153" s="308">
        <v>62</v>
      </c>
      <c r="F153" s="308">
        <v>57</v>
      </c>
      <c r="G153" s="308">
        <v>50</v>
      </c>
      <c r="H153" s="308">
        <v>56</v>
      </c>
      <c r="I153" s="308">
        <v>63</v>
      </c>
      <c r="J153" s="308">
        <v>40</v>
      </c>
      <c r="K153" s="318"/>
      <c r="L153" s="318"/>
      <c r="M153" s="318"/>
      <c r="N153" s="318"/>
      <c r="O153" s="316"/>
    </row>
    <row r="154" spans="1:15" ht="26">
      <c r="A154" s="250" t="s">
        <v>652</v>
      </c>
      <c r="B154" s="307" t="s">
        <v>161</v>
      </c>
      <c r="C154" s="308">
        <v>68</v>
      </c>
      <c r="D154" s="308">
        <v>77</v>
      </c>
      <c r="E154" s="308">
        <v>71</v>
      </c>
      <c r="F154" s="309"/>
      <c r="G154" s="308">
        <v>61</v>
      </c>
      <c r="H154" s="308">
        <v>64</v>
      </c>
      <c r="I154" s="308">
        <v>66</v>
      </c>
      <c r="J154" s="308">
        <v>44</v>
      </c>
      <c r="K154" s="318"/>
      <c r="L154" s="318"/>
      <c r="M154" s="318"/>
      <c r="N154" s="318"/>
      <c r="O154" s="316"/>
    </row>
    <row r="155" spans="1:15" ht="26">
      <c r="A155" s="250" t="s">
        <v>652</v>
      </c>
      <c r="B155" s="307" t="s">
        <v>173</v>
      </c>
      <c r="C155" s="311"/>
      <c r="D155" s="308">
        <v>90</v>
      </c>
      <c r="E155" s="308">
        <v>81</v>
      </c>
      <c r="F155" s="309"/>
      <c r="G155" s="309"/>
      <c r="H155" s="308">
        <v>75</v>
      </c>
      <c r="I155" s="308">
        <v>68</v>
      </c>
      <c r="J155" s="308">
        <v>54</v>
      </c>
      <c r="K155" s="318"/>
      <c r="L155" s="318"/>
      <c r="M155" s="318"/>
      <c r="N155" s="318"/>
      <c r="O155" s="316"/>
    </row>
    <row r="156" spans="1:15" ht="26">
      <c r="A156" s="250" t="s">
        <v>652</v>
      </c>
      <c r="B156" s="307" t="s">
        <v>179</v>
      </c>
      <c r="C156" s="311"/>
      <c r="D156" s="308">
        <v>125</v>
      </c>
      <c r="E156" s="308">
        <v>115</v>
      </c>
      <c r="F156" s="309"/>
      <c r="G156" s="309"/>
      <c r="H156" s="308">
        <v>109</v>
      </c>
      <c r="I156" s="308">
        <v>99</v>
      </c>
      <c r="J156" s="308">
        <v>84</v>
      </c>
      <c r="K156" s="318"/>
      <c r="L156" s="318"/>
      <c r="M156" s="318"/>
      <c r="N156" s="318"/>
      <c r="O156" s="316"/>
    </row>
    <row r="157" spans="1:15" ht="26">
      <c r="A157" s="250" t="s">
        <v>652</v>
      </c>
      <c r="B157" s="307" t="s">
        <v>184</v>
      </c>
      <c r="C157" s="311"/>
      <c r="D157" s="309"/>
      <c r="E157" s="308">
        <v>133</v>
      </c>
      <c r="F157" s="309"/>
      <c r="G157" s="309"/>
      <c r="H157" s="308">
        <v>117</v>
      </c>
      <c r="I157" s="308">
        <v>107</v>
      </c>
      <c r="J157" s="308">
        <v>92</v>
      </c>
      <c r="K157" s="318"/>
      <c r="L157" s="318"/>
      <c r="M157" s="318"/>
      <c r="N157" s="318"/>
      <c r="O157" s="316"/>
    </row>
    <row r="158" spans="1:15" ht="26">
      <c r="A158" s="250" t="s">
        <v>653</v>
      </c>
      <c r="B158" s="307" t="s">
        <v>144</v>
      </c>
      <c r="C158" s="308">
        <v>57</v>
      </c>
      <c r="D158" s="308">
        <v>66</v>
      </c>
      <c r="E158" s="308">
        <v>62</v>
      </c>
      <c r="F158" s="308">
        <v>57</v>
      </c>
      <c r="G158" s="308">
        <v>50</v>
      </c>
      <c r="H158" s="308">
        <v>56</v>
      </c>
      <c r="I158" s="308">
        <v>63</v>
      </c>
      <c r="J158" s="308">
        <v>40</v>
      </c>
      <c r="K158" s="318"/>
      <c r="L158" s="318"/>
      <c r="M158" s="318"/>
      <c r="N158" s="318"/>
      <c r="O158" s="316"/>
    </row>
    <row r="159" spans="1:15" ht="26">
      <c r="A159" s="250" t="s">
        <v>653</v>
      </c>
      <c r="B159" s="307" t="s">
        <v>161</v>
      </c>
      <c r="C159" s="308">
        <v>68</v>
      </c>
      <c r="D159" s="308">
        <v>77</v>
      </c>
      <c r="E159" s="308">
        <v>71</v>
      </c>
      <c r="F159" s="309"/>
      <c r="G159" s="308">
        <v>61</v>
      </c>
      <c r="H159" s="308">
        <v>64</v>
      </c>
      <c r="I159" s="308">
        <v>66</v>
      </c>
      <c r="J159" s="308">
        <v>44</v>
      </c>
      <c r="K159" s="318"/>
      <c r="L159" s="318"/>
      <c r="M159" s="318"/>
      <c r="N159" s="318"/>
      <c r="O159" s="316"/>
    </row>
    <row r="160" spans="1:15" ht="26">
      <c r="A160" s="250" t="s">
        <v>653</v>
      </c>
      <c r="B160" s="307" t="s">
        <v>173</v>
      </c>
      <c r="C160" s="311"/>
      <c r="D160" s="308">
        <v>90</v>
      </c>
      <c r="E160" s="308">
        <v>81</v>
      </c>
      <c r="F160" s="309"/>
      <c r="G160" s="309"/>
      <c r="H160" s="308">
        <v>75</v>
      </c>
      <c r="I160" s="308">
        <v>68</v>
      </c>
      <c r="J160" s="308">
        <v>54</v>
      </c>
      <c r="K160" s="318"/>
      <c r="L160" s="318"/>
      <c r="M160" s="318"/>
      <c r="N160" s="318"/>
      <c r="O160" s="316"/>
    </row>
    <row r="161" spans="1:15" ht="26">
      <c r="A161" s="250" t="s">
        <v>653</v>
      </c>
      <c r="B161" s="307" t="s">
        <v>179</v>
      </c>
      <c r="C161" s="311"/>
      <c r="D161" s="308">
        <v>125</v>
      </c>
      <c r="E161" s="308">
        <v>115</v>
      </c>
      <c r="F161" s="309"/>
      <c r="G161" s="309"/>
      <c r="H161" s="308">
        <v>109</v>
      </c>
      <c r="I161" s="308">
        <v>99</v>
      </c>
      <c r="J161" s="308">
        <v>84</v>
      </c>
      <c r="K161" s="318"/>
      <c r="L161" s="318"/>
      <c r="M161" s="318"/>
      <c r="N161" s="318"/>
      <c r="O161" s="316"/>
    </row>
    <row r="162" spans="1:15" ht="26">
      <c r="A162" s="250" t="s">
        <v>653</v>
      </c>
      <c r="B162" s="307" t="s">
        <v>184</v>
      </c>
      <c r="C162" s="311"/>
      <c r="D162" s="309"/>
      <c r="E162" s="308">
        <v>133</v>
      </c>
      <c r="F162" s="309"/>
      <c r="G162" s="309"/>
      <c r="H162" s="308">
        <v>117</v>
      </c>
      <c r="I162" s="308">
        <v>107</v>
      </c>
      <c r="J162" s="308">
        <v>92</v>
      </c>
      <c r="K162" s="318"/>
      <c r="L162" s="318"/>
      <c r="M162" s="318"/>
      <c r="N162" s="318"/>
      <c r="O162" s="316"/>
    </row>
    <row r="163" spans="1:15" ht="26">
      <c r="A163" s="250" t="s">
        <v>654</v>
      </c>
      <c r="B163" s="307" t="s">
        <v>144</v>
      </c>
      <c r="C163" s="308">
        <v>57</v>
      </c>
      <c r="D163" s="308">
        <v>66</v>
      </c>
      <c r="E163" s="308">
        <v>62</v>
      </c>
      <c r="F163" s="308">
        <v>57</v>
      </c>
      <c r="G163" s="308">
        <v>50</v>
      </c>
      <c r="H163" s="308">
        <v>56</v>
      </c>
      <c r="I163" s="308">
        <v>63</v>
      </c>
      <c r="J163" s="308">
        <v>40</v>
      </c>
      <c r="K163" s="318"/>
      <c r="L163" s="318"/>
      <c r="M163" s="318"/>
      <c r="N163" s="318"/>
      <c r="O163" s="316"/>
    </row>
    <row r="164" spans="1:15" ht="26">
      <c r="A164" s="250" t="s">
        <v>654</v>
      </c>
      <c r="B164" s="307" t="s">
        <v>161</v>
      </c>
      <c r="C164" s="308">
        <v>68</v>
      </c>
      <c r="D164" s="308">
        <v>77</v>
      </c>
      <c r="E164" s="308">
        <v>71</v>
      </c>
      <c r="F164" s="309"/>
      <c r="G164" s="308">
        <v>61</v>
      </c>
      <c r="H164" s="308">
        <v>64</v>
      </c>
      <c r="I164" s="308">
        <v>66</v>
      </c>
      <c r="J164" s="308">
        <v>44</v>
      </c>
      <c r="K164" s="318"/>
      <c r="L164" s="318"/>
      <c r="M164" s="318"/>
      <c r="N164" s="318"/>
      <c r="O164" s="316"/>
    </row>
    <row r="165" spans="1:15" ht="26">
      <c r="A165" s="250" t="s">
        <v>654</v>
      </c>
      <c r="B165" s="307" t="s">
        <v>173</v>
      </c>
      <c r="C165" s="311"/>
      <c r="D165" s="308">
        <v>90</v>
      </c>
      <c r="E165" s="308">
        <v>81</v>
      </c>
      <c r="F165" s="309"/>
      <c r="G165" s="309"/>
      <c r="H165" s="308">
        <v>75</v>
      </c>
      <c r="I165" s="308">
        <v>68</v>
      </c>
      <c r="J165" s="308">
        <v>54</v>
      </c>
      <c r="K165" s="318"/>
      <c r="L165" s="318"/>
      <c r="M165" s="318"/>
      <c r="N165" s="318"/>
      <c r="O165" s="316"/>
    </row>
    <row r="166" spans="1:15" ht="26">
      <c r="A166" s="250" t="s">
        <v>654</v>
      </c>
      <c r="B166" s="307" t="s">
        <v>179</v>
      </c>
      <c r="C166" s="311"/>
      <c r="D166" s="308">
        <v>125</v>
      </c>
      <c r="E166" s="308">
        <v>115</v>
      </c>
      <c r="F166" s="309"/>
      <c r="G166" s="309"/>
      <c r="H166" s="308">
        <v>109</v>
      </c>
      <c r="I166" s="308">
        <v>99</v>
      </c>
      <c r="J166" s="308">
        <v>84</v>
      </c>
      <c r="K166" s="318"/>
      <c r="L166" s="318"/>
      <c r="M166" s="318"/>
      <c r="N166" s="318"/>
      <c r="O166" s="316"/>
    </row>
    <row r="167" spans="1:15" ht="26">
      <c r="A167" s="250" t="s">
        <v>654</v>
      </c>
      <c r="B167" s="307" t="s">
        <v>184</v>
      </c>
      <c r="C167" s="311"/>
      <c r="D167" s="309"/>
      <c r="E167" s="308">
        <v>133</v>
      </c>
      <c r="F167" s="309"/>
      <c r="G167" s="309"/>
      <c r="H167" s="308">
        <v>117</v>
      </c>
      <c r="I167" s="308">
        <v>107</v>
      </c>
      <c r="J167" s="308">
        <v>92</v>
      </c>
      <c r="K167" s="318"/>
      <c r="L167" s="318"/>
      <c r="M167" s="318"/>
      <c r="N167" s="318"/>
      <c r="O167" s="316"/>
    </row>
    <row r="168" spans="1:15" ht="26">
      <c r="A168" s="250" t="s">
        <v>656</v>
      </c>
      <c r="B168" s="307" t="s">
        <v>144</v>
      </c>
      <c r="C168" s="308">
        <v>57</v>
      </c>
      <c r="D168" s="308">
        <v>66</v>
      </c>
      <c r="E168" s="308">
        <v>62</v>
      </c>
      <c r="F168" s="308">
        <v>57</v>
      </c>
      <c r="G168" s="308">
        <v>50</v>
      </c>
      <c r="H168" s="308">
        <v>56</v>
      </c>
      <c r="I168" s="308">
        <v>63</v>
      </c>
      <c r="J168" s="308">
        <v>40</v>
      </c>
      <c r="K168" s="318"/>
      <c r="L168" s="318"/>
      <c r="M168" s="318"/>
      <c r="N168" s="318"/>
      <c r="O168" s="316"/>
    </row>
    <row r="169" spans="1:15" ht="26">
      <c r="A169" s="250" t="s">
        <v>656</v>
      </c>
      <c r="B169" s="307" t="s">
        <v>161</v>
      </c>
      <c r="C169" s="308">
        <v>68</v>
      </c>
      <c r="D169" s="308">
        <v>77</v>
      </c>
      <c r="E169" s="308">
        <v>71</v>
      </c>
      <c r="F169" s="309"/>
      <c r="G169" s="308">
        <v>61</v>
      </c>
      <c r="H169" s="308">
        <v>64</v>
      </c>
      <c r="I169" s="308">
        <v>66</v>
      </c>
      <c r="J169" s="308">
        <v>44</v>
      </c>
      <c r="K169" s="318"/>
      <c r="L169" s="318"/>
      <c r="M169" s="318"/>
      <c r="N169" s="318"/>
      <c r="O169" s="316"/>
    </row>
    <row r="170" spans="1:15" ht="26">
      <c r="A170" s="250" t="s">
        <v>656</v>
      </c>
      <c r="B170" s="307" t="s">
        <v>173</v>
      </c>
      <c r="C170" s="311"/>
      <c r="D170" s="308">
        <v>90</v>
      </c>
      <c r="E170" s="308">
        <v>81</v>
      </c>
      <c r="F170" s="309"/>
      <c r="G170" s="309"/>
      <c r="H170" s="308">
        <v>75</v>
      </c>
      <c r="I170" s="308">
        <v>68</v>
      </c>
      <c r="J170" s="308">
        <v>54</v>
      </c>
      <c r="K170" s="318"/>
      <c r="L170" s="318"/>
      <c r="M170" s="318"/>
      <c r="N170" s="318"/>
      <c r="O170" s="316"/>
    </row>
    <row r="171" spans="1:15" ht="26">
      <c r="A171" s="250" t="s">
        <v>656</v>
      </c>
      <c r="B171" s="307" t="s">
        <v>179</v>
      </c>
      <c r="C171" s="311"/>
      <c r="D171" s="308">
        <v>125</v>
      </c>
      <c r="E171" s="308">
        <v>115</v>
      </c>
      <c r="F171" s="309"/>
      <c r="G171" s="309"/>
      <c r="H171" s="308">
        <v>109</v>
      </c>
      <c r="I171" s="308">
        <v>99</v>
      </c>
      <c r="J171" s="308">
        <v>84</v>
      </c>
      <c r="K171" s="318"/>
      <c r="L171" s="318"/>
      <c r="M171" s="318"/>
      <c r="N171" s="318"/>
      <c r="O171" s="316"/>
    </row>
    <row r="172" spans="1:15" ht="26">
      <c r="A172" s="250" t="s">
        <v>656</v>
      </c>
      <c r="B172" s="307" t="s">
        <v>184</v>
      </c>
      <c r="C172" s="311"/>
      <c r="D172" s="309"/>
      <c r="E172" s="308">
        <v>133</v>
      </c>
      <c r="F172" s="309"/>
      <c r="G172" s="309"/>
      <c r="H172" s="308">
        <v>117</v>
      </c>
      <c r="I172" s="308">
        <v>107</v>
      </c>
      <c r="J172" s="308">
        <v>92</v>
      </c>
      <c r="K172" s="318"/>
      <c r="L172" s="318"/>
      <c r="M172" s="318"/>
      <c r="N172" s="318"/>
      <c r="O172" s="316"/>
    </row>
    <row r="173" spans="1:15" ht="26">
      <c r="A173" s="250" t="s">
        <v>658</v>
      </c>
      <c r="B173" s="307" t="s">
        <v>144</v>
      </c>
      <c r="C173" s="285">
        <v>70</v>
      </c>
      <c r="D173" s="308">
        <v>79</v>
      </c>
      <c r="E173" s="308">
        <v>72</v>
      </c>
      <c r="F173" s="285">
        <v>69</v>
      </c>
      <c r="G173" s="285">
        <v>60</v>
      </c>
      <c r="H173" s="308">
        <v>64</v>
      </c>
      <c r="I173" s="308">
        <v>66</v>
      </c>
      <c r="J173" s="308">
        <v>44</v>
      </c>
      <c r="K173" s="318"/>
      <c r="L173" s="318"/>
      <c r="M173" s="318"/>
      <c r="N173" s="318"/>
      <c r="O173" s="316"/>
    </row>
    <row r="174" spans="1:15" ht="26">
      <c r="A174" s="250" t="s">
        <v>658</v>
      </c>
      <c r="B174" s="307" t="s">
        <v>161</v>
      </c>
      <c r="C174" s="285">
        <v>88</v>
      </c>
      <c r="D174" s="308">
        <v>96</v>
      </c>
      <c r="E174" s="308">
        <v>87</v>
      </c>
      <c r="F174" s="285"/>
      <c r="G174" s="285">
        <v>77</v>
      </c>
      <c r="H174" s="308">
        <v>79</v>
      </c>
      <c r="I174" s="308">
        <v>76</v>
      </c>
      <c r="J174" s="308">
        <v>54</v>
      </c>
      <c r="K174" s="318">
        <v>8</v>
      </c>
      <c r="L174" s="318">
        <v>9</v>
      </c>
      <c r="M174" s="318">
        <v>10</v>
      </c>
      <c r="N174" s="318">
        <v>4</v>
      </c>
      <c r="O174" s="316">
        <v>10</v>
      </c>
    </row>
    <row r="175" spans="1:15" ht="26">
      <c r="A175" s="250" t="s">
        <v>658</v>
      </c>
      <c r="B175" s="307" t="s">
        <v>173</v>
      </c>
      <c r="C175" s="285"/>
      <c r="D175" s="308">
        <v>115</v>
      </c>
      <c r="E175" s="308">
        <v>104</v>
      </c>
      <c r="F175" s="285"/>
      <c r="G175" s="285"/>
      <c r="H175" s="308">
        <v>96</v>
      </c>
      <c r="I175" s="308">
        <v>87</v>
      </c>
      <c r="J175" s="308">
        <v>69</v>
      </c>
      <c r="K175" s="318">
        <v>4</v>
      </c>
      <c r="L175" s="318">
        <v>6</v>
      </c>
      <c r="M175" s="318"/>
      <c r="N175" s="318"/>
      <c r="O175" s="316"/>
    </row>
    <row r="176" spans="1:15" ht="26">
      <c r="A176" s="250" t="s">
        <v>658</v>
      </c>
      <c r="B176" s="307" t="s">
        <v>179</v>
      </c>
      <c r="C176" s="285"/>
      <c r="D176" s="308">
        <v>161</v>
      </c>
      <c r="E176" s="308">
        <v>148</v>
      </c>
      <c r="F176" s="285"/>
      <c r="G176" s="285"/>
      <c r="H176" s="308">
        <v>140</v>
      </c>
      <c r="I176" s="308">
        <v>128</v>
      </c>
      <c r="J176" s="308">
        <v>109</v>
      </c>
      <c r="K176" s="318"/>
      <c r="L176" s="318"/>
      <c r="M176" s="318"/>
      <c r="N176" s="318">
        <v>31</v>
      </c>
      <c r="O176" s="316"/>
    </row>
    <row r="177" spans="1:15" ht="26">
      <c r="A177" s="250" t="s">
        <v>658</v>
      </c>
      <c r="B177" s="307" t="s">
        <v>184</v>
      </c>
      <c r="C177" s="285"/>
      <c r="D177" s="285"/>
      <c r="E177" s="308">
        <v>159</v>
      </c>
      <c r="F177" s="285"/>
      <c r="G177" s="285"/>
      <c r="H177" s="308">
        <v>152</v>
      </c>
      <c r="I177" s="308">
        <v>132</v>
      </c>
      <c r="J177" s="308">
        <v>119</v>
      </c>
      <c r="K177" s="318"/>
      <c r="L177" s="318"/>
      <c r="M177" s="318"/>
      <c r="N177" s="318">
        <v>63</v>
      </c>
      <c r="O177" s="316"/>
    </row>
    <row r="178" spans="1:15" ht="26">
      <c r="A178" s="250" t="s">
        <v>661</v>
      </c>
      <c r="B178" s="307" t="s">
        <v>144</v>
      </c>
      <c r="C178" s="285">
        <v>70</v>
      </c>
      <c r="D178" s="308">
        <v>79</v>
      </c>
      <c r="E178" s="308">
        <v>72</v>
      </c>
      <c r="F178" s="285">
        <v>69</v>
      </c>
      <c r="G178" s="285">
        <v>60</v>
      </c>
      <c r="H178" s="308">
        <v>64</v>
      </c>
      <c r="I178" s="308">
        <v>66</v>
      </c>
      <c r="J178" s="308">
        <v>44</v>
      </c>
      <c r="K178" s="318">
        <v>8</v>
      </c>
      <c r="L178" s="318">
        <v>9</v>
      </c>
      <c r="M178" s="318">
        <v>10</v>
      </c>
      <c r="N178" s="318">
        <v>4</v>
      </c>
      <c r="O178" s="316">
        <v>10</v>
      </c>
    </row>
    <row r="179" spans="1:15" ht="26">
      <c r="A179" s="250" t="s">
        <v>661</v>
      </c>
      <c r="B179" s="307" t="s">
        <v>161</v>
      </c>
      <c r="C179" s="285">
        <v>88</v>
      </c>
      <c r="D179" s="308">
        <v>96</v>
      </c>
      <c r="E179" s="308">
        <v>87</v>
      </c>
      <c r="F179" s="285"/>
      <c r="G179" s="285">
        <v>77</v>
      </c>
      <c r="H179" s="308">
        <v>79</v>
      </c>
      <c r="I179" s="308">
        <v>76</v>
      </c>
      <c r="J179" s="308">
        <v>54</v>
      </c>
      <c r="K179" s="318">
        <v>4</v>
      </c>
      <c r="L179" s="318">
        <v>6</v>
      </c>
      <c r="M179" s="318"/>
      <c r="N179" s="318"/>
      <c r="O179" s="316"/>
    </row>
    <row r="180" spans="1:15" ht="26">
      <c r="A180" s="250" t="s">
        <v>661</v>
      </c>
      <c r="B180" s="307" t="s">
        <v>173</v>
      </c>
      <c r="C180" s="285"/>
      <c r="D180" s="308">
        <v>115</v>
      </c>
      <c r="E180" s="308">
        <v>104</v>
      </c>
      <c r="F180" s="285"/>
      <c r="G180" s="285"/>
      <c r="H180" s="308">
        <v>96</v>
      </c>
      <c r="I180" s="308">
        <v>87</v>
      </c>
      <c r="J180" s="308">
        <v>69</v>
      </c>
      <c r="K180" s="318"/>
      <c r="L180" s="318"/>
      <c r="M180" s="318"/>
      <c r="N180" s="318">
        <v>31</v>
      </c>
      <c r="O180" s="316"/>
    </row>
    <row r="181" spans="1:15" ht="26">
      <c r="A181" s="250" t="s">
        <v>661</v>
      </c>
      <c r="B181" s="307" t="s">
        <v>179</v>
      </c>
      <c r="C181" s="285"/>
      <c r="D181" s="308">
        <v>161</v>
      </c>
      <c r="E181" s="308">
        <v>148</v>
      </c>
      <c r="F181" s="285"/>
      <c r="G181" s="285"/>
      <c r="H181" s="308">
        <v>140</v>
      </c>
      <c r="I181" s="308">
        <v>128</v>
      </c>
      <c r="J181" s="308">
        <v>109</v>
      </c>
      <c r="K181" s="318"/>
      <c r="L181" s="318"/>
      <c r="M181" s="318"/>
      <c r="N181" s="318">
        <v>63</v>
      </c>
      <c r="O181" s="316"/>
    </row>
    <row r="182" spans="1:15" ht="26">
      <c r="A182" s="250" t="s">
        <v>661</v>
      </c>
      <c r="B182" s="307" t="s">
        <v>184</v>
      </c>
      <c r="C182" s="285"/>
      <c r="D182" s="285"/>
      <c r="E182" s="308">
        <v>159</v>
      </c>
      <c r="F182" s="285"/>
      <c r="G182" s="285"/>
      <c r="H182" s="308">
        <v>152</v>
      </c>
      <c r="I182" s="308">
        <v>132</v>
      </c>
      <c r="J182" s="308">
        <v>119</v>
      </c>
      <c r="K182" s="318"/>
      <c r="L182" s="318"/>
      <c r="M182" s="318"/>
      <c r="N182" s="318"/>
      <c r="O182" s="316"/>
    </row>
    <row r="183" spans="1:15" ht="26">
      <c r="A183" s="250" t="s">
        <v>662</v>
      </c>
      <c r="B183" s="307" t="s">
        <v>144</v>
      </c>
      <c r="C183" s="285">
        <v>70</v>
      </c>
      <c r="D183" s="308">
        <v>79</v>
      </c>
      <c r="E183" s="308">
        <v>72</v>
      </c>
      <c r="F183" s="285">
        <v>69</v>
      </c>
      <c r="G183" s="285">
        <v>60</v>
      </c>
      <c r="H183" s="308">
        <v>64</v>
      </c>
      <c r="I183" s="308">
        <v>66</v>
      </c>
      <c r="J183" s="308">
        <v>44</v>
      </c>
      <c r="K183" s="318">
        <v>8</v>
      </c>
      <c r="L183" s="318">
        <v>9</v>
      </c>
      <c r="M183" s="318">
        <v>10</v>
      </c>
      <c r="N183" s="318">
        <v>4</v>
      </c>
      <c r="O183" s="316">
        <v>10</v>
      </c>
    </row>
    <row r="184" spans="1:15" ht="26">
      <c r="A184" s="250" t="s">
        <v>662</v>
      </c>
      <c r="B184" s="307" t="s">
        <v>161</v>
      </c>
      <c r="C184" s="285">
        <v>88</v>
      </c>
      <c r="D184" s="308">
        <v>96</v>
      </c>
      <c r="E184" s="308">
        <v>87</v>
      </c>
      <c r="F184" s="285"/>
      <c r="G184" s="285">
        <v>77</v>
      </c>
      <c r="H184" s="308">
        <v>79</v>
      </c>
      <c r="I184" s="308">
        <v>76</v>
      </c>
      <c r="J184" s="308">
        <v>54</v>
      </c>
      <c r="K184" s="318">
        <v>4</v>
      </c>
      <c r="L184" s="318">
        <v>6</v>
      </c>
      <c r="M184" s="318"/>
      <c r="N184" s="318"/>
      <c r="O184" s="316"/>
    </row>
    <row r="185" spans="1:15" ht="26">
      <c r="A185" s="250" t="s">
        <v>662</v>
      </c>
      <c r="B185" s="307" t="s">
        <v>173</v>
      </c>
      <c r="C185" s="285"/>
      <c r="D185" s="308">
        <v>115</v>
      </c>
      <c r="E185" s="308">
        <v>104</v>
      </c>
      <c r="F185" s="285"/>
      <c r="G185" s="285"/>
      <c r="H185" s="308">
        <v>96</v>
      </c>
      <c r="I185" s="308">
        <v>87</v>
      </c>
      <c r="J185" s="308">
        <v>69</v>
      </c>
      <c r="K185" s="318"/>
      <c r="L185" s="318"/>
      <c r="M185" s="318"/>
      <c r="N185" s="318">
        <v>31</v>
      </c>
      <c r="O185" s="316"/>
    </row>
    <row r="186" spans="1:15" ht="26">
      <c r="A186" s="250" t="s">
        <v>662</v>
      </c>
      <c r="B186" s="307" t="s">
        <v>179</v>
      </c>
      <c r="C186" s="285"/>
      <c r="D186" s="308">
        <v>161</v>
      </c>
      <c r="E186" s="308">
        <v>148</v>
      </c>
      <c r="F186" s="285"/>
      <c r="G186" s="285"/>
      <c r="H186" s="308">
        <v>140</v>
      </c>
      <c r="I186" s="308">
        <v>128</v>
      </c>
      <c r="J186" s="308">
        <v>109</v>
      </c>
      <c r="K186" s="318"/>
      <c r="L186" s="318"/>
      <c r="M186" s="318"/>
      <c r="N186" s="318">
        <v>63</v>
      </c>
      <c r="O186" s="316"/>
    </row>
    <row r="187" spans="1:15" ht="26">
      <c r="A187" s="250" t="s">
        <v>662</v>
      </c>
      <c r="B187" s="307" t="s">
        <v>184</v>
      </c>
      <c r="C187" s="285"/>
      <c r="D187" s="285"/>
      <c r="E187" s="308">
        <v>159</v>
      </c>
      <c r="F187" s="285"/>
      <c r="G187" s="285"/>
      <c r="H187" s="308">
        <v>152</v>
      </c>
      <c r="I187" s="308">
        <v>132</v>
      </c>
      <c r="J187" s="308">
        <v>119</v>
      </c>
      <c r="K187" s="318"/>
      <c r="L187" s="318"/>
      <c r="M187" s="318"/>
      <c r="N187" s="318"/>
      <c r="O187" s="316"/>
    </row>
    <row r="188" spans="1:15" ht="26">
      <c r="A188" s="250" t="s">
        <v>663</v>
      </c>
      <c r="B188" s="307" t="s">
        <v>144</v>
      </c>
      <c r="C188" s="285">
        <v>70</v>
      </c>
      <c r="D188" s="308">
        <v>79</v>
      </c>
      <c r="E188" s="308">
        <v>72</v>
      </c>
      <c r="F188" s="285">
        <v>69</v>
      </c>
      <c r="G188" s="285">
        <v>60</v>
      </c>
      <c r="H188" s="308">
        <v>64</v>
      </c>
      <c r="I188" s="308">
        <v>66</v>
      </c>
      <c r="J188" s="308">
        <v>44</v>
      </c>
      <c r="K188" s="318">
        <v>8</v>
      </c>
      <c r="L188" s="318">
        <v>9</v>
      </c>
      <c r="M188" s="318">
        <v>10</v>
      </c>
      <c r="N188" s="318">
        <v>4</v>
      </c>
      <c r="O188" s="316">
        <v>10</v>
      </c>
    </row>
    <row r="189" spans="1:15" ht="26">
      <c r="A189" s="250" t="s">
        <v>663</v>
      </c>
      <c r="B189" s="307" t="s">
        <v>161</v>
      </c>
      <c r="C189" s="285">
        <v>88</v>
      </c>
      <c r="D189" s="308">
        <v>96</v>
      </c>
      <c r="E189" s="308">
        <v>87</v>
      </c>
      <c r="F189" s="285"/>
      <c r="G189" s="285">
        <v>77</v>
      </c>
      <c r="H189" s="308">
        <v>79</v>
      </c>
      <c r="I189" s="308">
        <v>76</v>
      </c>
      <c r="J189" s="308">
        <v>54</v>
      </c>
      <c r="K189" s="318">
        <v>4</v>
      </c>
      <c r="L189" s="318">
        <v>6</v>
      </c>
      <c r="M189" s="318"/>
      <c r="N189" s="318"/>
      <c r="O189" s="316"/>
    </row>
    <row r="190" spans="1:15" ht="26">
      <c r="A190" s="250" t="s">
        <v>663</v>
      </c>
      <c r="B190" s="307" t="s">
        <v>173</v>
      </c>
      <c r="C190" s="285"/>
      <c r="D190" s="308">
        <v>115</v>
      </c>
      <c r="E190" s="308">
        <v>104</v>
      </c>
      <c r="F190" s="285"/>
      <c r="G190" s="285"/>
      <c r="H190" s="308">
        <v>96</v>
      </c>
      <c r="I190" s="308">
        <v>87</v>
      </c>
      <c r="J190" s="308">
        <v>69</v>
      </c>
      <c r="K190" s="318"/>
      <c r="L190" s="318"/>
      <c r="M190" s="318"/>
      <c r="N190" s="318">
        <v>31</v>
      </c>
      <c r="O190" s="316"/>
    </row>
    <row r="191" spans="1:15" ht="26">
      <c r="A191" s="250" t="s">
        <v>663</v>
      </c>
      <c r="B191" s="307" t="s">
        <v>179</v>
      </c>
      <c r="C191" s="285"/>
      <c r="D191" s="308">
        <v>161</v>
      </c>
      <c r="E191" s="308">
        <v>148</v>
      </c>
      <c r="F191" s="285"/>
      <c r="G191" s="285"/>
      <c r="H191" s="308">
        <v>140</v>
      </c>
      <c r="I191" s="308">
        <v>128</v>
      </c>
      <c r="J191" s="308">
        <v>109</v>
      </c>
      <c r="K191" s="318"/>
      <c r="L191" s="318"/>
      <c r="M191" s="318"/>
      <c r="N191" s="318">
        <v>63</v>
      </c>
      <c r="O191" s="316"/>
    </row>
    <row r="192" spans="1:15" ht="26">
      <c r="A192" s="250" t="s">
        <v>663</v>
      </c>
      <c r="B192" s="307" t="s">
        <v>184</v>
      </c>
      <c r="C192" s="285"/>
      <c r="D192" s="285"/>
      <c r="E192" s="308">
        <v>159</v>
      </c>
      <c r="F192" s="285"/>
      <c r="G192" s="285"/>
      <c r="H192" s="308">
        <v>152</v>
      </c>
      <c r="I192" s="308">
        <v>132</v>
      </c>
      <c r="J192" s="308">
        <v>119</v>
      </c>
      <c r="K192" s="318"/>
      <c r="L192" s="318"/>
      <c r="M192" s="318"/>
      <c r="N192" s="318"/>
      <c r="O192" s="316"/>
    </row>
    <row r="193" spans="1:15" ht="26">
      <c r="A193" s="250" t="s">
        <v>664</v>
      </c>
      <c r="B193" s="307" t="s">
        <v>144</v>
      </c>
      <c r="C193" s="285">
        <v>70</v>
      </c>
      <c r="D193" s="308">
        <v>79</v>
      </c>
      <c r="E193" s="308">
        <v>72</v>
      </c>
      <c r="F193" s="285">
        <v>69</v>
      </c>
      <c r="G193" s="285">
        <v>60</v>
      </c>
      <c r="H193" s="308">
        <v>64</v>
      </c>
      <c r="I193" s="308">
        <v>66</v>
      </c>
      <c r="J193" s="308">
        <v>44</v>
      </c>
      <c r="K193" s="318">
        <v>8</v>
      </c>
      <c r="L193" s="318">
        <v>9</v>
      </c>
      <c r="M193" s="318">
        <v>10</v>
      </c>
      <c r="N193" s="318">
        <v>4</v>
      </c>
      <c r="O193" s="316">
        <v>10</v>
      </c>
    </row>
    <row r="194" spans="1:15" ht="26">
      <c r="A194" s="250" t="s">
        <v>664</v>
      </c>
      <c r="B194" s="307" t="s">
        <v>161</v>
      </c>
      <c r="C194" s="285">
        <v>88</v>
      </c>
      <c r="D194" s="308">
        <v>96</v>
      </c>
      <c r="E194" s="308">
        <v>87</v>
      </c>
      <c r="F194" s="285"/>
      <c r="G194" s="285">
        <v>77</v>
      </c>
      <c r="H194" s="308">
        <v>79</v>
      </c>
      <c r="I194" s="308">
        <v>76</v>
      </c>
      <c r="J194" s="308">
        <v>54</v>
      </c>
      <c r="K194" s="318">
        <v>4</v>
      </c>
      <c r="L194" s="318">
        <v>6</v>
      </c>
      <c r="M194" s="318"/>
      <c r="N194" s="318"/>
      <c r="O194" s="316"/>
    </row>
    <row r="195" spans="1:15" ht="26">
      <c r="A195" s="250" t="s">
        <v>664</v>
      </c>
      <c r="B195" s="307" t="s">
        <v>173</v>
      </c>
      <c r="C195" s="285"/>
      <c r="D195" s="308">
        <v>115</v>
      </c>
      <c r="E195" s="308">
        <v>104</v>
      </c>
      <c r="F195" s="285"/>
      <c r="G195" s="285"/>
      <c r="H195" s="308">
        <v>96</v>
      </c>
      <c r="I195" s="308">
        <v>87</v>
      </c>
      <c r="J195" s="308">
        <v>69</v>
      </c>
      <c r="K195" s="318"/>
      <c r="L195" s="318"/>
      <c r="M195" s="318"/>
      <c r="N195" s="318">
        <v>24</v>
      </c>
      <c r="O195" s="316"/>
    </row>
    <row r="196" spans="1:15" ht="26">
      <c r="A196" s="250" t="s">
        <v>664</v>
      </c>
      <c r="B196" s="307" t="s">
        <v>179</v>
      </c>
      <c r="C196" s="285"/>
      <c r="D196" s="308">
        <v>161</v>
      </c>
      <c r="E196" s="308">
        <v>148</v>
      </c>
      <c r="F196" s="285"/>
      <c r="G196" s="285"/>
      <c r="H196" s="308">
        <v>140</v>
      </c>
      <c r="I196" s="308">
        <v>128</v>
      </c>
      <c r="J196" s="308">
        <v>109</v>
      </c>
      <c r="K196" s="318"/>
      <c r="L196" s="318"/>
      <c r="M196" s="318"/>
      <c r="N196" s="318">
        <v>47</v>
      </c>
      <c r="O196" s="316"/>
    </row>
    <row r="197" spans="1:15" ht="26">
      <c r="A197" s="250" t="s">
        <v>664</v>
      </c>
      <c r="B197" s="307" t="s">
        <v>184</v>
      </c>
      <c r="C197" s="285"/>
      <c r="D197" s="285"/>
      <c r="E197" s="308">
        <v>159</v>
      </c>
      <c r="F197" s="285"/>
      <c r="G197" s="285"/>
      <c r="H197" s="308">
        <v>152</v>
      </c>
      <c r="I197" s="308">
        <v>132</v>
      </c>
      <c r="J197" s="308">
        <v>119</v>
      </c>
      <c r="K197" s="318"/>
      <c r="L197" s="318"/>
      <c r="M197" s="318"/>
      <c r="N197" s="318"/>
      <c r="O197" s="316"/>
    </row>
    <row r="198" spans="1:15" ht="26">
      <c r="A198" s="250" t="s">
        <v>665</v>
      </c>
      <c r="B198" s="307" t="s">
        <v>144</v>
      </c>
      <c r="C198" s="285">
        <v>70</v>
      </c>
      <c r="D198" s="308">
        <v>79</v>
      </c>
      <c r="E198" s="308">
        <v>72</v>
      </c>
      <c r="F198" s="285">
        <v>69</v>
      </c>
      <c r="G198" s="285">
        <v>60</v>
      </c>
      <c r="H198" s="308">
        <v>64</v>
      </c>
      <c r="I198" s="308">
        <v>66</v>
      </c>
      <c r="J198" s="308">
        <v>44</v>
      </c>
      <c r="K198" s="318">
        <v>8</v>
      </c>
      <c r="L198" s="318">
        <v>9</v>
      </c>
      <c r="M198" s="318">
        <v>10</v>
      </c>
      <c r="N198" s="318">
        <v>4</v>
      </c>
      <c r="O198" s="316">
        <v>10</v>
      </c>
    </row>
    <row r="199" spans="1:15" ht="26">
      <c r="A199" s="250" t="s">
        <v>665</v>
      </c>
      <c r="B199" s="307" t="s">
        <v>161</v>
      </c>
      <c r="C199" s="285">
        <v>88</v>
      </c>
      <c r="D199" s="308">
        <v>96</v>
      </c>
      <c r="E199" s="308">
        <v>87</v>
      </c>
      <c r="F199" s="285"/>
      <c r="G199" s="285">
        <v>77</v>
      </c>
      <c r="H199" s="308">
        <v>79</v>
      </c>
      <c r="I199" s="308">
        <v>76</v>
      </c>
      <c r="J199" s="308">
        <v>54</v>
      </c>
      <c r="K199" s="318">
        <v>4</v>
      </c>
      <c r="L199" s="318">
        <v>6</v>
      </c>
      <c r="M199" s="318"/>
      <c r="N199" s="318"/>
      <c r="O199" s="316"/>
    </row>
    <row r="200" spans="1:15" ht="26">
      <c r="A200" s="250" t="s">
        <v>665</v>
      </c>
      <c r="B200" s="307" t="s">
        <v>173</v>
      </c>
      <c r="C200" s="285"/>
      <c r="D200" s="308">
        <v>115</v>
      </c>
      <c r="E200" s="308">
        <v>104</v>
      </c>
      <c r="F200" s="285"/>
      <c r="G200" s="285"/>
      <c r="H200" s="308">
        <v>96</v>
      </c>
      <c r="I200" s="308">
        <v>87</v>
      </c>
      <c r="J200" s="308">
        <v>69</v>
      </c>
      <c r="K200" s="318"/>
      <c r="L200" s="318"/>
      <c r="M200" s="318"/>
      <c r="N200" s="318">
        <v>31</v>
      </c>
      <c r="O200" s="316"/>
    </row>
    <row r="201" spans="1:15" ht="26">
      <c r="A201" s="250" t="s">
        <v>665</v>
      </c>
      <c r="B201" s="307" t="s">
        <v>179</v>
      </c>
      <c r="C201" s="285"/>
      <c r="D201" s="308">
        <v>161</v>
      </c>
      <c r="E201" s="308">
        <v>148</v>
      </c>
      <c r="F201" s="285"/>
      <c r="G201" s="285"/>
      <c r="H201" s="308">
        <v>140</v>
      </c>
      <c r="I201" s="308">
        <v>128</v>
      </c>
      <c r="J201" s="308">
        <v>109</v>
      </c>
      <c r="K201" s="318"/>
      <c r="L201" s="318"/>
      <c r="M201" s="318"/>
      <c r="N201" s="318">
        <v>63</v>
      </c>
      <c r="O201" s="316"/>
    </row>
    <row r="202" spans="1:15" ht="26">
      <c r="A202" s="250" t="s">
        <v>665</v>
      </c>
      <c r="B202" s="307" t="s">
        <v>184</v>
      </c>
      <c r="C202" s="285"/>
      <c r="D202" s="285"/>
      <c r="E202" s="308">
        <v>159</v>
      </c>
      <c r="F202" s="285"/>
      <c r="G202" s="285"/>
      <c r="H202" s="308">
        <v>152</v>
      </c>
      <c r="I202" s="308">
        <v>132</v>
      </c>
      <c r="J202" s="308">
        <v>119</v>
      </c>
      <c r="K202" s="318"/>
      <c r="L202" s="318"/>
      <c r="M202" s="318"/>
      <c r="N202" s="318"/>
      <c r="O202" s="316"/>
    </row>
    <row r="203" spans="1:15" ht="26">
      <c r="A203" s="250" t="s">
        <v>666</v>
      </c>
      <c r="B203" s="307" t="s">
        <v>144</v>
      </c>
      <c r="C203" s="285">
        <v>70</v>
      </c>
      <c r="D203" s="308">
        <v>79</v>
      </c>
      <c r="E203" s="308">
        <v>72</v>
      </c>
      <c r="F203" s="285">
        <v>69</v>
      </c>
      <c r="G203" s="285">
        <v>60</v>
      </c>
      <c r="H203" s="308">
        <v>64</v>
      </c>
      <c r="I203" s="308">
        <v>66</v>
      </c>
      <c r="J203" s="308">
        <v>44</v>
      </c>
      <c r="K203" s="318">
        <v>8</v>
      </c>
      <c r="L203" s="318">
        <v>9</v>
      </c>
      <c r="M203" s="318">
        <v>10</v>
      </c>
      <c r="N203" s="318">
        <v>4</v>
      </c>
      <c r="O203" s="316">
        <v>10</v>
      </c>
    </row>
    <row r="204" spans="1:15" ht="26">
      <c r="A204" s="250" t="s">
        <v>666</v>
      </c>
      <c r="B204" s="307" t="s">
        <v>161</v>
      </c>
      <c r="C204" s="285">
        <v>88</v>
      </c>
      <c r="D204" s="308">
        <v>96</v>
      </c>
      <c r="E204" s="308">
        <v>87</v>
      </c>
      <c r="F204" s="285"/>
      <c r="G204" s="285">
        <v>77</v>
      </c>
      <c r="H204" s="308">
        <v>79</v>
      </c>
      <c r="I204" s="308">
        <v>76</v>
      </c>
      <c r="J204" s="308">
        <v>54</v>
      </c>
      <c r="K204" s="318">
        <v>4</v>
      </c>
      <c r="L204" s="318">
        <v>6</v>
      </c>
      <c r="M204" s="318"/>
      <c r="N204" s="318"/>
      <c r="O204" s="316"/>
    </row>
    <row r="205" spans="1:15" ht="26">
      <c r="A205" s="250" t="s">
        <v>666</v>
      </c>
      <c r="B205" s="307" t="s">
        <v>173</v>
      </c>
      <c r="C205" s="285"/>
      <c r="D205" s="308">
        <v>115</v>
      </c>
      <c r="E205" s="308">
        <v>104</v>
      </c>
      <c r="F205" s="285"/>
      <c r="G205" s="285"/>
      <c r="H205" s="308">
        <v>96</v>
      </c>
      <c r="I205" s="308">
        <v>87</v>
      </c>
      <c r="J205" s="308">
        <v>69</v>
      </c>
      <c r="K205" s="318"/>
      <c r="L205" s="318"/>
      <c r="M205" s="318"/>
      <c r="N205" s="318">
        <v>24</v>
      </c>
      <c r="O205" s="316"/>
    </row>
    <row r="206" spans="1:15" ht="26">
      <c r="A206" s="250" t="s">
        <v>666</v>
      </c>
      <c r="B206" s="307" t="s">
        <v>179</v>
      </c>
      <c r="C206" s="285"/>
      <c r="D206" s="308">
        <v>161</v>
      </c>
      <c r="E206" s="308">
        <v>148</v>
      </c>
      <c r="F206" s="285"/>
      <c r="G206" s="285"/>
      <c r="H206" s="308">
        <v>140</v>
      </c>
      <c r="I206" s="308">
        <v>128</v>
      </c>
      <c r="J206" s="308">
        <v>109</v>
      </c>
      <c r="K206" s="318"/>
      <c r="L206" s="318"/>
      <c r="M206" s="318"/>
      <c r="N206" s="318">
        <v>47</v>
      </c>
      <c r="O206" s="316"/>
    </row>
    <row r="207" spans="1:15" ht="26">
      <c r="A207" s="250" t="s">
        <v>666</v>
      </c>
      <c r="B207" s="307" t="s">
        <v>184</v>
      </c>
      <c r="C207" s="285"/>
      <c r="D207" s="285"/>
      <c r="E207" s="308">
        <v>159</v>
      </c>
      <c r="F207" s="285"/>
      <c r="G207" s="285"/>
      <c r="H207" s="308">
        <v>152</v>
      </c>
      <c r="I207" s="308">
        <v>132</v>
      </c>
      <c r="J207" s="308">
        <v>119</v>
      </c>
      <c r="K207" s="318"/>
      <c r="L207" s="318"/>
      <c r="M207" s="318"/>
      <c r="N207" s="318"/>
      <c r="O207" s="316"/>
    </row>
    <row r="208" spans="1:15" ht="26">
      <c r="A208" s="250" t="s">
        <v>667</v>
      </c>
      <c r="B208" s="307" t="s">
        <v>144</v>
      </c>
      <c r="C208" s="285">
        <v>70</v>
      </c>
      <c r="D208" s="308">
        <v>79</v>
      </c>
      <c r="E208" s="308">
        <v>72</v>
      </c>
      <c r="F208" s="285">
        <v>69</v>
      </c>
      <c r="G208" s="285">
        <v>60</v>
      </c>
      <c r="H208" s="308">
        <v>64</v>
      </c>
      <c r="I208" s="308">
        <v>66</v>
      </c>
      <c r="J208" s="308">
        <v>44</v>
      </c>
      <c r="K208" s="318">
        <v>8</v>
      </c>
      <c r="L208" s="318">
        <v>9</v>
      </c>
      <c r="M208" s="318">
        <v>10</v>
      </c>
      <c r="N208" s="318">
        <v>4</v>
      </c>
      <c r="O208" s="316">
        <v>10</v>
      </c>
    </row>
    <row r="209" spans="1:15" ht="26">
      <c r="A209" s="250" t="s">
        <v>667</v>
      </c>
      <c r="B209" s="307" t="s">
        <v>161</v>
      </c>
      <c r="C209" s="285">
        <v>88</v>
      </c>
      <c r="D209" s="308">
        <v>96</v>
      </c>
      <c r="E209" s="308">
        <v>87</v>
      </c>
      <c r="F209" s="285"/>
      <c r="G209" s="285">
        <v>77</v>
      </c>
      <c r="H209" s="308">
        <v>79</v>
      </c>
      <c r="I209" s="308">
        <v>76</v>
      </c>
      <c r="J209" s="308">
        <v>54</v>
      </c>
      <c r="K209" s="318">
        <v>4</v>
      </c>
      <c r="L209" s="318">
        <v>6</v>
      </c>
      <c r="M209" s="318"/>
      <c r="N209" s="318"/>
      <c r="O209" s="316"/>
    </row>
    <row r="210" spans="1:15" ht="26">
      <c r="A210" s="250" t="s">
        <v>667</v>
      </c>
      <c r="B210" s="307" t="s">
        <v>173</v>
      </c>
      <c r="C210" s="285"/>
      <c r="D210" s="308">
        <v>115</v>
      </c>
      <c r="E210" s="308">
        <v>104</v>
      </c>
      <c r="F210" s="285"/>
      <c r="G210" s="285"/>
      <c r="H210" s="308">
        <v>96</v>
      </c>
      <c r="I210" s="308">
        <v>87</v>
      </c>
      <c r="J210" s="308">
        <v>69</v>
      </c>
      <c r="K210" s="318"/>
      <c r="L210" s="318"/>
      <c r="M210" s="318"/>
      <c r="N210" s="318">
        <v>24</v>
      </c>
      <c r="O210" s="316"/>
    </row>
    <row r="211" spans="1:15" ht="26">
      <c r="A211" s="250" t="s">
        <v>667</v>
      </c>
      <c r="B211" s="307" t="s">
        <v>179</v>
      </c>
      <c r="C211" s="285"/>
      <c r="D211" s="308">
        <v>161</v>
      </c>
      <c r="E211" s="308">
        <v>148</v>
      </c>
      <c r="F211" s="285"/>
      <c r="G211" s="285"/>
      <c r="H211" s="308">
        <v>140</v>
      </c>
      <c r="I211" s="308">
        <v>128</v>
      </c>
      <c r="J211" s="308">
        <v>109</v>
      </c>
      <c r="K211" s="318"/>
      <c r="L211" s="318"/>
      <c r="M211" s="318"/>
      <c r="N211" s="318">
        <v>47</v>
      </c>
      <c r="O211" s="316"/>
    </row>
    <row r="212" spans="1:15" ht="26">
      <c r="A212" s="250" t="s">
        <v>667</v>
      </c>
      <c r="B212" s="307" t="s">
        <v>184</v>
      </c>
      <c r="C212" s="285"/>
      <c r="D212" s="285"/>
      <c r="E212" s="308">
        <v>159</v>
      </c>
      <c r="F212" s="285"/>
      <c r="G212" s="285"/>
      <c r="H212" s="308">
        <v>152</v>
      </c>
      <c r="I212" s="308">
        <v>132</v>
      </c>
      <c r="J212" s="308">
        <v>119</v>
      </c>
      <c r="K212" s="318"/>
      <c r="L212" s="318"/>
      <c r="M212" s="318"/>
      <c r="N212" s="318"/>
      <c r="O212" s="316"/>
    </row>
    <row r="213" spans="1:15" ht="26">
      <c r="A213" s="250" t="s">
        <v>668</v>
      </c>
      <c r="B213" s="307" t="s">
        <v>144</v>
      </c>
      <c r="C213" s="314">
        <v>57</v>
      </c>
      <c r="D213" s="314">
        <v>66</v>
      </c>
      <c r="E213" s="314">
        <v>62</v>
      </c>
      <c r="F213" s="314">
        <v>57</v>
      </c>
      <c r="G213" s="314">
        <v>50</v>
      </c>
      <c r="H213" s="314">
        <v>56</v>
      </c>
      <c r="I213" s="314">
        <v>63</v>
      </c>
      <c r="J213" s="314">
        <v>40</v>
      </c>
      <c r="K213" s="335">
        <v>47</v>
      </c>
      <c r="L213" s="335">
        <v>54</v>
      </c>
      <c r="M213" s="335">
        <v>55</v>
      </c>
      <c r="N213" s="335">
        <v>27</v>
      </c>
      <c r="O213" s="335">
        <v>56</v>
      </c>
    </row>
    <row r="214" spans="1:15" ht="26">
      <c r="A214" s="250" t="s">
        <v>668</v>
      </c>
      <c r="B214" s="307" t="s">
        <v>161</v>
      </c>
      <c r="C214" s="314">
        <v>68</v>
      </c>
      <c r="D214" s="314">
        <v>77</v>
      </c>
      <c r="E214" s="314">
        <v>71</v>
      </c>
      <c r="F214" s="317"/>
      <c r="G214" s="314">
        <v>61</v>
      </c>
      <c r="H214" s="314">
        <v>64</v>
      </c>
      <c r="I214" s="314">
        <v>66</v>
      </c>
      <c r="J214" s="314">
        <v>44</v>
      </c>
      <c r="K214" s="335">
        <v>29</v>
      </c>
      <c r="L214" s="335">
        <v>37</v>
      </c>
    </row>
    <row r="215" spans="1:15" ht="26">
      <c r="A215" s="250" t="s">
        <v>668</v>
      </c>
      <c r="B215" s="307" t="s">
        <v>173</v>
      </c>
      <c r="C215" s="318"/>
      <c r="D215" s="314">
        <v>90</v>
      </c>
      <c r="E215" s="314">
        <v>81</v>
      </c>
      <c r="F215" s="317"/>
      <c r="G215" s="317"/>
      <c r="H215" s="314">
        <v>75</v>
      </c>
      <c r="I215" s="314">
        <v>68</v>
      </c>
      <c r="J215" s="314">
        <v>54</v>
      </c>
      <c r="N215" s="250">
        <v>28</v>
      </c>
    </row>
    <row r="216" spans="1:15" ht="26">
      <c r="A216" s="250" t="s">
        <v>668</v>
      </c>
      <c r="B216" s="307" t="s">
        <v>179</v>
      </c>
      <c r="C216" s="318"/>
      <c r="D216" s="314">
        <v>125</v>
      </c>
      <c r="E216" s="314">
        <v>115</v>
      </c>
      <c r="F216" s="317"/>
      <c r="G216" s="317"/>
      <c r="H216" s="314">
        <v>109</v>
      </c>
      <c r="I216" s="314">
        <v>99</v>
      </c>
      <c r="J216" s="314">
        <v>84</v>
      </c>
      <c r="N216" s="250">
        <v>49</v>
      </c>
    </row>
    <row r="217" spans="1:15" ht="26.5" thickBot="1">
      <c r="A217" s="250" t="s">
        <v>668</v>
      </c>
      <c r="B217" s="336" t="s">
        <v>184</v>
      </c>
      <c r="C217" s="337"/>
      <c r="D217" s="338"/>
      <c r="E217" s="339">
        <v>133</v>
      </c>
      <c r="F217" s="338"/>
      <c r="G217" s="338"/>
      <c r="H217" s="339">
        <v>117</v>
      </c>
      <c r="I217" s="339">
        <v>107</v>
      </c>
      <c r="J217" s="339">
        <v>92</v>
      </c>
      <c r="K217" s="337"/>
      <c r="L217" s="337"/>
      <c r="M217" s="337"/>
      <c r="N217" s="337"/>
      <c r="O217" s="340"/>
    </row>
    <row r="218" spans="1:15" ht="26">
      <c r="A218" s="250" t="s">
        <v>670</v>
      </c>
      <c r="B218" s="307" t="s">
        <v>144</v>
      </c>
      <c r="C218" s="250">
        <v>66</v>
      </c>
      <c r="D218" s="341">
        <v>76</v>
      </c>
      <c r="E218" s="341">
        <v>71</v>
      </c>
      <c r="F218" s="250">
        <v>66</v>
      </c>
      <c r="G218" s="250">
        <v>58</v>
      </c>
      <c r="H218" s="341">
        <v>64</v>
      </c>
      <c r="I218" s="341">
        <v>72</v>
      </c>
      <c r="J218" s="341">
        <v>46</v>
      </c>
      <c r="K218" s="335">
        <v>54</v>
      </c>
      <c r="L218" s="335">
        <v>62</v>
      </c>
      <c r="M218" s="335">
        <v>63</v>
      </c>
      <c r="N218" s="335">
        <v>31</v>
      </c>
      <c r="O218" s="335">
        <v>64</v>
      </c>
    </row>
    <row r="219" spans="1:15" ht="26">
      <c r="A219" s="250" t="s">
        <v>671</v>
      </c>
      <c r="B219" s="307" t="s">
        <v>161</v>
      </c>
      <c r="C219" s="250">
        <v>78</v>
      </c>
      <c r="D219" s="341">
        <v>89</v>
      </c>
      <c r="E219" s="341">
        <v>82</v>
      </c>
      <c r="G219" s="250">
        <v>70</v>
      </c>
      <c r="H219" s="341">
        <v>74</v>
      </c>
      <c r="I219" s="341">
        <v>76</v>
      </c>
      <c r="J219" s="341">
        <v>51</v>
      </c>
      <c r="K219" s="335">
        <v>33</v>
      </c>
      <c r="L219" s="335">
        <v>43</v>
      </c>
      <c r="M219" s="335"/>
    </row>
    <row r="220" spans="1:15" ht="26">
      <c r="A220" s="250" t="s">
        <v>672</v>
      </c>
      <c r="B220" s="307" t="s">
        <v>173</v>
      </c>
      <c r="D220" s="341">
        <v>104</v>
      </c>
      <c r="E220" s="341">
        <v>93</v>
      </c>
      <c r="H220" s="341">
        <v>86</v>
      </c>
      <c r="I220" s="341">
        <v>78</v>
      </c>
      <c r="J220" s="341">
        <v>62</v>
      </c>
    </row>
    <row r="221" spans="1:15" ht="26">
      <c r="A221" s="250" t="s">
        <v>673</v>
      </c>
      <c r="B221" s="307" t="s">
        <v>179</v>
      </c>
      <c r="D221" s="341">
        <v>144</v>
      </c>
      <c r="E221" s="341">
        <v>132</v>
      </c>
      <c r="H221" s="341">
        <v>125</v>
      </c>
      <c r="I221" s="341">
        <v>114</v>
      </c>
      <c r="J221" s="341">
        <v>97</v>
      </c>
      <c r="N221" s="250">
        <v>32</v>
      </c>
    </row>
    <row r="222" spans="1:15" ht="26.5" thickBot="1">
      <c r="A222" s="250" t="s">
        <v>674</v>
      </c>
      <c r="B222" s="336" t="s">
        <v>184</v>
      </c>
      <c r="E222" s="341">
        <v>153</v>
      </c>
      <c r="H222" s="341">
        <v>135</v>
      </c>
      <c r="I222" s="341">
        <v>123</v>
      </c>
      <c r="J222" s="341">
        <v>106</v>
      </c>
      <c r="N222" s="250">
        <v>56</v>
      </c>
    </row>
    <row r="223" spans="1:15" ht="26">
      <c r="A223" s="250" t="s">
        <v>679</v>
      </c>
      <c r="B223" s="307" t="s">
        <v>144</v>
      </c>
      <c r="C223" s="250">
        <v>66</v>
      </c>
      <c r="D223" s="341">
        <v>76</v>
      </c>
      <c r="E223" s="341">
        <v>71</v>
      </c>
      <c r="F223" s="250">
        <v>66</v>
      </c>
      <c r="G223" s="250">
        <v>58</v>
      </c>
      <c r="H223" s="341">
        <v>64</v>
      </c>
      <c r="I223" s="341">
        <v>72</v>
      </c>
      <c r="J223" s="341">
        <v>46</v>
      </c>
      <c r="K223" s="335">
        <v>54</v>
      </c>
      <c r="L223" s="335">
        <v>62</v>
      </c>
      <c r="M223" s="335">
        <v>63</v>
      </c>
      <c r="N223" s="335">
        <v>31</v>
      </c>
      <c r="O223" s="335">
        <v>64</v>
      </c>
    </row>
    <row r="224" spans="1:15" ht="26">
      <c r="A224" s="250" t="s">
        <v>679</v>
      </c>
      <c r="B224" s="307" t="s">
        <v>161</v>
      </c>
      <c r="C224" s="250">
        <v>78</v>
      </c>
      <c r="D224" s="341">
        <v>89</v>
      </c>
      <c r="E224" s="341">
        <v>82</v>
      </c>
      <c r="G224" s="250">
        <v>70</v>
      </c>
      <c r="H224" s="341">
        <v>74</v>
      </c>
      <c r="I224" s="341">
        <v>76</v>
      </c>
      <c r="J224" s="341">
        <v>51</v>
      </c>
      <c r="K224" s="335">
        <v>33</v>
      </c>
      <c r="L224" s="335">
        <v>43</v>
      </c>
      <c r="M224" s="335"/>
    </row>
    <row r="225" spans="1:15" ht="26">
      <c r="A225" s="250" t="s">
        <v>679</v>
      </c>
      <c r="B225" s="307" t="s">
        <v>173</v>
      </c>
      <c r="D225" s="341">
        <v>104</v>
      </c>
      <c r="E225" s="341">
        <v>93</v>
      </c>
      <c r="H225" s="341">
        <v>86</v>
      </c>
      <c r="I225" s="341">
        <v>78</v>
      </c>
      <c r="J225" s="341">
        <v>62</v>
      </c>
    </row>
    <row r="226" spans="1:15" ht="26">
      <c r="A226" s="250" t="s">
        <v>679</v>
      </c>
      <c r="B226" s="307" t="s">
        <v>179</v>
      </c>
      <c r="D226" s="341">
        <v>144</v>
      </c>
      <c r="E226" s="341">
        <v>132</v>
      </c>
      <c r="H226" s="341">
        <v>125</v>
      </c>
      <c r="I226" s="341">
        <v>114</v>
      </c>
      <c r="J226" s="341">
        <v>97</v>
      </c>
      <c r="N226" s="250">
        <v>32</v>
      </c>
    </row>
    <row r="227" spans="1:15" ht="26.5" thickBot="1">
      <c r="A227" s="250" t="s">
        <v>679</v>
      </c>
      <c r="B227" s="336" t="s">
        <v>184</v>
      </c>
      <c r="E227" s="341">
        <v>153</v>
      </c>
      <c r="H227" s="341">
        <v>135</v>
      </c>
      <c r="I227" s="341">
        <v>123</v>
      </c>
      <c r="J227" s="341">
        <v>106</v>
      </c>
      <c r="N227" s="250">
        <v>56</v>
      </c>
    </row>
    <row r="228" spans="1:15" ht="26">
      <c r="A228" s="250" t="s">
        <v>680</v>
      </c>
      <c r="B228" s="307" t="s">
        <v>144</v>
      </c>
      <c r="C228" s="250">
        <v>57</v>
      </c>
      <c r="D228" s="342">
        <v>66</v>
      </c>
      <c r="E228" s="341">
        <v>62</v>
      </c>
      <c r="F228" s="250">
        <v>57</v>
      </c>
      <c r="G228" s="250">
        <v>50</v>
      </c>
      <c r="H228" s="341">
        <v>56</v>
      </c>
      <c r="I228" s="341">
        <v>63</v>
      </c>
      <c r="J228" s="341">
        <v>40</v>
      </c>
      <c r="K228" s="335">
        <v>47</v>
      </c>
      <c r="L228" s="335">
        <v>54</v>
      </c>
      <c r="M228" s="335">
        <v>55</v>
      </c>
      <c r="N228" s="335">
        <v>27</v>
      </c>
      <c r="O228" s="335">
        <v>56</v>
      </c>
    </row>
    <row r="229" spans="1:15" ht="26">
      <c r="A229" s="250" t="s">
        <v>680</v>
      </c>
      <c r="B229" s="307" t="s">
        <v>161</v>
      </c>
      <c r="C229" s="250">
        <v>68</v>
      </c>
      <c r="D229" s="342">
        <v>77</v>
      </c>
      <c r="E229" s="341">
        <v>71</v>
      </c>
      <c r="G229" s="250">
        <v>61</v>
      </c>
      <c r="H229" s="341">
        <v>64</v>
      </c>
      <c r="I229" s="341">
        <v>66</v>
      </c>
      <c r="J229" s="341">
        <v>44</v>
      </c>
      <c r="K229" s="335">
        <v>29</v>
      </c>
      <c r="L229" s="335">
        <v>37</v>
      </c>
    </row>
    <row r="230" spans="1:15" ht="26">
      <c r="A230" s="250" t="s">
        <v>680</v>
      </c>
      <c r="B230" s="307" t="s">
        <v>173</v>
      </c>
      <c r="D230" s="342">
        <v>90</v>
      </c>
      <c r="E230" s="341">
        <v>81</v>
      </c>
      <c r="H230" s="341">
        <v>75</v>
      </c>
      <c r="I230" s="341">
        <v>68</v>
      </c>
      <c r="J230" s="341">
        <v>54</v>
      </c>
      <c r="N230" s="250">
        <v>28</v>
      </c>
    </row>
    <row r="231" spans="1:15" ht="26">
      <c r="A231" s="250" t="s">
        <v>680</v>
      </c>
      <c r="B231" s="307" t="s">
        <v>179</v>
      </c>
      <c r="D231" s="342">
        <v>125</v>
      </c>
      <c r="E231" s="341">
        <v>115</v>
      </c>
      <c r="H231" s="341">
        <v>109</v>
      </c>
      <c r="I231" s="341">
        <v>99</v>
      </c>
      <c r="J231" s="341">
        <v>84</v>
      </c>
      <c r="N231" s="250">
        <v>49</v>
      </c>
    </row>
    <row r="232" spans="1:15" ht="26.5" thickBot="1">
      <c r="A232" s="250" t="s">
        <v>680</v>
      </c>
      <c r="B232" s="336" t="s">
        <v>184</v>
      </c>
      <c r="E232" s="341">
        <v>133</v>
      </c>
      <c r="H232" s="341">
        <v>117</v>
      </c>
      <c r="I232" s="341">
        <v>107</v>
      </c>
      <c r="J232" s="341">
        <v>92</v>
      </c>
    </row>
    <row r="233" spans="1:15" ht="26">
      <c r="A233" s="250" t="s">
        <v>683</v>
      </c>
      <c r="B233" s="307" t="s">
        <v>144</v>
      </c>
      <c r="C233" s="250">
        <v>57</v>
      </c>
      <c r="D233" s="342">
        <v>66</v>
      </c>
      <c r="E233" s="341">
        <v>62</v>
      </c>
      <c r="F233" s="250">
        <v>57</v>
      </c>
      <c r="G233" s="250">
        <v>50</v>
      </c>
      <c r="H233" s="341">
        <v>56</v>
      </c>
      <c r="I233" s="341">
        <v>63</v>
      </c>
      <c r="J233" s="341">
        <v>40</v>
      </c>
      <c r="K233" s="335">
        <v>47</v>
      </c>
      <c r="L233" s="335">
        <v>54</v>
      </c>
      <c r="M233" s="335">
        <v>55</v>
      </c>
      <c r="N233" s="335">
        <v>27</v>
      </c>
      <c r="O233" s="335">
        <v>56</v>
      </c>
    </row>
    <row r="234" spans="1:15" ht="26">
      <c r="A234" s="250" t="s">
        <v>683</v>
      </c>
      <c r="B234" s="307" t="s">
        <v>161</v>
      </c>
      <c r="C234" s="250">
        <v>68</v>
      </c>
      <c r="D234" s="342">
        <v>77</v>
      </c>
      <c r="E234" s="341">
        <v>71</v>
      </c>
      <c r="G234" s="250">
        <v>61</v>
      </c>
      <c r="H234" s="341">
        <v>64</v>
      </c>
      <c r="I234" s="341">
        <v>66</v>
      </c>
      <c r="J234" s="341">
        <v>44</v>
      </c>
      <c r="K234" s="335">
        <v>29</v>
      </c>
      <c r="L234" s="335">
        <v>37</v>
      </c>
    </row>
    <row r="235" spans="1:15" ht="26">
      <c r="A235" s="250" t="s">
        <v>683</v>
      </c>
      <c r="B235" s="307" t="s">
        <v>173</v>
      </c>
      <c r="D235" s="342">
        <v>90</v>
      </c>
      <c r="E235" s="341">
        <v>81</v>
      </c>
      <c r="H235" s="341">
        <v>75</v>
      </c>
      <c r="I235" s="341">
        <v>68</v>
      </c>
      <c r="J235" s="341">
        <v>54</v>
      </c>
      <c r="N235" s="250">
        <v>28</v>
      </c>
    </row>
    <row r="236" spans="1:15" ht="26">
      <c r="A236" s="250" t="s">
        <v>683</v>
      </c>
      <c r="B236" s="307" t="s">
        <v>179</v>
      </c>
      <c r="D236" s="342">
        <v>125</v>
      </c>
      <c r="E236" s="341">
        <v>115</v>
      </c>
      <c r="H236" s="341">
        <v>109</v>
      </c>
      <c r="I236" s="341">
        <v>99</v>
      </c>
      <c r="J236" s="341">
        <v>84</v>
      </c>
      <c r="N236" s="250">
        <v>49</v>
      </c>
    </row>
    <row r="237" spans="1:15" ht="26.5" thickBot="1">
      <c r="A237" s="250" t="s">
        <v>683</v>
      </c>
      <c r="B237" s="336" t="s">
        <v>184</v>
      </c>
      <c r="E237" s="341">
        <v>133</v>
      </c>
      <c r="H237" s="341">
        <v>117</v>
      </c>
      <c r="I237" s="341">
        <v>107</v>
      </c>
      <c r="J237" s="341">
        <v>92</v>
      </c>
    </row>
    <row r="238" spans="1:15" ht="26">
      <c r="A238" s="250" t="s">
        <v>684</v>
      </c>
      <c r="B238" s="307" t="s">
        <v>144</v>
      </c>
      <c r="C238" s="250">
        <v>70</v>
      </c>
      <c r="D238" s="342">
        <v>79</v>
      </c>
      <c r="E238" s="341">
        <v>72</v>
      </c>
      <c r="F238" s="250">
        <v>69</v>
      </c>
      <c r="G238" s="250">
        <v>60</v>
      </c>
      <c r="H238" s="250">
        <v>60</v>
      </c>
      <c r="I238" s="341">
        <v>66</v>
      </c>
      <c r="J238" s="341">
        <v>44</v>
      </c>
      <c r="K238" s="250">
        <v>8</v>
      </c>
      <c r="L238" s="250">
        <v>9</v>
      </c>
      <c r="M238" s="250">
        <v>10</v>
      </c>
      <c r="N238" s="250">
        <v>4</v>
      </c>
      <c r="O238" s="250">
        <v>10</v>
      </c>
    </row>
    <row r="239" spans="1:15" ht="26">
      <c r="A239" s="250" t="s">
        <v>684</v>
      </c>
      <c r="B239" s="307" t="s">
        <v>161</v>
      </c>
      <c r="C239" s="250">
        <v>88</v>
      </c>
      <c r="D239" s="342">
        <v>96</v>
      </c>
      <c r="E239" s="341">
        <v>87</v>
      </c>
      <c r="G239" s="250">
        <v>77</v>
      </c>
      <c r="H239" s="250">
        <v>79</v>
      </c>
      <c r="I239" s="341">
        <v>76</v>
      </c>
      <c r="J239" s="341">
        <v>54</v>
      </c>
      <c r="K239" s="250">
        <v>4</v>
      </c>
      <c r="L239" s="250">
        <v>6</v>
      </c>
    </row>
    <row r="240" spans="1:15" ht="26">
      <c r="A240" s="250" t="s">
        <v>684</v>
      </c>
      <c r="B240" s="307" t="s">
        <v>173</v>
      </c>
      <c r="D240" s="342">
        <v>115</v>
      </c>
      <c r="E240" s="341">
        <v>104</v>
      </c>
      <c r="H240" s="250">
        <v>96</v>
      </c>
      <c r="I240" s="341">
        <v>87</v>
      </c>
      <c r="J240" s="341">
        <v>59</v>
      </c>
      <c r="N240" s="250">
        <v>24</v>
      </c>
    </row>
    <row r="241" spans="1:15" ht="26">
      <c r="A241" s="250" t="s">
        <v>684</v>
      </c>
      <c r="B241" s="307" t="s">
        <v>179</v>
      </c>
      <c r="D241" s="342">
        <v>161</v>
      </c>
      <c r="E241" s="341">
        <v>148</v>
      </c>
      <c r="H241" s="250">
        <v>140</v>
      </c>
      <c r="I241" s="341">
        <v>128</v>
      </c>
      <c r="J241" s="341">
        <v>109</v>
      </c>
      <c r="N241" s="250">
        <v>47</v>
      </c>
    </row>
    <row r="242" spans="1:15" ht="26.5" thickBot="1">
      <c r="A242" s="250" t="s">
        <v>684</v>
      </c>
      <c r="B242" s="336" t="s">
        <v>184</v>
      </c>
      <c r="E242" s="341">
        <v>159</v>
      </c>
      <c r="H242" s="250">
        <v>152</v>
      </c>
      <c r="I242" s="341">
        <v>138</v>
      </c>
      <c r="J242" s="341">
        <v>119</v>
      </c>
    </row>
    <row r="243" spans="1:15" ht="26">
      <c r="A243" s="250" t="s">
        <v>685</v>
      </c>
      <c r="B243" s="307" t="s">
        <v>144</v>
      </c>
      <c r="C243" s="250">
        <v>70</v>
      </c>
      <c r="D243" s="342">
        <v>79</v>
      </c>
      <c r="E243" s="341">
        <v>72</v>
      </c>
      <c r="F243" s="250">
        <v>69</v>
      </c>
      <c r="G243" s="250">
        <v>60</v>
      </c>
      <c r="H243" s="250">
        <v>60</v>
      </c>
      <c r="I243" s="341">
        <v>66</v>
      </c>
      <c r="J243" s="341">
        <v>44</v>
      </c>
      <c r="K243" s="250">
        <v>8</v>
      </c>
      <c r="L243" s="250">
        <v>9</v>
      </c>
      <c r="M243" s="250">
        <v>10</v>
      </c>
      <c r="N243" s="250">
        <v>4</v>
      </c>
      <c r="O243" s="250">
        <v>10</v>
      </c>
    </row>
    <row r="244" spans="1:15" ht="26">
      <c r="A244" s="250" t="s">
        <v>685</v>
      </c>
      <c r="B244" s="307" t="s">
        <v>161</v>
      </c>
      <c r="C244" s="250">
        <v>88</v>
      </c>
      <c r="D244" s="342">
        <v>96</v>
      </c>
      <c r="E244" s="341">
        <v>87</v>
      </c>
      <c r="G244" s="250">
        <v>77</v>
      </c>
      <c r="H244" s="250">
        <v>79</v>
      </c>
      <c r="I244" s="341">
        <v>76</v>
      </c>
      <c r="J244" s="341">
        <v>54</v>
      </c>
      <c r="K244" s="250">
        <v>4</v>
      </c>
      <c r="L244" s="250">
        <v>6</v>
      </c>
    </row>
    <row r="245" spans="1:15" ht="26">
      <c r="A245" s="250" t="s">
        <v>685</v>
      </c>
      <c r="B245" s="307" t="s">
        <v>173</v>
      </c>
      <c r="D245" s="342">
        <v>115</v>
      </c>
      <c r="E245" s="341">
        <v>104</v>
      </c>
      <c r="H245" s="250">
        <v>96</v>
      </c>
      <c r="I245" s="341">
        <v>87</v>
      </c>
      <c r="J245" s="341">
        <v>59</v>
      </c>
      <c r="N245" s="250">
        <v>24</v>
      </c>
    </row>
    <row r="246" spans="1:15" ht="26">
      <c r="A246" s="250" t="s">
        <v>685</v>
      </c>
      <c r="B246" s="307" t="s">
        <v>179</v>
      </c>
      <c r="D246" s="342">
        <v>161</v>
      </c>
      <c r="E246" s="341">
        <v>148</v>
      </c>
      <c r="H246" s="250">
        <v>140</v>
      </c>
      <c r="I246" s="341">
        <v>128</v>
      </c>
      <c r="J246" s="341">
        <v>109</v>
      </c>
      <c r="N246" s="250">
        <v>47</v>
      </c>
    </row>
    <row r="247" spans="1:15" ht="26.5" thickBot="1">
      <c r="A247" s="250" t="s">
        <v>685</v>
      </c>
      <c r="B247" s="336" t="s">
        <v>184</v>
      </c>
      <c r="E247" s="341">
        <v>159</v>
      </c>
      <c r="H247" s="250">
        <v>152</v>
      </c>
      <c r="I247" s="341">
        <v>138</v>
      </c>
      <c r="J247" s="341">
        <v>119</v>
      </c>
    </row>
  </sheetData>
  <mergeCells count="1">
    <mergeCell ref="C1:O1"/>
  </mergeCells>
  <conditionalFormatting sqref="C3:O212 C213:J216 C217:O217 N218:O218 K218:M219 D218:E221 E222">
    <cfRule type="cellIs" dxfId="235" priority="5" operator="equal">
      <formula>C3="&lt;&gt;"</formula>
    </cfRule>
  </conditionalFormatting>
  <conditionalFormatting sqref="H218:J237 M233:O233 K233:L234 D233:D236 D238:D241 E227:E242 I238:J242">
    <cfRule type="cellIs" dxfId="234" priority="3" operator="equal">
      <formula>D218="&lt;&gt;"</formula>
    </cfRule>
  </conditionalFormatting>
  <conditionalFormatting sqref="M213:O213 K213:L214">
    <cfRule type="cellIs" dxfId="233" priority="2" operator="equal">
      <formula>K213="&lt;&gt;"</formula>
    </cfRule>
  </conditionalFormatting>
  <conditionalFormatting sqref="N223:O223 K223:M224 D223:E226 M228:O228 K228:L229 D228:D231">
    <cfRule type="cellIs" dxfId="232" priority="4" operator="equal">
      <formula>D223="&lt;&gt;"</formula>
    </cfRule>
  </conditionalFormatting>
  <conditionalFormatting sqref="D243:D246 E243:E247 I243:J247">
    <cfRule type="cellIs" dxfId="231" priority="1" operator="equal">
      <formula>D243="&lt;&gt;"</formula>
    </cfRule>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F19" sqref="A1:F19"/>
    </sheetView>
  </sheetViews>
  <sheetFormatPr baseColWidth="10" defaultRowHeight="14.5"/>
  <cols>
    <col min="1" max="1" width="21" bestFit="1" customWidth="1"/>
    <col min="2" max="2" width="24.26953125" bestFit="1" customWidth="1"/>
    <col min="5" max="5" width="21" bestFit="1" customWidth="1"/>
    <col min="6" max="6" width="13.6328125" bestFit="1" customWidth="1"/>
  </cols>
  <sheetData>
    <row r="1" spans="1:6">
      <c r="A1" s="166" t="s">
        <v>19</v>
      </c>
      <c r="B1" s="679" t="s" vm="11">
        <v>1071</v>
      </c>
      <c r="E1" s="166" t="s">
        <v>19</v>
      </c>
      <c r="F1" s="679" t="s" vm="11">
        <v>1071</v>
      </c>
    </row>
    <row r="2" spans="1:6">
      <c r="E2" s="532"/>
      <c r="F2" s="532"/>
    </row>
    <row r="3" spans="1:6">
      <c r="A3" s="166" t="s">
        <v>64</v>
      </c>
      <c r="B3" t="s">
        <v>842</v>
      </c>
      <c r="E3" s="166" t="s">
        <v>64</v>
      </c>
      <c r="F3" t="s">
        <v>865</v>
      </c>
    </row>
    <row r="4" spans="1:6">
      <c r="A4" s="85" t="s">
        <v>891</v>
      </c>
      <c r="B4" s="205"/>
      <c r="E4" s="85" t="s">
        <v>891</v>
      </c>
      <c r="F4" s="205"/>
    </row>
    <row r="5" spans="1:6">
      <c r="A5" s="167" t="s">
        <v>942</v>
      </c>
      <c r="B5" s="205">
        <v>20993.129032258039</v>
      </c>
      <c r="E5" s="167" t="s">
        <v>942</v>
      </c>
      <c r="F5" s="536">
        <v>23.855828445747747</v>
      </c>
    </row>
    <row r="6" spans="1:6">
      <c r="A6" s="167" t="s">
        <v>943</v>
      </c>
      <c r="B6" s="205">
        <v>6449.6774193548417</v>
      </c>
      <c r="E6" s="167" t="s">
        <v>943</v>
      </c>
      <c r="F6" s="536">
        <v>15.61665234710618</v>
      </c>
    </row>
    <row r="7" spans="1:6">
      <c r="A7" s="167" t="s">
        <v>944</v>
      </c>
      <c r="B7" s="205">
        <v>1333</v>
      </c>
      <c r="E7" s="167" t="s">
        <v>944</v>
      </c>
      <c r="F7" s="536">
        <v>10.098484848484841</v>
      </c>
    </row>
    <row r="8" spans="1:6">
      <c r="A8" s="167" t="s">
        <v>945</v>
      </c>
      <c r="B8" s="205">
        <v>16202.999999999987</v>
      </c>
      <c r="E8" s="167" t="s">
        <v>945</v>
      </c>
      <c r="F8" s="536">
        <v>24.475830815709948</v>
      </c>
    </row>
    <row r="9" spans="1:6">
      <c r="A9" s="85" t="s">
        <v>892</v>
      </c>
      <c r="B9" s="205"/>
      <c r="E9" s="85" t="s">
        <v>892</v>
      </c>
      <c r="F9" s="205"/>
    </row>
    <row r="10" spans="1:6">
      <c r="A10" s="167" t="s">
        <v>942</v>
      </c>
      <c r="B10" s="205">
        <v>29662.101694915225</v>
      </c>
      <c r="E10" s="167" t="s">
        <v>942</v>
      </c>
      <c r="F10" s="536">
        <v>33.706933744221821</v>
      </c>
    </row>
    <row r="11" spans="1:6">
      <c r="A11" s="167" t="s">
        <v>943</v>
      </c>
      <c r="B11" s="205">
        <v>8686.9202831067178</v>
      </c>
      <c r="E11" s="167" t="s">
        <v>943</v>
      </c>
      <c r="F11" s="536">
        <v>21.502277928481966</v>
      </c>
    </row>
    <row r="12" spans="1:6">
      <c r="A12" s="167" t="s">
        <v>944</v>
      </c>
      <c r="B12" s="205">
        <v>1364.1084567606308</v>
      </c>
      <c r="E12" s="167" t="s">
        <v>944</v>
      </c>
      <c r="F12" s="536">
        <v>11.861812667483731</v>
      </c>
    </row>
    <row r="13" spans="1:6">
      <c r="A13" s="167" t="s">
        <v>945</v>
      </c>
      <c r="B13" s="205">
        <v>20304.869565217381</v>
      </c>
      <c r="E13" s="167" t="s">
        <v>945</v>
      </c>
      <c r="F13" s="536">
        <v>32.332594849072265</v>
      </c>
    </row>
    <row r="14" spans="1:6">
      <c r="A14" s="85" t="s">
        <v>893</v>
      </c>
      <c r="B14" s="205"/>
      <c r="E14" s="85" t="s">
        <v>893</v>
      </c>
      <c r="F14" s="205"/>
    </row>
    <row r="15" spans="1:6">
      <c r="A15" s="167" t="s">
        <v>942</v>
      </c>
      <c r="B15" s="205">
        <v>29742.225806451592</v>
      </c>
      <c r="E15" s="167" t="s">
        <v>942</v>
      </c>
      <c r="F15" s="536">
        <v>34.265237104206875</v>
      </c>
    </row>
    <row r="16" spans="1:6">
      <c r="A16" s="167" t="s">
        <v>943</v>
      </c>
      <c r="B16" s="205">
        <v>9346.7741935483773</v>
      </c>
      <c r="E16" s="167" t="s">
        <v>943</v>
      </c>
      <c r="F16" s="536">
        <v>21.486837226548012</v>
      </c>
    </row>
    <row r="17" spans="1:6">
      <c r="A17" s="167" t="s">
        <v>944</v>
      </c>
      <c r="B17" s="205">
        <v>1631.9999999999982</v>
      </c>
      <c r="E17" s="167" t="s">
        <v>944</v>
      </c>
      <c r="F17" s="536">
        <v>9.7142857142857029</v>
      </c>
    </row>
    <row r="18" spans="1:6">
      <c r="A18" s="167" t="s">
        <v>945</v>
      </c>
      <c r="B18" s="205">
        <v>22216.516129032254</v>
      </c>
      <c r="E18" s="167" t="s">
        <v>945</v>
      </c>
      <c r="F18" s="536">
        <v>32.058464832658316</v>
      </c>
    </row>
    <row r="19" spans="1:6">
      <c r="A19" s="85" t="s">
        <v>899</v>
      </c>
      <c r="B19" s="205"/>
      <c r="E19" s="85" t="s">
        <v>899</v>
      </c>
      <c r="F19" s="205"/>
    </row>
    <row r="20" spans="1:6">
      <c r="A20" s="167" t="s">
        <v>942</v>
      </c>
      <c r="B20" s="205">
        <v>29240.806451612891</v>
      </c>
      <c r="E20" s="167" t="s">
        <v>942</v>
      </c>
      <c r="F20" s="536">
        <v>30.114115810106028</v>
      </c>
    </row>
    <row r="21" spans="1:6">
      <c r="A21" s="167" t="s">
        <v>943</v>
      </c>
      <c r="B21" s="205">
        <v>7981.6774193548345</v>
      </c>
      <c r="E21" s="167" t="s">
        <v>943</v>
      </c>
      <c r="F21" s="536">
        <v>22.804792626728123</v>
      </c>
    </row>
    <row r="22" spans="1:6">
      <c r="A22" s="167" t="s">
        <v>944</v>
      </c>
      <c r="B22" s="205">
        <v>1620.9999999999998</v>
      </c>
      <c r="E22" s="167" t="s">
        <v>944</v>
      </c>
      <c r="F22" s="536">
        <v>11.1027397260274</v>
      </c>
    </row>
    <row r="23" spans="1:6">
      <c r="A23" s="167" t="s">
        <v>945</v>
      </c>
      <c r="B23" s="205">
        <v>22344.612903225807</v>
      </c>
      <c r="E23" s="167" t="s">
        <v>945</v>
      </c>
      <c r="F23" s="536">
        <v>32.477635033758425</v>
      </c>
    </row>
    <row r="24" spans="1:6">
      <c r="A24" s="85" t="s">
        <v>1063</v>
      </c>
      <c r="B24" s="205"/>
      <c r="E24" s="85" t="s">
        <v>1063</v>
      </c>
      <c r="F24" s="205"/>
    </row>
    <row r="25" spans="1:6">
      <c r="A25" s="167" t="s">
        <v>942</v>
      </c>
      <c r="B25" s="205">
        <v>27257.16129032254</v>
      </c>
      <c r="E25" s="167" t="s">
        <v>942</v>
      </c>
      <c r="F25" s="536">
        <v>33.650816407805586</v>
      </c>
    </row>
    <row r="26" spans="1:6">
      <c r="A26" s="167" t="s">
        <v>943</v>
      </c>
      <c r="B26" s="205">
        <v>6948.2258064516209</v>
      </c>
      <c r="E26" s="167" t="s">
        <v>943</v>
      </c>
      <c r="F26" s="536">
        <v>24.904035148572092</v>
      </c>
    </row>
    <row r="27" spans="1:6">
      <c r="A27" s="85" t="s">
        <v>86</v>
      </c>
      <c r="B27" s="205">
        <v>263327.8064516125</v>
      </c>
      <c r="E27" s="85" t="s">
        <v>86</v>
      </c>
      <c r="F27" s="536">
        <v>27.654674065491704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theme="9"/>
  </sheetPr>
  <dimension ref="A1:K1"/>
  <sheetViews>
    <sheetView topLeftCell="A1048576" workbookViewId="0"/>
  </sheetViews>
  <sheetFormatPr baseColWidth="10" defaultColWidth="0" defaultRowHeight="14.5" zeroHeight="1"/>
  <cols>
    <col min="1" max="11" width="11.36328125" style="36" customWidth="1"/>
    <col min="12" max="16384" width="11.36328125" hidden="1"/>
  </cols>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rgb="FFFFC000"/>
  </sheetPr>
  <dimension ref="A1:N41"/>
  <sheetViews>
    <sheetView workbookViewId="0">
      <selection activeCell="D7" sqref="D7"/>
    </sheetView>
  </sheetViews>
  <sheetFormatPr baseColWidth="10" defaultColWidth="0" defaultRowHeight="15" customHeight="1" zeroHeight="1"/>
  <cols>
    <col min="1" max="11" width="11.36328125" style="36" customWidth="1"/>
    <col min="12" max="16384" width="11.36328125" hidden="1"/>
  </cols>
  <sheetData>
    <row r="1" spans="2:5" ht="14.5"/>
    <row r="2" spans="2:5" ht="14.5">
      <c r="B2" s="102" t="s">
        <v>0</v>
      </c>
      <c r="C2" s="742">
        <f>Site!C2</f>
        <v>0</v>
      </c>
      <c r="D2" s="742"/>
      <c r="E2" s="742"/>
    </row>
    <row r="3" spans="2:5" ht="14.5"/>
    <row r="4" spans="2:5" ht="14.5"/>
    <row r="5" spans="2:5" ht="14.5"/>
    <row r="6" spans="2:5" ht="14.5"/>
    <row r="7" spans="2:5" ht="14.5"/>
    <row r="8" spans="2:5" ht="14.5"/>
    <row r="9" spans="2:5" ht="14.5"/>
    <row r="10" spans="2:5" ht="14.5"/>
    <row r="11" spans="2:5" ht="14.5"/>
    <row r="12" spans="2:5" ht="14.5"/>
    <row r="13" spans="2:5" ht="14.5"/>
    <row r="14" spans="2:5" ht="14.5"/>
    <row r="15" spans="2:5" ht="14.5"/>
    <row r="16" spans="2:5" ht="14.5"/>
    <row r="17" spans="9:14" ht="14.5"/>
    <row r="18" spans="9:14" ht="14.5"/>
    <row r="19" spans="9:14" ht="14.5"/>
    <row r="20" spans="9:14" ht="14.5">
      <c r="I20" s="114" t="s">
        <v>97</v>
      </c>
    </row>
    <row r="21" spans="9:14" ht="14.5">
      <c r="I21" s="104"/>
    </row>
    <row r="22" spans="9:14" ht="14.5">
      <c r="I22" s="104"/>
    </row>
    <row r="23" spans="9:14" ht="14.5">
      <c r="I23" s="104"/>
    </row>
    <row r="24" spans="9:14" ht="14.5">
      <c r="I24" s="104"/>
    </row>
    <row r="25" spans="9:14" ht="14.5">
      <c r="I25" s="104"/>
    </row>
    <row r="26" spans="9:14" ht="14.5">
      <c r="I26" s="104"/>
      <c r="K26" s="113"/>
      <c r="L26" s="113"/>
      <c r="M26" s="113"/>
      <c r="N26" s="113"/>
    </row>
    <row r="27" spans="9:14" ht="14.5">
      <c r="K27" s="113"/>
      <c r="L27" s="113"/>
      <c r="M27" s="113"/>
      <c r="N27" s="113"/>
    </row>
    <row r="28" spans="9:14" ht="14.5">
      <c r="I28" s="113"/>
      <c r="J28" s="113"/>
      <c r="K28" s="113"/>
      <c r="L28" s="113"/>
      <c r="M28" s="113"/>
      <c r="N28" s="113"/>
    </row>
    <row r="29" spans="9:14" ht="14.5">
      <c r="I29" s="113"/>
      <c r="J29" s="113"/>
      <c r="K29" s="113"/>
      <c r="L29" s="113"/>
      <c r="M29" s="113"/>
      <c r="N29" s="113"/>
    </row>
    <row r="30" spans="9:14" ht="14.5">
      <c r="I30" s="113"/>
      <c r="J30" s="113"/>
      <c r="K30" s="113"/>
      <c r="L30" s="113"/>
      <c r="M30" s="113"/>
      <c r="N30" s="113"/>
    </row>
    <row r="31" spans="9:14" ht="14.5">
      <c r="I31" s="113"/>
      <c r="J31" s="113"/>
      <c r="K31" s="113"/>
      <c r="L31" s="113"/>
      <c r="M31" s="113"/>
      <c r="N31" s="113"/>
    </row>
    <row r="32" spans="9:14" ht="14.5">
      <c r="I32" s="113"/>
      <c r="J32" s="113"/>
      <c r="K32" s="113"/>
      <c r="L32" s="113"/>
      <c r="M32" s="113"/>
      <c r="N32" s="113"/>
    </row>
    <row r="33" spans="9:14" ht="14.5">
      <c r="I33" s="113"/>
      <c r="J33" s="113"/>
      <c r="K33" s="113"/>
      <c r="L33" s="113"/>
      <c r="M33" s="113"/>
      <c r="N33" s="113"/>
    </row>
    <row r="34" spans="9:14" ht="15" hidden="1" customHeight="1">
      <c r="I34" s="113"/>
      <c r="J34" s="113"/>
      <c r="K34" s="113"/>
      <c r="L34" s="113"/>
      <c r="M34" s="113"/>
      <c r="N34" s="113"/>
    </row>
    <row r="35" spans="9:14" ht="15" hidden="1" customHeight="1">
      <c r="I35" s="113"/>
      <c r="J35" s="113"/>
      <c r="K35" s="113"/>
      <c r="L35" s="113"/>
      <c r="M35" s="113"/>
      <c r="N35" s="113"/>
    </row>
    <row r="36" spans="9:14" ht="15" hidden="1" customHeight="1">
      <c r="I36" s="113"/>
      <c r="J36" s="113"/>
      <c r="K36" s="113"/>
      <c r="L36" s="113"/>
      <c r="M36" s="113"/>
      <c r="N36" s="113"/>
    </row>
    <row r="37" spans="9:14" ht="15" hidden="1" customHeight="1">
      <c r="I37" s="113"/>
      <c r="J37" s="113"/>
      <c r="K37" s="113"/>
      <c r="L37" s="113"/>
      <c r="M37" s="113"/>
      <c r="N37" s="113"/>
    </row>
    <row r="38" spans="9:14" ht="15" hidden="1" customHeight="1">
      <c r="I38" s="113"/>
      <c r="J38" s="113"/>
      <c r="K38" s="113"/>
      <c r="L38" s="113"/>
      <c r="M38" s="113"/>
      <c r="N38" s="113"/>
    </row>
    <row r="39" spans="9:14" ht="15" hidden="1" customHeight="1">
      <c r="I39" s="113"/>
      <c r="J39" s="113"/>
      <c r="K39" s="113"/>
      <c r="L39" s="113"/>
      <c r="M39" s="113"/>
      <c r="N39" s="113"/>
    </row>
    <row r="40" spans="9:14" ht="15" hidden="1" customHeight="1">
      <c r="I40" s="113"/>
      <c r="J40" s="113"/>
      <c r="K40" s="113"/>
      <c r="L40" s="113"/>
      <c r="M40" s="113"/>
      <c r="N40" s="113"/>
    </row>
    <row r="41" spans="9:14" ht="15" hidden="1" customHeight="1">
      <c r="I41" s="113"/>
      <c r="J41" s="113"/>
      <c r="K41" s="113"/>
      <c r="L41" s="113"/>
      <c r="M41" s="113"/>
      <c r="N41" s="113"/>
    </row>
  </sheetData>
  <sheetProtection pivotTables="0"/>
  <protectedRanges>
    <protectedRange sqref="C2:E2" name="Plage1"/>
  </protectedRanges>
  <mergeCells count="1">
    <mergeCell ref="C2:E2"/>
  </mergeCells>
  <pageMargins left="0.7" right="0.7" top="0.75" bottom="0.75" header="0.3" footer="0.3"/>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9"/>
  <dimension ref="A4:J45"/>
  <sheetViews>
    <sheetView workbookViewId="0">
      <selection activeCell="B23" sqref="B23"/>
    </sheetView>
  </sheetViews>
  <sheetFormatPr baseColWidth="10" defaultColWidth="11.36328125" defaultRowHeight="14.5"/>
  <cols>
    <col min="1" max="1" width="23" customWidth="1"/>
    <col min="2" max="2" width="20.36328125" customWidth="1"/>
    <col min="3" max="3" width="21.7265625" customWidth="1"/>
    <col min="4" max="5" width="23.7265625" customWidth="1"/>
    <col min="6" max="6" width="12.36328125" customWidth="1"/>
  </cols>
  <sheetData>
    <row r="4" spans="1:10">
      <c r="A4" t="s">
        <v>280</v>
      </c>
    </row>
    <row r="5" spans="1:10" ht="15" thickBot="1">
      <c r="A5" t="s">
        <v>280</v>
      </c>
    </row>
    <row r="6" spans="1:10">
      <c r="B6" s="31" t="s">
        <v>281</v>
      </c>
      <c r="C6" s="32" t="s">
        <v>20</v>
      </c>
      <c r="D6" s="33" t="s">
        <v>21</v>
      </c>
      <c r="E6" s="33" t="s">
        <v>22</v>
      </c>
      <c r="F6" s="34" t="s">
        <v>93</v>
      </c>
      <c r="G6" s="44" t="s">
        <v>155</v>
      </c>
      <c r="H6" s="44" t="s">
        <v>156</v>
      </c>
      <c r="I6" s="44" t="s">
        <v>19</v>
      </c>
      <c r="J6" s="44" t="s">
        <v>838</v>
      </c>
    </row>
    <row r="7" spans="1:10">
      <c r="B7" s="43" t="s">
        <v>282</v>
      </c>
      <c r="C7">
        <f>Site!D38</f>
        <v>0</v>
      </c>
      <c r="D7">
        <f>Site!E38</f>
        <v>0</v>
      </c>
      <c r="E7">
        <f>Site!F38</f>
        <v>0</v>
      </c>
      <c r="F7">
        <f>Site!G38</f>
        <v>0</v>
      </c>
      <c r="G7">
        <f>IFERROR(VLOOKUP(F7,Liste!$A$5:$H$24,2,FALSE),0)</f>
        <v>0</v>
      </c>
      <c r="H7">
        <f>IFERROR(VLOOKUP(F7,Liste!$A$5:$H$24,3,FALSE),0)</f>
        <v>0</v>
      </c>
      <c r="I7" s="43">
        <f>Site!C38</f>
        <v>0</v>
      </c>
      <c r="J7">
        <f>IFERROR(VLOOKUP(F7,Liste!$A$5:$H$24,7,FALSE),0)</f>
        <v>0</v>
      </c>
    </row>
    <row r="8" spans="1:10">
      <c r="B8" s="43" t="s">
        <v>283</v>
      </c>
      <c r="C8">
        <f>Site!D39</f>
        <v>0</v>
      </c>
      <c r="D8">
        <f>Site!E39</f>
        <v>0</v>
      </c>
      <c r="E8">
        <f>Site!F39</f>
        <v>0</v>
      </c>
      <c r="F8">
        <f>Site!G39</f>
        <v>0</v>
      </c>
      <c r="G8">
        <f>IFERROR(VLOOKUP(F8,Liste!$A$5:$H$24,2,FALSE),0)</f>
        <v>0</v>
      </c>
      <c r="H8">
        <f>IFERROR(VLOOKUP(F8,Liste!$A$5:$H$24,3,FALSE),0)</f>
        <v>0</v>
      </c>
      <c r="I8" s="43">
        <f>Site!C39</f>
        <v>0</v>
      </c>
      <c r="J8">
        <f>IFERROR(VLOOKUP(F8,Liste!$A$5:$H$24,7,FALSE),0)</f>
        <v>0</v>
      </c>
    </row>
    <row r="9" spans="1:10">
      <c r="B9" s="43" t="s">
        <v>284</v>
      </c>
      <c r="C9">
        <f>Site!D40</f>
        <v>0</v>
      </c>
      <c r="D9">
        <f>Site!E40</f>
        <v>0</v>
      </c>
      <c r="E9">
        <f>Site!F40</f>
        <v>0</v>
      </c>
      <c r="F9">
        <f>Site!G40</f>
        <v>0</v>
      </c>
      <c r="G9">
        <f>IFERROR(VLOOKUP(F9,Liste!$A$5:$H$24,2,FALSE),0)</f>
        <v>0</v>
      </c>
      <c r="H9">
        <f>IFERROR(VLOOKUP(F9,Liste!$A$5:$H$24,3,FALSE),0)</f>
        <v>0</v>
      </c>
      <c r="I9" s="43">
        <f>Site!C40</f>
        <v>0</v>
      </c>
      <c r="J9">
        <f>IFERROR(VLOOKUP(F9,Liste!$A$5:$H$24,7,FALSE),0)</f>
        <v>0</v>
      </c>
    </row>
    <row r="10" spans="1:10">
      <c r="B10" s="43" t="s">
        <v>285</v>
      </c>
      <c r="C10">
        <f>Site!D41</f>
        <v>0</v>
      </c>
      <c r="D10">
        <f>Site!E41</f>
        <v>0</v>
      </c>
      <c r="E10">
        <f>Site!F41</f>
        <v>0</v>
      </c>
      <c r="F10">
        <f>Site!G41</f>
        <v>0</v>
      </c>
      <c r="G10">
        <f>IFERROR(VLOOKUP(F10,Liste!$A$5:$H$24,2,FALSE),0)</f>
        <v>0</v>
      </c>
      <c r="H10">
        <f>IFERROR(VLOOKUP(F10,Liste!$A$5:$H$24,3,FALSE),0)</f>
        <v>0</v>
      </c>
      <c r="I10" s="43">
        <f>Site!C41</f>
        <v>0</v>
      </c>
      <c r="J10">
        <f>IFERROR(VLOOKUP(F10,Liste!$A$5:$H$24,7,FALSE),0)</f>
        <v>0</v>
      </c>
    </row>
    <row r="11" spans="1:10">
      <c r="B11" s="43" t="s">
        <v>286</v>
      </c>
      <c r="C11">
        <f>Site!D42</f>
        <v>0</v>
      </c>
      <c r="D11">
        <f>Site!E42</f>
        <v>0</v>
      </c>
      <c r="E11">
        <f>Site!F42</f>
        <v>0</v>
      </c>
      <c r="F11">
        <f>Site!G42</f>
        <v>0</v>
      </c>
      <c r="G11">
        <f>IFERROR(VLOOKUP(F11,Liste!$A$5:$H$24,2,FALSE),0)</f>
        <v>0</v>
      </c>
      <c r="H11">
        <f>IFERROR(VLOOKUP(F11,Liste!$A$5:$H$24,3,FALSE),0)</f>
        <v>0</v>
      </c>
      <c r="I11" s="43">
        <f>Site!C42</f>
        <v>0</v>
      </c>
      <c r="J11">
        <f>IFERROR(VLOOKUP(F11,Liste!$A$5:$H$24,7,FALSE),0)</f>
        <v>0</v>
      </c>
    </row>
    <row r="12" spans="1:10">
      <c r="B12" s="43" t="s">
        <v>287</v>
      </c>
      <c r="C12">
        <f>Site!D43</f>
        <v>0</v>
      </c>
      <c r="D12">
        <f>Site!E43</f>
        <v>0</v>
      </c>
      <c r="E12">
        <f>Site!F43</f>
        <v>0</v>
      </c>
      <c r="F12">
        <f>Site!G43</f>
        <v>0</v>
      </c>
      <c r="G12">
        <f>IFERROR(VLOOKUP(F12,Liste!$A$5:$H$24,2,FALSE),0)</f>
        <v>0</v>
      </c>
      <c r="H12">
        <f>IFERROR(VLOOKUP(F12,Liste!$A$5:$H$24,3,FALSE),0)</f>
        <v>0</v>
      </c>
      <c r="I12" s="43">
        <f>Site!C43</f>
        <v>0</v>
      </c>
      <c r="J12">
        <f>IFERROR(VLOOKUP(F12,Liste!$A$5:$H$24,7,FALSE),0)</f>
        <v>0</v>
      </c>
    </row>
    <row r="13" spans="1:10">
      <c r="B13" s="43" t="s">
        <v>288</v>
      </c>
      <c r="C13">
        <f>Site!D44</f>
        <v>0</v>
      </c>
      <c r="D13">
        <f>Site!E44</f>
        <v>0</v>
      </c>
      <c r="E13">
        <f>Site!F44</f>
        <v>0</v>
      </c>
      <c r="F13">
        <f>Site!G44</f>
        <v>0</v>
      </c>
      <c r="G13">
        <f>IFERROR(VLOOKUP(F13,Liste!$A$5:$H$24,2,FALSE),0)</f>
        <v>0</v>
      </c>
      <c r="H13">
        <f>IFERROR(VLOOKUP(F13,Liste!$A$5:$H$24,3,FALSE),0)</f>
        <v>0</v>
      </c>
      <c r="I13" s="43">
        <f>Site!C44</f>
        <v>0</v>
      </c>
      <c r="J13">
        <f>IFERROR(VLOOKUP(F13,Liste!$A$5:$H$24,7,FALSE),0)</f>
        <v>0</v>
      </c>
    </row>
    <row r="14" spans="1:10">
      <c r="B14" s="43" t="s">
        <v>289</v>
      </c>
      <c r="C14">
        <f>Site!D45</f>
        <v>0</v>
      </c>
      <c r="D14">
        <f>Site!E45</f>
        <v>0</v>
      </c>
      <c r="E14">
        <f>Site!F45</f>
        <v>0</v>
      </c>
      <c r="F14">
        <f>Site!G45</f>
        <v>0</v>
      </c>
      <c r="G14">
        <f>IFERROR(VLOOKUP(F14,Liste!$A$5:$H$24,2,FALSE),0)</f>
        <v>0</v>
      </c>
      <c r="H14">
        <f>IFERROR(VLOOKUP(F14,Liste!$A$5:$H$24,3,FALSE),0)</f>
        <v>0</v>
      </c>
      <c r="I14" s="43">
        <f>Site!C45</f>
        <v>0</v>
      </c>
      <c r="J14">
        <f>IFERROR(VLOOKUP(F14,Liste!$A$5:$H$24,7,FALSE),0)</f>
        <v>0</v>
      </c>
    </row>
    <row r="15" spans="1:10">
      <c r="A15" t="s">
        <v>290</v>
      </c>
    </row>
    <row r="16" spans="1:10">
      <c r="A16" t="s">
        <v>291</v>
      </c>
      <c r="B16">
        <v>3</v>
      </c>
    </row>
    <row r="17" spans="1:2">
      <c r="A17" t="str">
        <f>INDEX(Liste!$B$37:$H$44,1,ROW(Controle_des_données!$B17)-ROW($B$16))</f>
        <v>Type d'étblissement</v>
      </c>
      <c r="B17" t="str">
        <f>INDEX(Liste!$B$37:$H$44,Controle_des_données!$B$16+1,ROW(Controle_des_données!$B17)-ROW($B$16))</f>
        <v>EHPAD</v>
      </c>
    </row>
    <row r="18" spans="1:2">
      <c r="A18" t="str">
        <f>INDEX(Liste!$B$37:$H$44,1,ROW(Controle_des_données!$B18)-ROW($B$16))</f>
        <v>Thermique - kWh/m²</v>
      </c>
      <c r="B18" s="50">
        <f>INDEX(Liste!$B$38:$H$44,Controle_des_données!$B$16,ROW(Controle_des_données!A18)-ROW($B$16))</f>
        <v>117</v>
      </c>
    </row>
    <row r="19" spans="1:2">
      <c r="A19" t="str">
        <f>INDEX(Liste!$B$37:$H$44,1,ROW(Controle_des_données!$B19)-ROW($B$16))</f>
        <v>Electrique - kWh/m²</v>
      </c>
      <c r="B19" s="50">
        <f>INDEX(Liste!$B$38:$H$44,Controle_des_données!$B$16,ROW(Controle_des_données!A19)-ROW($B$16))</f>
        <v>50</v>
      </c>
    </row>
    <row r="20" spans="1:2">
      <c r="A20" t="str">
        <f>INDEX(Liste!$B$37:$H$44,1,ROW(Controle_des_données!$B20)-ROW($B$16))</f>
        <v>Totale - kWh/m²</v>
      </c>
      <c r="B20" s="50">
        <f>INDEX(Liste!$B$38:$H$44,Controle_des_données!$B$16,ROW(Controle_des_données!A20)-ROW($B$16))</f>
        <v>167</v>
      </c>
    </row>
    <row r="21" spans="1:2">
      <c r="A21" t="str">
        <f>INDEX(Liste!$B$37:$H$44,1,ROW(Controle_des_données!$B21)-ROW($B$16))</f>
        <v>CHAUFFAGE - (CH/DJU/m²)x1000</v>
      </c>
      <c r="B21" s="50">
        <f>INDEX(Liste!$B$38:$H$44,Controle_des_données!$B$16,ROW(Controle_des_données!A21)-ROW($B$16))</f>
        <v>0</v>
      </c>
    </row>
    <row r="22" spans="1:2">
      <c r="A22" t="str">
        <f>INDEX(Liste!$B$37:$H$44,1,ROW(Controle_des_données!$B22)-ROW($B$16))</f>
        <v>ECS - kWh/m²</v>
      </c>
      <c r="B22" s="50">
        <f>INDEX(Liste!$B$38:$H$44,Controle_des_données!$B$16,ROW(Controle_des_données!A22)-ROW($B$16))</f>
        <v>0</v>
      </c>
    </row>
    <row r="23" spans="1:2">
      <c r="A23" t="str">
        <f>INDEX(Liste!$B$37:$H$44,1,ROW(Controle_des_données!$B23)-ROW($B$16))</f>
        <v>Eau - L/j/Usager</v>
      </c>
      <c r="B23" s="198">
        <f>INDEX(Liste!$B$38:$H$44,Controle_des_données!$B$16,ROW(Controle_des_données!A23)-ROW($B$16))</f>
        <v>140</v>
      </c>
    </row>
    <row r="24" spans="1:2">
      <c r="A24" t="s">
        <v>292</v>
      </c>
      <c r="B24" s="50">
        <f>INDEX(Liste!$B$38:$H$44,Controle_des_données!$B$16,ROW(Controle_des_données!A21)-ROW($B$16))</f>
        <v>0</v>
      </c>
    </row>
    <row r="25" spans="1:2">
      <c r="A25" t="s">
        <v>293</v>
      </c>
    </row>
    <row r="26" spans="1:2">
      <c r="A26" t="s">
        <v>294</v>
      </c>
    </row>
    <row r="27" spans="1:2">
      <c r="A27" t="s">
        <v>295</v>
      </c>
      <c r="B27" s="163">
        <f>INDEX(Liste!$B$38:$K$45,Controle_des_données!$B$16,8)</f>
        <v>58</v>
      </c>
    </row>
    <row r="28" spans="1:2" s="411" customFormat="1">
      <c r="A28" s="411" t="s">
        <v>862</v>
      </c>
      <c r="B28" s="412">
        <f>INDEX(Liste!$B$38:$K$45,Controle_des_données!$B$16,9)</f>
        <v>3.7</v>
      </c>
    </row>
    <row r="29" spans="1:2" s="411" customFormat="1">
      <c r="A29" s="411" t="s">
        <v>859</v>
      </c>
      <c r="B29" s="427">
        <f>INDEX(Liste!$B$38:$K$45,Controle_des_données!$B$16,10)</f>
        <v>3.6199999999999997</v>
      </c>
    </row>
    <row r="31" spans="1:2">
      <c r="A31" t="s">
        <v>245</v>
      </c>
    </row>
    <row r="32" spans="1:2">
      <c r="A32" t="s">
        <v>135</v>
      </c>
      <c r="B32" t="str">
        <f>Site!C51</f>
        <v>H2a</v>
      </c>
    </row>
    <row r="33" spans="1:3">
      <c r="A33" t="s">
        <v>136</v>
      </c>
      <c r="B33" t="str">
        <f>INDEX(Liste!$P$3:$P$7,Controle_des_données!C33,1)</f>
        <v>Altitude &lt; 400 m</v>
      </c>
      <c r="C33">
        <v>1</v>
      </c>
    </row>
    <row r="34" spans="1:3">
      <c r="A34" t="s">
        <v>296</v>
      </c>
      <c r="B34">
        <v>2.4699999999999999E-4</v>
      </c>
    </row>
    <row r="35" spans="1:3">
      <c r="A35" t="s">
        <v>297</v>
      </c>
      <c r="B35">
        <v>5.3499999999999999E-5</v>
      </c>
    </row>
    <row r="39" spans="1:3">
      <c r="A39" s="30" t="s">
        <v>53</v>
      </c>
    </row>
    <row r="40" spans="1:3">
      <c r="A40">
        <f>INDEX(Liste!Q15:Q17,Controle_des_données!B40,1)</f>
        <v>0</v>
      </c>
      <c r="B40">
        <v>1</v>
      </c>
    </row>
    <row r="41" spans="1:3">
      <c r="A41" s="30" t="s">
        <v>298</v>
      </c>
    </row>
    <row r="42" spans="1:3">
      <c r="A42" t="str">
        <f>INDEX(Liste!R15:R19,Controle_des_données!B42,1)</f>
        <v>Continu</v>
      </c>
      <c r="B42">
        <v>2</v>
      </c>
    </row>
    <row r="43" spans="1:3">
      <c r="A43" t="s">
        <v>299</v>
      </c>
      <c r="B43">
        <f>INDEX(Liste!S15:S18,Controle_des_données!C43,1)</f>
        <v>0</v>
      </c>
      <c r="C43">
        <v>1</v>
      </c>
    </row>
    <row r="44" spans="1:3">
      <c r="A44" t="s">
        <v>300</v>
      </c>
      <c r="B44">
        <f>INDEX(Liste!S15:S18,Controle_des_données!C44,1)</f>
        <v>0</v>
      </c>
      <c r="C44">
        <v>1</v>
      </c>
    </row>
    <row r="45" spans="1:3">
      <c r="A45" t="s">
        <v>301</v>
      </c>
      <c r="B45">
        <f>Site!H73</f>
        <v>70</v>
      </c>
    </row>
  </sheetData>
  <pageMargins left="0.7" right="0.7" top="0.75" bottom="0.75" header="0.3" footer="0.3"/>
  <pageSetup paperSize="9"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0093"/>
  </sheetPr>
  <dimension ref="A1:K45"/>
  <sheetViews>
    <sheetView workbookViewId="0">
      <selection activeCell="E27" sqref="E27"/>
    </sheetView>
  </sheetViews>
  <sheetFormatPr baseColWidth="10" defaultColWidth="0" defaultRowHeight="15" customHeight="1" zeroHeight="1"/>
  <cols>
    <col min="1" max="2" width="11.36328125" style="542" customWidth="1"/>
    <col min="3" max="3" width="21.81640625" style="542" customWidth="1"/>
    <col min="4" max="11" width="11.36328125" style="542" customWidth="1"/>
    <col min="12" max="16384" width="11.36328125" style="542" hidden="1"/>
  </cols>
  <sheetData>
    <row r="1" spans="1:11" ht="14.5">
      <c r="A1" s="36"/>
      <c r="B1" s="36"/>
      <c r="C1" s="36"/>
      <c r="D1" s="36"/>
      <c r="E1" s="36"/>
      <c r="F1" s="36"/>
      <c r="G1" s="36"/>
      <c r="H1" s="36"/>
      <c r="I1" s="36"/>
      <c r="J1" s="36"/>
      <c r="K1" s="36"/>
    </row>
    <row r="2" spans="1:11" ht="14.5">
      <c r="A2" s="36"/>
      <c r="B2" s="36"/>
      <c r="C2" s="36"/>
      <c r="D2" s="36"/>
      <c r="E2" s="36"/>
      <c r="F2" s="36"/>
      <c r="G2" s="36"/>
      <c r="H2" s="36"/>
      <c r="I2" s="36"/>
      <c r="J2" s="36"/>
      <c r="K2" s="36"/>
    </row>
    <row r="3" spans="1:11" ht="14.5">
      <c r="A3" s="36"/>
      <c r="B3" s="36"/>
      <c r="C3" s="36"/>
      <c r="D3" s="36"/>
      <c r="E3" s="36"/>
      <c r="F3" s="36"/>
      <c r="G3" s="36"/>
      <c r="H3" s="36"/>
      <c r="I3" s="36"/>
      <c r="J3" s="36"/>
      <c r="K3" s="36"/>
    </row>
    <row r="4" spans="1:11" ht="14.5">
      <c r="A4" s="36"/>
      <c r="B4" s="36"/>
      <c r="C4" s="36"/>
      <c r="D4" s="36"/>
      <c r="E4" s="36"/>
      <c r="F4" s="36"/>
      <c r="G4" s="36"/>
      <c r="H4" s="36"/>
      <c r="I4" s="36"/>
      <c r="J4" s="36"/>
      <c r="K4" s="36"/>
    </row>
    <row r="5" spans="1:11" ht="14.5">
      <c r="A5" s="36"/>
      <c r="B5" s="36"/>
      <c r="C5" s="36"/>
      <c r="D5" s="36"/>
      <c r="E5" s="36"/>
      <c r="F5" s="36"/>
      <c r="G5" s="36"/>
      <c r="H5" s="36"/>
      <c r="I5" s="36"/>
      <c r="J5" s="36"/>
      <c r="K5" s="36"/>
    </row>
    <row r="6" spans="1:11" ht="18.5">
      <c r="A6" s="72" t="s">
        <v>949</v>
      </c>
      <c r="B6" s="36"/>
      <c r="C6" s="36"/>
      <c r="D6" s="36"/>
      <c r="E6" s="36"/>
      <c r="F6" s="36"/>
      <c r="G6" s="36"/>
      <c r="H6" s="36"/>
      <c r="I6" s="36"/>
      <c r="J6" s="36"/>
      <c r="K6" s="36"/>
    </row>
    <row r="7" spans="1:11" ht="14.5">
      <c r="A7" s="36"/>
      <c r="B7" s="36"/>
      <c r="C7" s="36"/>
      <c r="D7" s="36"/>
      <c r="E7" s="36"/>
      <c r="F7" s="36"/>
      <c r="G7" s="36"/>
      <c r="H7" s="36"/>
      <c r="I7" s="36"/>
      <c r="J7" s="36"/>
      <c r="K7" s="36"/>
    </row>
    <row r="8" spans="1:11" ht="14.5">
      <c r="A8" s="36"/>
      <c r="B8" s="36"/>
      <c r="C8" s="52" t="s">
        <v>950</v>
      </c>
      <c r="D8" s="36"/>
      <c r="E8" s="547"/>
      <c r="F8" s="36"/>
      <c r="G8" s="36"/>
      <c r="H8" s="36"/>
      <c r="I8" s="548" t="s">
        <v>951</v>
      </c>
      <c r="J8" s="36"/>
      <c r="K8" s="36"/>
    </row>
    <row r="9" spans="1:11" ht="14.5">
      <c r="A9" s="36"/>
      <c r="B9" s="36"/>
      <c r="C9" s="36"/>
      <c r="D9" s="36"/>
      <c r="E9" s="36"/>
      <c r="F9" s="36"/>
      <c r="G9" s="36"/>
      <c r="H9" s="746"/>
      <c r="I9" s="747"/>
      <c r="J9" s="748"/>
      <c r="K9" s="36"/>
    </row>
    <row r="10" spans="1:11" ht="14.5">
      <c r="A10" s="36"/>
      <c r="B10" s="36"/>
      <c r="C10" s="52" t="s">
        <v>952</v>
      </c>
      <c r="D10" s="36"/>
      <c r="E10" s="547"/>
      <c r="F10" s="36"/>
      <c r="G10" s="36"/>
      <c r="H10" s="749"/>
      <c r="I10" s="750"/>
      <c r="J10" s="751"/>
      <c r="K10" s="36"/>
    </row>
    <row r="11" spans="1:11" ht="14.5">
      <c r="A11" s="36"/>
      <c r="B11" s="36"/>
      <c r="C11" s="36"/>
      <c r="D11" s="36"/>
      <c r="E11" s="36"/>
      <c r="F11" s="36"/>
      <c r="G11" s="36"/>
      <c r="H11" s="749"/>
      <c r="I11" s="750"/>
      <c r="J11" s="751"/>
      <c r="K11" s="36"/>
    </row>
    <row r="12" spans="1:11" ht="14.5">
      <c r="A12" s="36"/>
      <c r="B12" s="36"/>
      <c r="C12" s="52" t="s">
        <v>953</v>
      </c>
      <c r="D12" s="36"/>
      <c r="E12" s="547"/>
      <c r="F12" s="36"/>
      <c r="G12" s="36"/>
      <c r="H12" s="749"/>
      <c r="I12" s="750"/>
      <c r="J12" s="751"/>
      <c r="K12" s="36"/>
    </row>
    <row r="13" spans="1:11" ht="14.5">
      <c r="A13" s="36"/>
      <c r="B13" s="36"/>
      <c r="C13" s="549" t="s">
        <v>954</v>
      </c>
      <c r="D13" s="36"/>
      <c r="E13" s="36"/>
      <c r="F13" s="36"/>
      <c r="G13" s="36"/>
      <c r="H13" s="749"/>
      <c r="I13" s="750"/>
      <c r="J13" s="751"/>
      <c r="K13" s="36"/>
    </row>
    <row r="14" spans="1:11" s="658" customFormat="1" ht="14.5">
      <c r="A14" s="36"/>
      <c r="B14" s="36"/>
      <c r="C14" s="549"/>
      <c r="D14" s="36"/>
      <c r="E14" s="36"/>
      <c r="F14" s="36"/>
      <c r="G14" s="36"/>
      <c r="H14" s="749"/>
      <c r="I14" s="750"/>
      <c r="J14" s="751"/>
      <c r="K14" s="36"/>
    </row>
    <row r="15" spans="1:11" s="658" customFormat="1" ht="14.5">
      <c r="A15" s="36"/>
      <c r="B15" s="36"/>
      <c r="C15" s="549"/>
      <c r="D15" s="36"/>
      <c r="E15" s="36"/>
      <c r="F15" s="36"/>
      <c r="G15" s="36"/>
      <c r="H15" s="749"/>
      <c r="I15" s="750"/>
      <c r="J15" s="751"/>
      <c r="K15" s="36"/>
    </row>
    <row r="16" spans="1:11" s="658" customFormat="1" ht="14.5">
      <c r="A16" s="36"/>
      <c r="B16" s="36"/>
      <c r="C16" s="52" t="s">
        <v>1064</v>
      </c>
      <c r="E16" s="547"/>
      <c r="F16" s="36"/>
      <c r="G16" s="36"/>
      <c r="H16" s="749"/>
      <c r="I16" s="750"/>
      <c r="J16" s="751"/>
      <c r="K16" s="36"/>
    </row>
    <row r="17" spans="1:11" s="658" customFormat="1" ht="14.5">
      <c r="A17" s="36"/>
      <c r="B17" s="36"/>
      <c r="C17" s="52"/>
      <c r="D17" s="36"/>
      <c r="E17" s="36"/>
      <c r="F17" s="36"/>
      <c r="G17" s="36"/>
      <c r="H17" s="749"/>
      <c r="I17" s="750"/>
      <c r="J17" s="751"/>
      <c r="K17" s="36"/>
    </row>
    <row r="18" spans="1:11" s="658" customFormat="1" ht="14.5">
      <c r="A18" s="36"/>
      <c r="B18" s="36"/>
      <c r="C18" s="672" t="s">
        <v>1065</v>
      </c>
      <c r="D18" s="36"/>
      <c r="E18" s="547"/>
      <c r="F18" s="36"/>
      <c r="G18" s="36"/>
      <c r="H18" s="749"/>
      <c r="I18" s="750"/>
      <c r="J18" s="751"/>
      <c r="K18" s="36"/>
    </row>
    <row r="19" spans="1:11" s="658" customFormat="1" ht="14.5">
      <c r="A19" s="36"/>
      <c r="B19" s="36"/>
      <c r="C19" s="52"/>
      <c r="D19" s="36"/>
      <c r="E19" s="36"/>
      <c r="F19" s="36"/>
      <c r="G19" s="36"/>
      <c r="H19" s="749"/>
      <c r="I19" s="750"/>
      <c r="J19" s="751"/>
      <c r="K19" s="36"/>
    </row>
    <row r="20" spans="1:11" s="658" customFormat="1" ht="14.5">
      <c r="A20" s="36"/>
      <c r="B20" s="36"/>
      <c r="C20" s="52" t="s">
        <v>1066</v>
      </c>
      <c r="D20" s="36"/>
      <c r="E20" s="547"/>
      <c r="F20" s="36"/>
      <c r="G20" s="36"/>
      <c r="H20" s="749"/>
      <c r="I20" s="750"/>
      <c r="J20" s="751"/>
      <c r="K20" s="36"/>
    </row>
    <row r="21" spans="1:11" s="658" customFormat="1" ht="14.5">
      <c r="A21" s="36"/>
      <c r="B21" s="36"/>
      <c r="D21" s="36"/>
      <c r="E21" s="36"/>
      <c r="F21" s="36"/>
      <c r="G21" s="36"/>
      <c r="H21" s="749"/>
      <c r="I21" s="750"/>
      <c r="J21" s="751"/>
      <c r="K21" s="36"/>
    </row>
    <row r="22" spans="1:11" ht="14.5">
      <c r="A22" s="36"/>
      <c r="B22" s="36"/>
      <c r="C22" s="36"/>
      <c r="D22" s="36"/>
      <c r="E22" s="36"/>
      <c r="F22" s="36"/>
      <c r="G22" s="36"/>
      <c r="H22" s="749"/>
      <c r="I22" s="750"/>
      <c r="J22" s="751"/>
      <c r="K22" s="36"/>
    </row>
    <row r="23" spans="1:11" ht="14.5">
      <c r="A23" s="36"/>
      <c r="B23" s="36"/>
      <c r="C23" s="36"/>
      <c r="D23" s="36"/>
      <c r="E23" s="36"/>
      <c r="F23" s="36"/>
      <c r="G23" s="36"/>
      <c r="H23" s="749"/>
      <c r="I23" s="750"/>
      <c r="J23" s="751"/>
      <c r="K23" s="36"/>
    </row>
    <row r="24" spans="1:11" ht="14.5">
      <c r="A24" s="36"/>
      <c r="B24" s="36"/>
      <c r="C24" s="36"/>
      <c r="D24" s="36"/>
      <c r="E24" s="36"/>
      <c r="F24" s="36"/>
      <c r="G24" s="36"/>
      <c r="H24" s="749"/>
      <c r="I24" s="750"/>
      <c r="J24" s="751"/>
      <c r="K24" s="36"/>
    </row>
    <row r="25" spans="1:11" ht="18.5">
      <c r="A25" s="72" t="s">
        <v>955</v>
      </c>
      <c r="B25" s="36"/>
      <c r="C25" s="550"/>
      <c r="D25" s="550"/>
      <c r="E25" s="550"/>
      <c r="F25" s="551"/>
      <c r="G25" s="551"/>
      <c r="H25" s="749"/>
      <c r="I25" s="750"/>
      <c r="J25" s="751"/>
      <c r="K25" s="36"/>
    </row>
    <row r="26" spans="1:11" ht="14.5">
      <c r="A26" s="36"/>
      <c r="B26" s="36"/>
      <c r="C26" s="36"/>
      <c r="D26" s="36"/>
      <c r="E26" s="36"/>
      <c r="F26" s="36"/>
      <c r="G26" s="36"/>
      <c r="H26" s="749"/>
      <c r="I26" s="750"/>
      <c r="J26" s="751"/>
      <c r="K26" s="36"/>
    </row>
    <row r="27" spans="1:11" ht="14.5">
      <c r="A27" s="36"/>
      <c r="B27" s="550"/>
      <c r="C27" s="52" t="s">
        <v>956</v>
      </c>
      <c r="D27" s="36"/>
      <c r="E27" s="547"/>
      <c r="F27" s="36"/>
      <c r="G27" s="36"/>
      <c r="H27" s="749"/>
      <c r="I27" s="750"/>
      <c r="J27" s="751"/>
      <c r="K27" s="36"/>
    </row>
    <row r="28" spans="1:11" ht="14.5">
      <c r="A28" s="36"/>
      <c r="B28" s="550"/>
      <c r="C28" s="52"/>
      <c r="D28" s="36"/>
      <c r="E28" s="36"/>
      <c r="F28" s="36"/>
      <c r="G28" s="36"/>
      <c r="H28" s="749"/>
      <c r="I28" s="750"/>
      <c r="J28" s="751"/>
      <c r="K28" s="36"/>
    </row>
    <row r="29" spans="1:11" ht="14.5">
      <c r="A29" s="36"/>
      <c r="B29" s="550"/>
      <c r="C29" s="52" t="s">
        <v>957</v>
      </c>
      <c r="D29" s="36"/>
      <c r="E29" s="547"/>
      <c r="F29" s="36"/>
      <c r="G29" s="36"/>
      <c r="H29" s="752"/>
      <c r="I29" s="753"/>
      <c r="J29" s="754"/>
      <c r="K29" s="36"/>
    </row>
    <row r="30" spans="1:11" ht="14.5">
      <c r="A30" s="36"/>
      <c r="B30" s="551"/>
      <c r="C30" s="52"/>
      <c r="D30" s="36"/>
      <c r="E30" s="36"/>
      <c r="F30" s="36"/>
      <c r="G30" s="36"/>
      <c r="H30" s="36"/>
      <c r="I30" s="36"/>
      <c r="J30" s="36"/>
      <c r="K30" s="36"/>
    </row>
    <row r="31" spans="1:11" ht="14.5">
      <c r="A31" s="36"/>
      <c r="B31" s="551"/>
      <c r="C31" s="52" t="s">
        <v>958</v>
      </c>
      <c r="D31" s="36"/>
      <c r="E31" s="547"/>
      <c r="F31" s="36" t="s">
        <v>959</v>
      </c>
      <c r="G31" s="36"/>
      <c r="H31" s="36"/>
      <c r="I31" s="36"/>
      <c r="J31" s="36"/>
      <c r="K31" s="36"/>
    </row>
    <row r="32" spans="1:11" ht="14.5">
      <c r="A32" s="36"/>
      <c r="B32" s="36"/>
      <c r="C32" s="36"/>
      <c r="D32" s="36"/>
      <c r="E32" s="36"/>
      <c r="F32" s="36"/>
      <c r="G32" s="36"/>
      <c r="H32" s="36"/>
      <c r="I32" s="36"/>
      <c r="J32" s="36"/>
      <c r="K32" s="36"/>
    </row>
    <row r="33" spans="1:11" ht="14.5">
      <c r="A33" s="36"/>
      <c r="B33" s="36"/>
      <c r="C33" s="52" t="s">
        <v>960</v>
      </c>
      <c r="D33" s="36"/>
      <c r="E33" s="547"/>
      <c r="F33" s="36" t="s">
        <v>961</v>
      </c>
      <c r="G33" s="36"/>
      <c r="H33" s="36"/>
      <c r="I33" s="36"/>
      <c r="J33" s="36"/>
      <c r="K33" s="36"/>
    </row>
    <row r="34" spans="1:11" ht="14.5">
      <c r="A34" s="36"/>
      <c r="B34" s="36"/>
      <c r="C34" s="52"/>
      <c r="D34" s="36"/>
      <c r="E34" s="36"/>
      <c r="F34" s="36"/>
      <c r="G34" s="36"/>
      <c r="H34" s="36"/>
      <c r="I34" s="36"/>
      <c r="J34" s="36"/>
      <c r="K34" s="36"/>
    </row>
    <row r="35" spans="1:11" ht="14.5">
      <c r="A35" s="36"/>
      <c r="B35" s="36"/>
      <c r="C35" s="52" t="s">
        <v>962</v>
      </c>
      <c r="D35" s="36"/>
      <c r="E35" s="547"/>
      <c r="F35" s="36" t="s">
        <v>961</v>
      </c>
      <c r="G35" s="36"/>
      <c r="H35" s="36"/>
      <c r="I35" s="36"/>
      <c r="J35" s="36"/>
      <c r="K35" s="36"/>
    </row>
    <row r="36" spans="1:11" ht="14.5">
      <c r="A36" s="36"/>
      <c r="B36" s="36"/>
      <c r="C36" s="36"/>
      <c r="D36" s="36"/>
      <c r="E36" s="36"/>
      <c r="F36" s="36"/>
      <c r="G36" s="36"/>
      <c r="H36" s="36"/>
      <c r="I36" s="36"/>
      <c r="J36" s="36"/>
      <c r="K36" s="36"/>
    </row>
    <row r="37" spans="1:11" ht="18.5">
      <c r="A37" s="72" t="s">
        <v>963</v>
      </c>
      <c r="B37" s="36"/>
      <c r="C37" s="36"/>
      <c r="D37" s="36"/>
      <c r="E37" s="36"/>
      <c r="F37" s="36"/>
      <c r="G37" s="36"/>
      <c r="H37" s="36"/>
      <c r="I37" s="36"/>
      <c r="J37" s="36"/>
      <c r="K37" s="36"/>
    </row>
    <row r="38" spans="1:11" ht="14.5">
      <c r="A38" s="36"/>
      <c r="B38" s="36"/>
      <c r="C38" s="36"/>
      <c r="D38" s="36"/>
      <c r="E38" s="36"/>
      <c r="F38" s="36"/>
      <c r="G38" s="36"/>
      <c r="H38" s="36"/>
      <c r="I38" s="36"/>
      <c r="J38" s="36"/>
      <c r="K38" s="36"/>
    </row>
    <row r="39" spans="1:11" ht="14.5">
      <c r="A39" s="36"/>
      <c r="B39" s="36"/>
      <c r="C39" s="36" t="s">
        <v>964</v>
      </c>
      <c r="D39" s="547">
        <v>2023</v>
      </c>
      <c r="E39" s="547">
        <v>2024</v>
      </c>
      <c r="F39" s="547">
        <v>2025</v>
      </c>
      <c r="G39" s="547">
        <v>2026</v>
      </c>
      <c r="H39" s="36"/>
      <c r="I39" s="36"/>
      <c r="J39" s="36"/>
      <c r="K39" s="36"/>
    </row>
    <row r="40" spans="1:11" ht="14.5">
      <c r="A40" s="36"/>
      <c r="B40" s="36"/>
      <c r="C40" s="552" t="s">
        <v>965</v>
      </c>
      <c r="D40" s="553"/>
      <c r="E40" s="553"/>
      <c r="F40" s="553"/>
      <c r="G40" s="553"/>
      <c r="H40" s="36"/>
      <c r="I40" s="36"/>
      <c r="J40" s="36"/>
      <c r="K40" s="36"/>
    </row>
    <row r="41" spans="1:11" ht="14.5">
      <c r="A41" s="36"/>
      <c r="B41" s="36"/>
      <c r="C41" s="547" t="s">
        <v>966</v>
      </c>
      <c r="D41" s="547"/>
      <c r="E41" s="547"/>
      <c r="F41" s="547"/>
      <c r="G41" s="547"/>
      <c r="H41" s="36"/>
      <c r="I41" s="36"/>
      <c r="J41" s="36"/>
      <c r="K41" s="36"/>
    </row>
    <row r="42" spans="1:11" ht="14.5">
      <c r="A42" s="36"/>
      <c r="B42" s="36"/>
      <c r="C42" s="547" t="s">
        <v>967</v>
      </c>
      <c r="D42" s="547"/>
      <c r="E42" s="547"/>
      <c r="F42" s="547"/>
      <c r="G42" s="547"/>
      <c r="H42" s="36"/>
      <c r="I42" s="36"/>
      <c r="J42" s="36"/>
      <c r="K42" s="36"/>
    </row>
    <row r="43" spans="1:11" ht="14.5">
      <c r="A43" s="36"/>
      <c r="B43" s="36"/>
      <c r="C43" s="552" t="s">
        <v>968</v>
      </c>
      <c r="D43" s="547"/>
      <c r="E43" s="547"/>
      <c r="F43" s="547"/>
      <c r="G43" s="547"/>
      <c r="H43" s="36"/>
      <c r="I43" s="36"/>
      <c r="J43" s="36"/>
      <c r="K43" s="36"/>
    </row>
    <row r="44" spans="1:11" ht="14.5">
      <c r="A44" s="36"/>
      <c r="B44" s="36"/>
      <c r="C44" s="547" t="s">
        <v>969</v>
      </c>
      <c r="D44" s="547"/>
      <c r="E44" s="547"/>
      <c r="F44" s="547"/>
      <c r="G44" s="547"/>
      <c r="H44" s="36"/>
      <c r="I44" s="36"/>
      <c r="J44" s="36"/>
      <c r="K44" s="36"/>
    </row>
    <row r="45" spans="1:11" ht="14.5">
      <c r="A45" s="36"/>
      <c r="B45" s="36"/>
      <c r="C45" s="36"/>
      <c r="D45" s="36"/>
      <c r="E45" s="36"/>
      <c r="F45" s="36"/>
      <c r="G45" s="36"/>
      <c r="H45" s="36"/>
      <c r="I45" s="36"/>
      <c r="J45" s="36"/>
      <c r="K45" s="36"/>
    </row>
  </sheetData>
  <mergeCells count="1">
    <mergeCell ref="H9:J29"/>
  </mergeCells>
  <dataValidations count="3">
    <dataValidation type="list" allowBlank="1" showInputMessage="1" showErrorMessage="1" sqref="E12">
      <formula1>"0,1,2,3,4,5"</formula1>
    </dataValidation>
    <dataValidation type="list" allowBlank="1" showInputMessage="1" showErrorMessage="1" sqref="E8 E10 E27 E29">
      <formula1>"Oui,Non"</formula1>
    </dataValidation>
    <dataValidation type="list" allowBlank="1" showInputMessage="1" showErrorMessage="1" sqref="E16 E18 E20">
      <formula1>"Biomasse,Gaz,Electricité,Fioul,RCU"</formula1>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G35"/>
  <sheetViews>
    <sheetView workbookViewId="0">
      <selection activeCell="U6" sqref="U6"/>
    </sheetView>
  </sheetViews>
  <sheetFormatPr baseColWidth="10" defaultRowHeight="14.5"/>
  <cols>
    <col min="2" max="2" width="22.6328125" bestFit="1" customWidth="1"/>
    <col min="3" max="3" width="25.6328125" bestFit="1" customWidth="1"/>
    <col min="4" max="4" width="19.7265625" bestFit="1" customWidth="1"/>
    <col min="5" max="5" width="25.6328125" bestFit="1" customWidth="1"/>
    <col min="6" max="6" width="19.7265625" bestFit="1" customWidth="1"/>
    <col min="7" max="7" width="25.6328125" bestFit="1" customWidth="1"/>
    <col min="8" max="8" width="19.7265625" bestFit="1" customWidth="1"/>
    <col min="9" max="9" width="25.6328125" bestFit="1" customWidth="1"/>
    <col min="10" max="10" width="19.7265625" bestFit="1" customWidth="1"/>
    <col min="11" max="11" width="25.6328125" bestFit="1" customWidth="1"/>
    <col min="12" max="12" width="19.7265625" bestFit="1" customWidth="1"/>
    <col min="13" max="13" width="25.6328125" bestFit="1" customWidth="1"/>
    <col min="14" max="14" width="19.7265625" bestFit="1" customWidth="1"/>
    <col min="15" max="15" width="25.6328125" bestFit="1" customWidth="1"/>
    <col min="16" max="16" width="19.7265625" bestFit="1" customWidth="1"/>
    <col min="17" max="17" width="25.6328125" bestFit="1" customWidth="1"/>
    <col min="18" max="18" width="19.7265625" bestFit="1" customWidth="1"/>
    <col min="19" max="19" width="25.6328125" bestFit="1" customWidth="1"/>
    <col min="20" max="20" width="19.7265625" bestFit="1" customWidth="1"/>
    <col min="21" max="21" width="25.6328125" bestFit="1" customWidth="1"/>
    <col min="22" max="22" width="19.7265625" bestFit="1" customWidth="1"/>
    <col min="23" max="23" width="25.6328125" bestFit="1" customWidth="1"/>
    <col min="24" max="24" width="19.7265625" bestFit="1" customWidth="1"/>
    <col min="25" max="25" width="25.6328125" bestFit="1" customWidth="1"/>
    <col min="26" max="26" width="19.7265625" bestFit="1" customWidth="1"/>
    <col min="27" max="27" width="25.6328125" bestFit="1" customWidth="1"/>
    <col min="28" max="28" width="19.7265625" bestFit="1" customWidth="1"/>
    <col min="29" max="29" width="25.6328125" bestFit="1" customWidth="1"/>
    <col min="30" max="30" width="19.7265625" bestFit="1" customWidth="1"/>
    <col min="31" max="31" width="25.6328125" bestFit="1" customWidth="1"/>
    <col min="32" max="32" width="19.7265625" bestFit="1" customWidth="1"/>
    <col min="33" max="33" width="25.6328125" bestFit="1" customWidth="1"/>
    <col min="34" max="34" width="19.7265625" bestFit="1" customWidth="1"/>
    <col min="35" max="35" width="25.6328125" bestFit="1" customWidth="1"/>
    <col min="36" max="36" width="19.7265625" bestFit="1" customWidth="1"/>
    <col min="37" max="37" width="30.6328125" bestFit="1" customWidth="1"/>
    <col min="38" max="38" width="24.7265625" bestFit="1" customWidth="1"/>
    <col min="87" max="87" width="21" bestFit="1" customWidth="1"/>
    <col min="88" max="88" width="24.26953125" bestFit="1" customWidth="1"/>
    <col min="89" max="89" width="19.7265625" bestFit="1" customWidth="1"/>
    <col min="90" max="90" width="24.26953125" bestFit="1" customWidth="1"/>
    <col min="91" max="91" width="19.7265625" bestFit="1" customWidth="1"/>
    <col min="92" max="92" width="24.26953125" bestFit="1" customWidth="1"/>
    <col min="93" max="93" width="19.7265625" bestFit="1" customWidth="1"/>
    <col min="94" max="94" width="24.26953125" bestFit="1" customWidth="1"/>
    <col min="95" max="95" width="19.7265625" bestFit="1" customWidth="1"/>
    <col min="96" max="96" width="24.26953125" bestFit="1" customWidth="1"/>
    <col min="97" max="97" width="19.7265625" bestFit="1" customWidth="1"/>
    <col min="98" max="98" width="24.26953125" bestFit="1" customWidth="1"/>
    <col min="99" max="99" width="19.7265625" bestFit="1" customWidth="1"/>
    <col min="100" max="100" width="24.26953125" bestFit="1" customWidth="1"/>
    <col min="101" max="101" width="19.7265625" bestFit="1" customWidth="1"/>
    <col min="102" max="102" width="24.26953125" bestFit="1" customWidth="1"/>
    <col min="103" max="103" width="19.7265625" bestFit="1" customWidth="1"/>
    <col min="104" max="104" width="29.26953125" bestFit="1" customWidth="1"/>
    <col min="105" max="105" width="24.7265625" bestFit="1" customWidth="1"/>
    <col min="106" max="106" width="24.26953125" bestFit="1" customWidth="1"/>
    <col min="107" max="107" width="19.7265625" bestFit="1" customWidth="1"/>
    <col min="108" max="108" width="24.26953125" bestFit="1" customWidth="1"/>
    <col min="109" max="109" width="19.7265625" bestFit="1" customWidth="1"/>
    <col min="110" max="110" width="24.26953125" bestFit="1" customWidth="1"/>
    <col min="111" max="111" width="19.7265625" bestFit="1" customWidth="1"/>
    <col min="112" max="112" width="24.26953125" bestFit="1" customWidth="1"/>
    <col min="113" max="113" width="19.7265625" bestFit="1" customWidth="1"/>
    <col min="114" max="114" width="24.26953125" bestFit="1" customWidth="1"/>
    <col min="115" max="115" width="19.7265625" bestFit="1" customWidth="1"/>
    <col min="116" max="116" width="29.26953125" bestFit="1" customWidth="1"/>
    <col min="117" max="117" width="24.7265625" bestFit="1" customWidth="1"/>
    <col min="118" max="118" width="29.26953125" bestFit="1" customWidth="1"/>
    <col min="119" max="119" width="24.7265625" bestFit="1" customWidth="1"/>
  </cols>
  <sheetData>
    <row r="1" spans="1:345" s="542" customFormat="1" ht="15" thickBot="1">
      <c r="G1" s="239"/>
      <c r="GZ1" s="802" t="s">
        <v>970</v>
      </c>
      <c r="HA1" s="803"/>
      <c r="HB1" s="803"/>
      <c r="HC1" s="803"/>
      <c r="HD1" s="803"/>
      <c r="HE1" s="806">
        <v>0.8</v>
      </c>
      <c r="HF1" s="808" t="s">
        <v>971</v>
      </c>
      <c r="HG1" s="809"/>
      <c r="HH1" s="809"/>
      <c r="HI1" s="809"/>
      <c r="HJ1" s="809"/>
      <c r="HK1" s="554">
        <v>0.25</v>
      </c>
      <c r="HL1" s="812" t="s">
        <v>971</v>
      </c>
      <c r="HM1" s="813"/>
      <c r="HN1" s="813"/>
      <c r="HO1" s="813"/>
      <c r="HP1" s="555">
        <v>0.25</v>
      </c>
      <c r="HQ1" s="787" t="s">
        <v>972</v>
      </c>
      <c r="HR1" s="788"/>
      <c r="HS1" s="788"/>
      <c r="HT1" s="788"/>
      <c r="HU1" s="788"/>
      <c r="HV1" s="789"/>
      <c r="II1" s="791" t="s">
        <v>973</v>
      </c>
      <c r="IJ1" s="792"/>
      <c r="IK1" s="792"/>
      <c r="IL1" s="792"/>
      <c r="IM1" s="793"/>
      <c r="IN1" s="556">
        <v>40</v>
      </c>
      <c r="JG1" s="797" t="s">
        <v>974</v>
      </c>
      <c r="JH1" s="797"/>
      <c r="JI1" s="797"/>
      <c r="JJ1" s="798">
        <v>0.5</v>
      </c>
    </row>
    <row r="2" spans="1:345" s="542" customFormat="1" ht="15" thickBot="1">
      <c r="G2" s="239"/>
      <c r="GZ2" s="804"/>
      <c r="HA2" s="805"/>
      <c r="HB2" s="805"/>
      <c r="HC2" s="805"/>
      <c r="HD2" s="805"/>
      <c r="HE2" s="807"/>
      <c r="HF2" s="810"/>
      <c r="HG2" s="811"/>
      <c r="HH2" s="811"/>
      <c r="HI2" s="811"/>
      <c r="HJ2" s="811"/>
      <c r="HK2" s="557">
        <v>0.5</v>
      </c>
      <c r="HL2" s="814"/>
      <c r="HM2" s="815"/>
      <c r="HN2" s="815"/>
      <c r="HO2" s="815"/>
      <c r="HP2" s="555">
        <v>0.5</v>
      </c>
      <c r="HQ2" s="558">
        <f ca="1">COUNTIF(INDIRECT("AW5"&amp;":AW"&amp;(COUNTA($C:$C)+3)),"")</f>
        <v>3</v>
      </c>
      <c r="HR2" s="559">
        <f ca="1">COUNTIF(INDIRECT("AX5"&amp;":AX"&amp;(COUNTA($C:$C)+3)),"")</f>
        <v>3</v>
      </c>
      <c r="HS2" s="559">
        <f ca="1">COUNTIF(INDIRECT("AY5"&amp;":AY"&amp;(COUNTA($C:$C)+3)),"")</f>
        <v>3</v>
      </c>
      <c r="HT2" s="559">
        <f ca="1">COUNTIF(INDIRECT("AZ5"&amp;":AZ"&amp;(COUNTA($C:$C)+3)),"")</f>
        <v>3</v>
      </c>
      <c r="HU2" s="559">
        <f ca="1">COUNTIF(INDIRECT("BA5"&amp;":BA"&amp;(COUNTA($C:$C)+3)),"")</f>
        <v>3</v>
      </c>
      <c r="HV2" s="560">
        <f ca="1">COUNTIF(INDIRECT("BB5"&amp;":BB"&amp;(COUNTA($C:$C)+3)),"")</f>
        <v>3</v>
      </c>
      <c r="II2" s="794"/>
      <c r="IJ2" s="795"/>
      <c r="IK2" s="795"/>
      <c r="IL2" s="795"/>
      <c r="IM2" s="796"/>
      <c r="IN2" s="556">
        <v>800</v>
      </c>
      <c r="JG2" s="797"/>
      <c r="JH2" s="797"/>
      <c r="JI2" s="797"/>
      <c r="JJ2" s="798"/>
    </row>
    <row r="3" spans="1:345" s="542" customFormat="1" ht="15" thickBot="1">
      <c r="A3" s="561"/>
      <c r="B3" s="562"/>
      <c r="C3" s="562"/>
      <c r="D3" s="563"/>
      <c r="E3" s="563"/>
      <c r="F3" s="564"/>
      <c r="G3" s="565"/>
      <c r="H3" s="566"/>
      <c r="I3" s="567"/>
      <c r="J3" s="567"/>
      <c r="K3" s="568"/>
      <c r="L3" s="564"/>
      <c r="M3" s="562"/>
      <c r="N3" s="564"/>
      <c r="O3" s="564"/>
      <c r="P3" s="564"/>
      <c r="Q3" s="564"/>
      <c r="R3" s="564"/>
      <c r="S3" s="564"/>
    </row>
    <row r="4" spans="1:345" s="542" customFormat="1">
      <c r="A4" s="569"/>
      <c r="D4" s="799" t="s">
        <v>975</v>
      </c>
      <c r="E4" s="799"/>
      <c r="F4" s="799"/>
      <c r="G4" s="799"/>
      <c r="H4" s="799"/>
      <c r="I4" s="799"/>
      <c r="J4" s="799"/>
      <c r="K4" s="800" t="s">
        <v>976</v>
      </c>
      <c r="L4" s="800"/>
      <c r="M4" s="800"/>
      <c r="N4" s="570"/>
      <c r="O4" s="800" t="s">
        <v>977</v>
      </c>
      <c r="P4" s="800"/>
      <c r="Q4" s="800"/>
      <c r="R4" s="800"/>
      <c r="S4" s="800"/>
      <c r="T4" s="800"/>
      <c r="U4" s="800" t="s">
        <v>978</v>
      </c>
      <c r="V4" s="800"/>
      <c r="W4" s="800"/>
      <c r="X4" s="800"/>
      <c r="Y4" s="800"/>
      <c r="Z4" s="800"/>
      <c r="AA4" s="801" t="s">
        <v>979</v>
      </c>
      <c r="AB4" s="801"/>
      <c r="AC4" s="801"/>
      <c r="AD4" s="801"/>
      <c r="AE4" s="801"/>
      <c r="AF4" s="801"/>
      <c r="AG4" s="777" t="s">
        <v>980</v>
      </c>
      <c r="AH4" s="777"/>
      <c r="AI4" s="777"/>
      <c r="AJ4" s="777"/>
      <c r="AK4" s="777"/>
      <c r="AL4" s="777"/>
      <c r="AM4" s="777" t="s">
        <v>981</v>
      </c>
      <c r="AN4" s="777"/>
      <c r="AO4" s="777"/>
      <c r="AP4" s="777"/>
      <c r="AQ4" s="777"/>
      <c r="AR4" s="777"/>
      <c r="AS4" s="777" t="s">
        <v>982</v>
      </c>
      <c r="AT4" s="777"/>
      <c r="AU4" s="777"/>
      <c r="AV4" s="777"/>
      <c r="AW4" s="777"/>
      <c r="AX4" s="777"/>
      <c r="AY4" s="790" t="s">
        <v>983</v>
      </c>
      <c r="AZ4" s="790"/>
      <c r="BA4" s="790"/>
      <c r="BB4" s="790"/>
      <c r="BC4" s="790"/>
      <c r="BD4" s="790"/>
      <c r="BE4" s="777" t="s">
        <v>984</v>
      </c>
      <c r="BF4" s="777"/>
      <c r="BG4" s="777"/>
      <c r="BH4" s="777"/>
      <c r="BI4" s="777"/>
      <c r="BJ4" s="777"/>
      <c r="BK4" s="777" t="s">
        <v>985</v>
      </c>
      <c r="BL4" s="777"/>
      <c r="BM4" s="777"/>
      <c r="BN4" s="777"/>
      <c r="BO4" s="777"/>
      <c r="BP4" s="777"/>
      <c r="BQ4" s="790" t="s">
        <v>986</v>
      </c>
      <c r="BR4" s="790"/>
      <c r="BS4" s="790"/>
      <c r="BT4" s="790"/>
      <c r="BU4" s="790"/>
      <c r="BV4" s="790"/>
      <c r="BW4" s="790" t="s">
        <v>987</v>
      </c>
      <c r="BX4" s="790"/>
      <c r="BY4" s="790"/>
      <c r="BZ4" s="790"/>
      <c r="CA4" s="790"/>
      <c r="CB4" s="790"/>
      <c r="CC4" s="790" t="s">
        <v>988</v>
      </c>
      <c r="CD4" s="790"/>
      <c r="CE4" s="790"/>
      <c r="CF4" s="790"/>
      <c r="CG4" s="790"/>
      <c r="CH4" s="790"/>
      <c r="CI4" s="777" t="s">
        <v>989</v>
      </c>
      <c r="CJ4" s="777"/>
      <c r="CK4" s="777"/>
      <c r="CL4" s="777"/>
      <c r="CM4" s="777"/>
      <c r="CN4" s="777"/>
      <c r="CO4" s="570"/>
      <c r="CP4" s="570"/>
      <c r="CQ4" s="570"/>
      <c r="CR4" s="777" t="s">
        <v>990</v>
      </c>
      <c r="CS4" s="777"/>
      <c r="CT4" s="777"/>
      <c r="CU4" s="777"/>
      <c r="CV4" s="777" t="s">
        <v>991</v>
      </c>
      <c r="CW4" s="777"/>
      <c r="CX4" s="777"/>
      <c r="CY4" s="777"/>
      <c r="CZ4" s="777"/>
      <c r="DA4" s="777"/>
      <c r="DB4" s="777" t="s">
        <v>992</v>
      </c>
      <c r="DC4" s="777"/>
      <c r="DD4" s="777"/>
      <c r="DE4" s="777"/>
      <c r="DF4" s="777"/>
      <c r="DG4" s="777"/>
      <c r="DH4" s="777" t="s">
        <v>993</v>
      </c>
      <c r="DI4" s="777"/>
      <c r="DJ4" s="777"/>
      <c r="DK4" s="777"/>
      <c r="DL4" s="777"/>
      <c r="DM4" s="777"/>
      <c r="DN4" s="777" t="s">
        <v>994</v>
      </c>
      <c r="DO4" s="777"/>
      <c r="DP4" s="777"/>
      <c r="DQ4" s="777"/>
      <c r="DR4" s="777"/>
      <c r="DS4" s="777"/>
      <c r="DT4" s="777" t="s">
        <v>995</v>
      </c>
      <c r="DU4" s="777"/>
      <c r="DV4" s="777"/>
      <c r="DW4" s="777"/>
      <c r="DX4" s="777"/>
      <c r="DY4" s="777"/>
      <c r="DZ4" s="777" t="s">
        <v>996</v>
      </c>
      <c r="EA4" s="777"/>
      <c r="EB4" s="777"/>
      <c r="EC4" s="777"/>
      <c r="ED4" s="777"/>
      <c r="EE4" s="777"/>
      <c r="EF4" s="777" t="s">
        <v>997</v>
      </c>
      <c r="EG4" s="777"/>
      <c r="EH4" s="777"/>
      <c r="EI4" s="777"/>
      <c r="EJ4" s="777"/>
      <c r="EK4" s="777"/>
      <c r="EL4" s="777" t="s">
        <v>998</v>
      </c>
      <c r="EM4" s="777"/>
      <c r="EN4" s="777"/>
      <c r="EO4" s="777"/>
      <c r="EP4" s="777"/>
      <c r="EQ4" s="777"/>
      <c r="ER4" s="777" t="s">
        <v>999</v>
      </c>
      <c r="ES4" s="777"/>
      <c r="ET4" s="777"/>
      <c r="EU4" s="777"/>
      <c r="EV4" s="777"/>
      <c r="EW4" s="777"/>
      <c r="EX4" s="777" t="s">
        <v>1000</v>
      </c>
      <c r="EY4" s="777"/>
      <c r="EZ4" s="777"/>
      <c r="FA4" s="777"/>
      <c r="FB4" s="777"/>
      <c r="FC4" s="777"/>
      <c r="FD4" s="571"/>
      <c r="FE4" s="777" t="s">
        <v>1001</v>
      </c>
      <c r="FF4" s="777"/>
      <c r="FG4" s="777"/>
      <c r="FH4" s="777"/>
      <c r="FI4" s="781" t="s">
        <v>1002</v>
      </c>
      <c r="FJ4" s="782"/>
      <c r="FK4" s="782"/>
      <c r="FL4" s="783"/>
      <c r="FM4" s="781" t="s">
        <v>1003</v>
      </c>
      <c r="FN4" s="782"/>
      <c r="FO4" s="782"/>
      <c r="FP4" s="783"/>
      <c r="FQ4" s="781" t="s">
        <v>1004</v>
      </c>
      <c r="FR4" s="782"/>
      <c r="FS4" s="782"/>
      <c r="FT4" s="783"/>
      <c r="FU4" s="781" t="s">
        <v>1005</v>
      </c>
      <c r="FV4" s="782"/>
      <c r="FW4" s="782"/>
      <c r="FX4" s="783"/>
      <c r="FY4" s="781" t="s">
        <v>1006</v>
      </c>
      <c r="FZ4" s="782"/>
      <c r="GA4" s="782"/>
      <c r="GB4" s="783"/>
      <c r="GC4" s="572"/>
      <c r="GD4" s="784" t="s">
        <v>1007</v>
      </c>
      <c r="GE4" s="785"/>
      <c r="GF4" s="785"/>
      <c r="GG4" s="785"/>
      <c r="GH4" s="785"/>
      <c r="GI4" s="786"/>
      <c r="GJ4" s="784" t="s">
        <v>1008</v>
      </c>
      <c r="GK4" s="785"/>
      <c r="GL4" s="785"/>
      <c r="GM4" s="785"/>
      <c r="GN4" s="785"/>
      <c r="GO4" s="786"/>
      <c r="GP4" s="771" t="s">
        <v>1009</v>
      </c>
      <c r="GQ4" s="772"/>
      <c r="GR4" s="772"/>
      <c r="GS4" s="772"/>
      <c r="GT4" s="772"/>
      <c r="GU4" s="773"/>
      <c r="GV4" s="767" t="s">
        <v>1010</v>
      </c>
      <c r="GW4" s="768"/>
      <c r="GX4" s="768"/>
      <c r="GY4" s="768"/>
      <c r="GZ4" s="769"/>
      <c r="HA4" s="755" t="s">
        <v>1011</v>
      </c>
      <c r="HB4" s="756"/>
      <c r="HC4" s="756"/>
      <c r="HD4" s="756"/>
      <c r="HE4" s="756"/>
      <c r="HF4" s="757"/>
      <c r="HG4" s="573"/>
      <c r="HH4" s="778" t="s">
        <v>1012</v>
      </c>
      <c r="HI4" s="779"/>
      <c r="HJ4" s="779"/>
      <c r="HK4" s="779"/>
      <c r="HL4" s="780"/>
      <c r="HM4" s="574"/>
      <c r="HN4" s="767" t="s">
        <v>1013</v>
      </c>
      <c r="HO4" s="768"/>
      <c r="HP4" s="768"/>
      <c r="HQ4" s="768"/>
      <c r="HR4" s="769"/>
      <c r="HS4" s="758" t="s">
        <v>1014</v>
      </c>
      <c r="HT4" s="759"/>
      <c r="HU4" s="759"/>
      <c r="HV4" s="759"/>
      <c r="HW4" s="759"/>
      <c r="HX4" s="760"/>
      <c r="HY4" s="758" t="s">
        <v>1015</v>
      </c>
      <c r="HZ4" s="759"/>
      <c r="IA4" s="759"/>
      <c r="IB4" s="759"/>
      <c r="IC4" s="759"/>
      <c r="ID4" s="760"/>
      <c r="IE4" s="770" t="s">
        <v>1016</v>
      </c>
      <c r="IF4" s="768"/>
      <c r="IG4" s="768"/>
      <c r="IH4" s="768"/>
      <c r="II4" s="768"/>
      <c r="IJ4" s="769"/>
      <c r="IK4" s="758" t="s">
        <v>1017</v>
      </c>
      <c r="IL4" s="759"/>
      <c r="IM4" s="759"/>
      <c r="IN4" s="759"/>
      <c r="IO4" s="759"/>
      <c r="IP4" s="760"/>
      <c r="IQ4" s="758" t="s">
        <v>1018</v>
      </c>
      <c r="IR4" s="759"/>
      <c r="IS4" s="759"/>
      <c r="IT4" s="760"/>
      <c r="IU4" s="771" t="s">
        <v>1019</v>
      </c>
      <c r="IV4" s="772"/>
      <c r="IW4" s="772"/>
      <c r="IX4" s="773"/>
      <c r="IY4" s="764" t="s">
        <v>1020</v>
      </c>
      <c r="IZ4" s="765"/>
      <c r="JA4" s="765"/>
      <c r="JB4" s="765"/>
      <c r="JC4" s="765"/>
      <c r="JD4" s="766"/>
      <c r="JE4" s="774" t="s">
        <v>1021</v>
      </c>
      <c r="JF4" s="775"/>
      <c r="JG4" s="775"/>
      <c r="JH4" s="775"/>
      <c r="JI4" s="775"/>
      <c r="JJ4" s="776"/>
      <c r="JK4" s="758" t="s">
        <v>1022</v>
      </c>
      <c r="JL4" s="759"/>
      <c r="JM4" s="759"/>
      <c r="JN4" s="759"/>
      <c r="JO4" s="759"/>
      <c r="JP4" s="760"/>
      <c r="JQ4" s="758" t="s">
        <v>1023</v>
      </c>
      <c r="JR4" s="759"/>
      <c r="JS4" s="759"/>
      <c r="JT4" s="759"/>
      <c r="JU4" s="759"/>
      <c r="JV4" s="760"/>
      <c r="JW4" s="758" t="s">
        <v>1024</v>
      </c>
      <c r="JX4" s="759"/>
      <c r="JY4" s="759"/>
      <c r="JZ4" s="759"/>
      <c r="KA4" s="759"/>
      <c r="KB4" s="760"/>
      <c r="KC4" s="764" t="s">
        <v>1025</v>
      </c>
      <c r="KD4" s="765"/>
      <c r="KE4" s="765"/>
      <c r="KF4" s="765"/>
      <c r="KG4" s="765"/>
      <c r="KH4" s="766"/>
      <c r="KI4" s="767" t="s">
        <v>1026</v>
      </c>
      <c r="KJ4" s="768"/>
      <c r="KK4" s="768"/>
      <c r="KL4" s="768"/>
      <c r="KM4" s="768"/>
      <c r="KN4" s="769"/>
      <c r="KO4" s="764" t="s">
        <v>1027</v>
      </c>
      <c r="KP4" s="765"/>
      <c r="KQ4" s="765"/>
      <c r="KR4" s="765"/>
      <c r="KS4" s="765"/>
      <c r="KT4" s="766"/>
      <c r="KU4" s="764" t="s">
        <v>1028</v>
      </c>
      <c r="KV4" s="765"/>
      <c r="KW4" s="765"/>
      <c r="KX4" s="765"/>
      <c r="KY4" s="765"/>
      <c r="KZ4" s="766"/>
      <c r="LA4" s="755" t="s">
        <v>1029</v>
      </c>
      <c r="LB4" s="756"/>
      <c r="LC4" s="756"/>
      <c r="LD4" s="756"/>
      <c r="LE4" s="756"/>
      <c r="LF4" s="757"/>
      <c r="LG4" s="758" t="s">
        <v>1030</v>
      </c>
      <c r="LH4" s="759"/>
      <c r="LI4" s="759"/>
      <c r="LJ4" s="759"/>
      <c r="LK4" s="759"/>
      <c r="LL4" s="760"/>
      <c r="LM4" s="755" t="s">
        <v>1031</v>
      </c>
      <c r="LN4" s="756"/>
      <c r="LO4" s="756"/>
      <c r="LP4" s="756"/>
      <c r="LQ4" s="756"/>
      <c r="LR4" s="757"/>
      <c r="LS4" s="758" t="s">
        <v>1032</v>
      </c>
      <c r="LT4" s="759"/>
      <c r="LU4" s="759"/>
      <c r="LV4" s="760"/>
      <c r="LW4" s="575"/>
      <c r="LX4" s="761" t="s">
        <v>1033</v>
      </c>
      <c r="LY4" s="762"/>
      <c r="LZ4" s="762"/>
      <c r="MA4" s="762"/>
      <c r="MB4" s="763"/>
      <c r="MC4" s="761" t="s">
        <v>1034</v>
      </c>
      <c r="MD4" s="762"/>
      <c r="ME4" s="762"/>
      <c r="MF4" s="762"/>
      <c r="MG4" s="763"/>
    </row>
    <row r="5" spans="1:345" s="542" customFormat="1" ht="70.5" customHeight="1" thickBot="1">
      <c r="A5" s="576"/>
      <c r="B5" s="577" t="s">
        <v>1035</v>
      </c>
      <c r="C5" s="578" t="s">
        <v>1036</v>
      </c>
      <c r="D5" s="579" t="s">
        <v>1037</v>
      </c>
      <c r="E5" s="579">
        <v>2021</v>
      </c>
      <c r="F5" s="580">
        <v>2022</v>
      </c>
      <c r="G5" s="580">
        <v>2023</v>
      </c>
      <c r="H5" s="580">
        <v>2024</v>
      </c>
      <c r="I5" s="580">
        <v>2025</v>
      </c>
      <c r="J5" s="580">
        <v>2026</v>
      </c>
      <c r="K5" s="581" t="s">
        <v>1038</v>
      </c>
      <c r="L5" s="581" t="s">
        <v>1039</v>
      </c>
      <c r="M5" s="581" t="s">
        <v>1040</v>
      </c>
      <c r="N5" s="581" t="s">
        <v>1041</v>
      </c>
      <c r="O5" s="581">
        <v>2021</v>
      </c>
      <c r="P5" s="582">
        <v>2022</v>
      </c>
      <c r="Q5" s="582">
        <v>2023</v>
      </c>
      <c r="R5" s="581">
        <v>2024</v>
      </c>
      <c r="S5" s="582">
        <v>2025</v>
      </c>
      <c r="T5" s="581">
        <v>2026</v>
      </c>
      <c r="U5" s="581">
        <v>2021</v>
      </c>
      <c r="V5" s="582">
        <v>2022</v>
      </c>
      <c r="W5" s="582">
        <v>2023</v>
      </c>
      <c r="X5" s="581">
        <v>2024</v>
      </c>
      <c r="Y5" s="582">
        <v>2025</v>
      </c>
      <c r="Z5" s="581">
        <v>2026</v>
      </c>
      <c r="AA5" s="581">
        <v>2021</v>
      </c>
      <c r="AB5" s="582">
        <v>2022</v>
      </c>
      <c r="AC5" s="582">
        <v>2023</v>
      </c>
      <c r="AD5" s="581">
        <v>2024</v>
      </c>
      <c r="AE5" s="582">
        <v>2025</v>
      </c>
      <c r="AF5" s="581">
        <v>2026</v>
      </c>
      <c r="AG5" s="581">
        <v>2021</v>
      </c>
      <c r="AH5" s="581">
        <v>2022</v>
      </c>
      <c r="AI5" s="581">
        <v>2023</v>
      </c>
      <c r="AJ5" s="581">
        <v>2024</v>
      </c>
      <c r="AK5" s="582">
        <v>2025</v>
      </c>
      <c r="AL5" s="581">
        <v>2026</v>
      </c>
      <c r="AM5" s="581">
        <v>2021</v>
      </c>
      <c r="AN5" s="581">
        <v>2022</v>
      </c>
      <c r="AO5" s="581">
        <v>2023</v>
      </c>
      <c r="AP5" s="581">
        <v>2024</v>
      </c>
      <c r="AQ5" s="582">
        <v>2025</v>
      </c>
      <c r="AR5" s="581">
        <v>2026</v>
      </c>
      <c r="AS5" s="581">
        <v>2021</v>
      </c>
      <c r="AT5" s="581">
        <v>2022</v>
      </c>
      <c r="AU5" s="581">
        <v>2023</v>
      </c>
      <c r="AV5" s="583">
        <v>2024</v>
      </c>
      <c r="AW5" s="582">
        <v>2025</v>
      </c>
      <c r="AX5" s="581">
        <v>2026</v>
      </c>
      <c r="AY5" s="581">
        <v>2021</v>
      </c>
      <c r="AZ5" s="581">
        <v>2022</v>
      </c>
      <c r="BA5" s="583">
        <v>2023</v>
      </c>
      <c r="BB5" s="581">
        <v>2024</v>
      </c>
      <c r="BC5" s="582">
        <v>2025</v>
      </c>
      <c r="BD5" s="581">
        <v>2026</v>
      </c>
      <c r="BE5" s="581">
        <v>2021</v>
      </c>
      <c r="BF5" s="581">
        <v>2022</v>
      </c>
      <c r="BG5" s="583">
        <v>2023</v>
      </c>
      <c r="BH5" s="581">
        <v>2024</v>
      </c>
      <c r="BI5" s="582">
        <v>2025</v>
      </c>
      <c r="BJ5" s="581">
        <v>2026</v>
      </c>
      <c r="BK5" s="581">
        <v>2021</v>
      </c>
      <c r="BL5" s="581">
        <v>2022</v>
      </c>
      <c r="BM5" s="583">
        <v>2023</v>
      </c>
      <c r="BN5" s="581">
        <v>2024</v>
      </c>
      <c r="BO5" s="582">
        <v>2025</v>
      </c>
      <c r="BP5" s="581">
        <v>2026</v>
      </c>
      <c r="BQ5" s="581">
        <v>2021</v>
      </c>
      <c r="BR5" s="581">
        <v>2022</v>
      </c>
      <c r="BS5" s="583">
        <v>2023</v>
      </c>
      <c r="BT5" s="581">
        <v>2024</v>
      </c>
      <c r="BU5" s="582">
        <v>2025</v>
      </c>
      <c r="BV5" s="581">
        <v>2026</v>
      </c>
      <c r="BW5" s="581">
        <v>2021</v>
      </c>
      <c r="BX5" s="581">
        <v>2022</v>
      </c>
      <c r="BY5" s="583">
        <v>2023</v>
      </c>
      <c r="BZ5" s="581">
        <v>2024</v>
      </c>
      <c r="CA5" s="582">
        <v>2025</v>
      </c>
      <c r="CB5" s="581">
        <v>2026</v>
      </c>
      <c r="CC5" s="581">
        <v>2021</v>
      </c>
      <c r="CD5" s="581">
        <v>2022</v>
      </c>
      <c r="CE5" s="583">
        <v>2023</v>
      </c>
      <c r="CF5" s="581">
        <v>2024</v>
      </c>
      <c r="CG5" s="582">
        <v>2025</v>
      </c>
      <c r="CH5" s="581">
        <v>2026</v>
      </c>
      <c r="CI5" s="581">
        <v>2021</v>
      </c>
      <c r="CJ5" s="581">
        <v>2022</v>
      </c>
      <c r="CK5" s="583">
        <v>2023</v>
      </c>
      <c r="CL5" s="581">
        <v>2024</v>
      </c>
      <c r="CM5" s="582">
        <v>2025</v>
      </c>
      <c r="CN5" s="581">
        <v>2026</v>
      </c>
      <c r="CO5" s="583" t="s">
        <v>1042</v>
      </c>
      <c r="CP5" s="583" t="s">
        <v>1043</v>
      </c>
      <c r="CQ5" s="583" t="s">
        <v>1044</v>
      </c>
      <c r="CR5" s="583">
        <v>2023</v>
      </c>
      <c r="CS5" s="583">
        <v>2024</v>
      </c>
      <c r="CT5" s="582">
        <v>2025</v>
      </c>
      <c r="CU5" s="581">
        <v>2026</v>
      </c>
      <c r="CV5" s="581">
        <v>2021</v>
      </c>
      <c r="CW5" s="581">
        <v>2022</v>
      </c>
      <c r="CX5" s="583">
        <v>2023</v>
      </c>
      <c r="CY5" s="581">
        <v>2024</v>
      </c>
      <c r="CZ5" s="582">
        <v>2025</v>
      </c>
      <c r="DA5" s="581">
        <v>2026</v>
      </c>
      <c r="DB5" s="581">
        <v>2021</v>
      </c>
      <c r="DC5" s="581">
        <v>2022</v>
      </c>
      <c r="DD5" s="583">
        <v>2023</v>
      </c>
      <c r="DE5" s="581">
        <v>2024</v>
      </c>
      <c r="DF5" s="582">
        <v>2025</v>
      </c>
      <c r="DG5" s="581">
        <v>2026</v>
      </c>
      <c r="DH5" s="581">
        <v>2021</v>
      </c>
      <c r="DI5" s="581">
        <v>2022</v>
      </c>
      <c r="DJ5" s="583">
        <v>2023</v>
      </c>
      <c r="DK5" s="581">
        <v>2024</v>
      </c>
      <c r="DL5" s="582">
        <v>2025</v>
      </c>
      <c r="DM5" s="581">
        <v>2026</v>
      </c>
      <c r="DN5" s="581">
        <v>2021</v>
      </c>
      <c r="DO5" s="581">
        <v>2022</v>
      </c>
      <c r="DP5" s="583">
        <v>2023</v>
      </c>
      <c r="DQ5" s="581">
        <v>2024</v>
      </c>
      <c r="DR5" s="582">
        <v>2025</v>
      </c>
      <c r="DS5" s="581">
        <v>2026</v>
      </c>
      <c r="DT5" s="581">
        <v>2021</v>
      </c>
      <c r="DU5" s="581">
        <v>2022</v>
      </c>
      <c r="DV5" s="583">
        <v>2023</v>
      </c>
      <c r="DW5" s="581">
        <v>2024</v>
      </c>
      <c r="DX5" s="582">
        <v>2025</v>
      </c>
      <c r="DY5" s="581">
        <v>2026</v>
      </c>
      <c r="DZ5" s="581">
        <v>2021</v>
      </c>
      <c r="EA5" s="581">
        <v>2022</v>
      </c>
      <c r="EB5" s="583">
        <v>2023</v>
      </c>
      <c r="EC5" s="581">
        <v>2024</v>
      </c>
      <c r="ED5" s="582">
        <v>2025</v>
      </c>
      <c r="EE5" s="581">
        <v>2026</v>
      </c>
      <c r="EF5" s="581">
        <v>2021</v>
      </c>
      <c r="EG5" s="581">
        <v>2022</v>
      </c>
      <c r="EH5" s="583">
        <v>2023</v>
      </c>
      <c r="EI5" s="581">
        <v>2024</v>
      </c>
      <c r="EJ5" s="582">
        <v>2025</v>
      </c>
      <c r="EK5" s="581">
        <v>2026</v>
      </c>
      <c r="EL5" s="581">
        <v>2021</v>
      </c>
      <c r="EM5" s="581">
        <v>2022</v>
      </c>
      <c r="EN5" s="581">
        <v>2023</v>
      </c>
      <c r="EO5" s="583">
        <v>2024</v>
      </c>
      <c r="EP5" s="582">
        <v>2025</v>
      </c>
      <c r="EQ5" s="581">
        <v>2026</v>
      </c>
      <c r="ER5" s="581">
        <v>2021</v>
      </c>
      <c r="ES5" s="581">
        <v>2022</v>
      </c>
      <c r="ET5" s="581">
        <v>2023</v>
      </c>
      <c r="EU5" s="583">
        <v>2024</v>
      </c>
      <c r="EV5" s="582">
        <v>2025</v>
      </c>
      <c r="EW5" s="581">
        <v>2026</v>
      </c>
      <c r="EX5" s="584">
        <v>2021</v>
      </c>
      <c r="EY5" s="584">
        <v>2022</v>
      </c>
      <c r="EZ5" s="584">
        <v>2023</v>
      </c>
      <c r="FA5" s="583">
        <v>2024</v>
      </c>
      <c r="FB5" s="582">
        <v>2025</v>
      </c>
      <c r="FC5" s="581">
        <v>2026</v>
      </c>
      <c r="FD5" s="581" t="s">
        <v>1045</v>
      </c>
      <c r="FE5" s="581" t="s">
        <v>1046</v>
      </c>
      <c r="FF5" s="581" t="s">
        <v>1047</v>
      </c>
      <c r="FG5" s="584" t="s">
        <v>1048</v>
      </c>
      <c r="FH5" s="584" t="s">
        <v>1049</v>
      </c>
      <c r="FI5" s="585">
        <v>2023</v>
      </c>
      <c r="FJ5" s="586">
        <v>2024</v>
      </c>
      <c r="FK5" s="586">
        <v>2025</v>
      </c>
      <c r="FL5" s="587">
        <v>2026</v>
      </c>
      <c r="FM5" s="585">
        <v>2023</v>
      </c>
      <c r="FN5" s="586">
        <v>2024</v>
      </c>
      <c r="FO5" s="586">
        <v>2025</v>
      </c>
      <c r="FP5" s="587">
        <v>2026</v>
      </c>
      <c r="FQ5" s="585">
        <v>2023</v>
      </c>
      <c r="FR5" s="586">
        <v>2024</v>
      </c>
      <c r="FS5" s="586">
        <v>2025</v>
      </c>
      <c r="FT5" s="587">
        <v>2026</v>
      </c>
      <c r="FU5" s="585">
        <v>2023</v>
      </c>
      <c r="FV5" s="586">
        <v>2024</v>
      </c>
      <c r="FW5" s="586">
        <v>2025</v>
      </c>
      <c r="FX5" s="587">
        <v>2026</v>
      </c>
      <c r="FY5" s="585">
        <v>2023</v>
      </c>
      <c r="FZ5" s="586">
        <v>2024</v>
      </c>
      <c r="GA5" s="586">
        <v>2025</v>
      </c>
      <c r="GB5" s="587">
        <v>2026</v>
      </c>
      <c r="GC5" s="588" t="s">
        <v>1050</v>
      </c>
      <c r="GD5" s="589">
        <v>2021</v>
      </c>
      <c r="GE5" s="590">
        <v>2022</v>
      </c>
      <c r="GF5" s="590">
        <v>2023</v>
      </c>
      <c r="GG5" s="591">
        <v>2024</v>
      </c>
      <c r="GH5" s="590">
        <v>2025</v>
      </c>
      <c r="GI5" s="592">
        <v>2026</v>
      </c>
      <c r="GJ5" s="589">
        <v>2021</v>
      </c>
      <c r="GK5" s="590">
        <v>2022</v>
      </c>
      <c r="GL5" s="590">
        <v>2023</v>
      </c>
      <c r="GM5" s="591">
        <v>2024</v>
      </c>
      <c r="GN5" s="590">
        <v>2025</v>
      </c>
      <c r="GO5" s="592">
        <v>2026</v>
      </c>
      <c r="GP5" s="593">
        <v>2021</v>
      </c>
      <c r="GQ5" s="594">
        <v>2022</v>
      </c>
      <c r="GR5" s="594">
        <v>2023</v>
      </c>
      <c r="GS5" s="594">
        <v>2024</v>
      </c>
      <c r="GT5" s="594">
        <v>2025</v>
      </c>
      <c r="GU5" s="595">
        <v>2026</v>
      </c>
      <c r="GV5" s="596" t="s">
        <v>1051</v>
      </c>
      <c r="GW5" s="597" t="s">
        <v>1052</v>
      </c>
      <c r="GX5" s="597" t="s">
        <v>1053</v>
      </c>
      <c r="GY5" s="597" t="s">
        <v>1054</v>
      </c>
      <c r="GZ5" s="595" t="s">
        <v>1055</v>
      </c>
      <c r="HA5" s="593">
        <v>2021</v>
      </c>
      <c r="HB5" s="594">
        <v>2022</v>
      </c>
      <c r="HC5" s="594">
        <v>2023</v>
      </c>
      <c r="HD5" s="594">
        <v>2024</v>
      </c>
      <c r="HE5" s="594">
        <v>2025</v>
      </c>
      <c r="HF5" s="598">
        <v>2026</v>
      </c>
      <c r="HG5" s="599" t="s">
        <v>1056</v>
      </c>
      <c r="HH5" s="600" t="s">
        <v>1051</v>
      </c>
      <c r="HI5" s="601" t="s">
        <v>1052</v>
      </c>
      <c r="HJ5" s="601" t="s">
        <v>1053</v>
      </c>
      <c r="HK5" s="601" t="s">
        <v>1054</v>
      </c>
      <c r="HL5" s="602" t="s">
        <v>1055</v>
      </c>
      <c r="HM5" s="599" t="s">
        <v>978</v>
      </c>
      <c r="HN5" s="596" t="s">
        <v>1051</v>
      </c>
      <c r="HO5" s="597" t="s">
        <v>1052</v>
      </c>
      <c r="HP5" s="597" t="s">
        <v>1053</v>
      </c>
      <c r="HQ5" s="597" t="s">
        <v>1054</v>
      </c>
      <c r="HR5" s="595" t="s">
        <v>1055</v>
      </c>
      <c r="HS5" s="603">
        <v>2021</v>
      </c>
      <c r="HT5" s="604">
        <v>2022</v>
      </c>
      <c r="HU5" s="604">
        <v>2023</v>
      </c>
      <c r="HV5" s="604">
        <v>2024</v>
      </c>
      <c r="HW5" s="604">
        <v>2025</v>
      </c>
      <c r="HX5" s="605">
        <v>2026</v>
      </c>
      <c r="HY5" s="603">
        <v>2021</v>
      </c>
      <c r="HZ5" s="604">
        <v>2022</v>
      </c>
      <c r="IA5" s="604">
        <v>2023</v>
      </c>
      <c r="IB5" s="604">
        <v>2024</v>
      </c>
      <c r="IC5" s="604">
        <v>2025</v>
      </c>
      <c r="ID5" s="605">
        <v>2026</v>
      </c>
      <c r="IE5" s="596" t="s">
        <v>1051</v>
      </c>
      <c r="IF5" s="597" t="s">
        <v>1052</v>
      </c>
      <c r="IG5" s="597" t="s">
        <v>1053</v>
      </c>
      <c r="IH5" s="597" t="s">
        <v>1054</v>
      </c>
      <c r="II5" s="597" t="s">
        <v>1055</v>
      </c>
      <c r="IJ5" s="598" t="s">
        <v>1057</v>
      </c>
      <c r="IK5" s="603">
        <v>2021</v>
      </c>
      <c r="IL5" s="604">
        <v>2022</v>
      </c>
      <c r="IM5" s="604">
        <v>2023</v>
      </c>
      <c r="IN5" s="604">
        <v>2024</v>
      </c>
      <c r="IO5" s="604">
        <v>2025</v>
      </c>
      <c r="IP5" s="605">
        <v>2026</v>
      </c>
      <c r="IQ5" s="603">
        <v>2023</v>
      </c>
      <c r="IR5" s="604">
        <v>2024</v>
      </c>
      <c r="IS5" s="604">
        <v>2025</v>
      </c>
      <c r="IT5" s="605">
        <v>2026</v>
      </c>
      <c r="IU5" s="606">
        <v>2023</v>
      </c>
      <c r="IV5" s="607">
        <v>2024</v>
      </c>
      <c r="IW5" s="607">
        <v>2025</v>
      </c>
      <c r="IX5" s="608">
        <v>2026</v>
      </c>
      <c r="IY5" s="609">
        <v>2021</v>
      </c>
      <c r="IZ5" s="610">
        <v>2022</v>
      </c>
      <c r="JA5" s="610">
        <v>2023</v>
      </c>
      <c r="JB5" s="610">
        <v>2024</v>
      </c>
      <c r="JC5" s="610">
        <v>2025</v>
      </c>
      <c r="JD5" s="611">
        <v>2026</v>
      </c>
      <c r="JE5" s="612">
        <v>2021</v>
      </c>
      <c r="JF5" s="613">
        <v>2022</v>
      </c>
      <c r="JG5" s="613">
        <v>2023</v>
      </c>
      <c r="JH5" s="613">
        <v>2024</v>
      </c>
      <c r="JI5" s="613">
        <v>2025</v>
      </c>
      <c r="JJ5" s="614">
        <v>2026</v>
      </c>
      <c r="JK5" s="603">
        <v>2021</v>
      </c>
      <c r="JL5" s="604">
        <v>2022</v>
      </c>
      <c r="JM5" s="604">
        <v>2023</v>
      </c>
      <c r="JN5" s="604">
        <v>2024</v>
      </c>
      <c r="JO5" s="604">
        <v>2025</v>
      </c>
      <c r="JP5" s="605">
        <v>2026</v>
      </c>
      <c r="JQ5" s="603">
        <v>2021</v>
      </c>
      <c r="JR5" s="604">
        <v>2022</v>
      </c>
      <c r="JS5" s="604">
        <v>2023</v>
      </c>
      <c r="JT5" s="604">
        <v>2024</v>
      </c>
      <c r="JU5" s="604">
        <v>2025</v>
      </c>
      <c r="JV5" s="605">
        <v>2026</v>
      </c>
      <c r="JW5" s="603">
        <v>2021</v>
      </c>
      <c r="JX5" s="604">
        <v>2022</v>
      </c>
      <c r="JY5" s="604">
        <v>2023</v>
      </c>
      <c r="JZ5" s="604">
        <v>2024</v>
      </c>
      <c r="KA5" s="604">
        <v>2025</v>
      </c>
      <c r="KB5" s="605">
        <v>2026</v>
      </c>
      <c r="KC5" s="603">
        <v>2021</v>
      </c>
      <c r="KD5" s="604">
        <v>2022</v>
      </c>
      <c r="KE5" s="604">
        <v>2023</v>
      </c>
      <c r="KF5" s="604">
        <v>2024</v>
      </c>
      <c r="KG5" s="604">
        <v>2025</v>
      </c>
      <c r="KH5" s="605">
        <v>2026</v>
      </c>
      <c r="KI5" s="596" t="s">
        <v>1051</v>
      </c>
      <c r="KJ5" s="597" t="s">
        <v>1052</v>
      </c>
      <c r="KK5" s="597" t="s">
        <v>1053</v>
      </c>
      <c r="KL5" s="597" t="s">
        <v>1054</v>
      </c>
      <c r="KM5" s="597" t="s">
        <v>1055</v>
      </c>
      <c r="KN5" s="598" t="s">
        <v>1057</v>
      </c>
      <c r="KO5" s="609">
        <v>2021</v>
      </c>
      <c r="KP5" s="610">
        <v>2022</v>
      </c>
      <c r="KQ5" s="610">
        <v>2023</v>
      </c>
      <c r="KR5" s="610">
        <v>2024</v>
      </c>
      <c r="KS5" s="610">
        <v>2025</v>
      </c>
      <c r="KT5" s="611">
        <v>2026</v>
      </c>
      <c r="KU5" s="609">
        <v>2021</v>
      </c>
      <c r="KV5" s="610">
        <v>2022</v>
      </c>
      <c r="KW5" s="610">
        <v>2023</v>
      </c>
      <c r="KX5" s="610">
        <v>2024</v>
      </c>
      <c r="KY5" s="610">
        <v>2025</v>
      </c>
      <c r="KZ5" s="611">
        <v>2026</v>
      </c>
      <c r="LA5" s="596" t="s">
        <v>1051</v>
      </c>
      <c r="LB5" s="597" t="s">
        <v>1052</v>
      </c>
      <c r="LC5" s="597" t="s">
        <v>1053</v>
      </c>
      <c r="LD5" s="597" t="s">
        <v>1054</v>
      </c>
      <c r="LE5" s="597" t="s">
        <v>1055</v>
      </c>
      <c r="LF5" s="598" t="s">
        <v>1057</v>
      </c>
      <c r="LG5" s="603">
        <v>2021</v>
      </c>
      <c r="LH5" s="604">
        <v>2022</v>
      </c>
      <c r="LI5" s="604">
        <v>2023</v>
      </c>
      <c r="LJ5" s="604">
        <v>2024</v>
      </c>
      <c r="LK5" s="604">
        <v>2025</v>
      </c>
      <c r="LL5" s="605">
        <v>2026</v>
      </c>
      <c r="LM5" s="596" t="s">
        <v>1051</v>
      </c>
      <c r="LN5" s="597" t="s">
        <v>1052</v>
      </c>
      <c r="LO5" s="597" t="s">
        <v>1053</v>
      </c>
      <c r="LP5" s="597" t="s">
        <v>1054</v>
      </c>
      <c r="LQ5" s="597" t="s">
        <v>1055</v>
      </c>
      <c r="LR5" s="598" t="s">
        <v>1057</v>
      </c>
      <c r="LS5" s="603">
        <v>2023</v>
      </c>
      <c r="LT5" s="604">
        <v>2024</v>
      </c>
      <c r="LU5" s="604">
        <v>2025</v>
      </c>
      <c r="LV5" s="605">
        <v>2026</v>
      </c>
      <c r="LW5" s="615" t="s">
        <v>1058</v>
      </c>
      <c r="LX5" s="616" t="s">
        <v>1051</v>
      </c>
      <c r="LY5" s="617" t="s">
        <v>1052</v>
      </c>
      <c r="LZ5" s="617" t="s">
        <v>1053</v>
      </c>
      <c r="MA5" s="617" t="s">
        <v>1054</v>
      </c>
      <c r="MB5" s="618" t="s">
        <v>1055</v>
      </c>
      <c r="MC5" s="616" t="s">
        <v>1051</v>
      </c>
      <c r="MD5" s="617" t="s">
        <v>1052</v>
      </c>
      <c r="ME5" s="617" t="s">
        <v>1053</v>
      </c>
      <c r="MF5" s="617" t="s">
        <v>1054</v>
      </c>
      <c r="MG5" s="618" t="s">
        <v>1055</v>
      </c>
    </row>
    <row r="6" spans="1:345" s="542" customFormat="1">
      <c r="B6" s="619">
        <f>Site!C4</f>
        <v>0</v>
      </c>
      <c r="C6" s="562">
        <f>DJU!A2</f>
        <v>0</v>
      </c>
      <c r="D6" s="620">
        <f>'CALCUL DEET'!G3</f>
        <v>2327.9</v>
      </c>
      <c r="E6" s="620">
        <f>'CALCUL DEET'!F15</f>
        <v>2397</v>
      </c>
      <c r="F6" s="620">
        <f>'CALCUL DEET'!G15</f>
        <v>2087</v>
      </c>
      <c r="G6" s="620">
        <f>'CALCUL DEET'!H15</f>
        <v>2027</v>
      </c>
      <c r="H6" s="620">
        <f>'CALCUL DEET'!I15</f>
        <v>2164</v>
      </c>
      <c r="I6" s="620">
        <f>'CALCUL DEET'!J15</f>
        <v>2155</v>
      </c>
      <c r="J6" s="620">
        <f>'CALCUL DEET'!K15</f>
        <v>1089</v>
      </c>
      <c r="K6" s="621">
        <f>'Démarche CTEES'!E8</f>
        <v>0</v>
      </c>
      <c r="L6" s="622">
        <f>'Démarche CTEES'!E10</f>
        <v>0</v>
      </c>
      <c r="M6" s="622">
        <f>'Démarche CTEES'!E12</f>
        <v>0</v>
      </c>
      <c r="N6" s="621"/>
      <c r="O6" s="621">
        <f>Site!C19</f>
        <v>0</v>
      </c>
      <c r="P6" s="622">
        <f>Site!C20</f>
        <v>0</v>
      </c>
      <c r="Q6" s="622">
        <f>Site!C21</f>
        <v>0</v>
      </c>
      <c r="R6" s="622">
        <f>Site!C22</f>
        <v>0</v>
      </c>
      <c r="S6" s="622">
        <f>Site!C23</f>
        <v>0</v>
      </c>
      <c r="T6" s="623">
        <f>Site!C24</f>
        <v>0</v>
      </c>
      <c r="U6" s="621">
        <f>Site!F19+Site!G19</f>
        <v>0</v>
      </c>
      <c r="V6" s="622">
        <f>Site!F20+Site!G20</f>
        <v>0</v>
      </c>
      <c r="W6" s="622">
        <f>Site!F21+Site!G21</f>
        <v>0</v>
      </c>
      <c r="X6" s="622">
        <f>Site!F22+Site!G22</f>
        <v>0</v>
      </c>
      <c r="Y6" s="622">
        <f>Site!F23+Site!G23</f>
        <v>0</v>
      </c>
      <c r="Z6" s="623">
        <f>Site!F24+Site!G24</f>
        <v>0</v>
      </c>
      <c r="AA6" s="624">
        <f t="shared" ref="AA6:AF6" si="0">GETPIVOTDATA("[Measures].[Somme de Conso_kWh_PCI]",$B$27,"[Tab_concat].[Annee]","[Tab_concat].[Annee].&amp;["&amp;U5&amp;"]")</f>
        <v>65284.721186662595</v>
      </c>
      <c r="AB6" s="624">
        <f t="shared" si="0"/>
        <v>53743.350479511879</v>
      </c>
      <c r="AC6" s="624">
        <f t="shared" si="0"/>
        <v>66631.68962510876</v>
      </c>
      <c r="AD6" s="624">
        <f t="shared" si="0"/>
        <v>69935.004907075345</v>
      </c>
      <c r="AE6" s="624">
        <f t="shared" si="0"/>
        <v>68922.936098446386</v>
      </c>
      <c r="AF6" s="624">
        <f t="shared" si="0"/>
        <v>30815.664051147978</v>
      </c>
      <c r="AG6" s="624">
        <f t="shared" ref="AG6:AL6" si="1">IFERROR(GETPIVOTDATA("[Measures].[Somme de Conso_kWh_PCI]",$B$27,"[Tab_concat].[Combustible]","[Tab_concat].[Combustible].&amp;["&amp;AG8&amp;"]","[Tab_concat].[Annee]","[Tab_concat].[Annee].&amp;["&amp;AG5&amp;"]","[Tableau_type].[Type]","[Tableau_type].[Type].&amp;[Consommation]","[Tableau_source].[Source]","[Tableau_source].[Source].&amp;["&amp;AG7&amp;"]"),"")</f>
        <v>11671.265795787756</v>
      </c>
      <c r="AH6" s="624">
        <f t="shared" si="1"/>
        <v>13221.903225806447</v>
      </c>
      <c r="AI6" s="624">
        <f t="shared" si="1"/>
        <v>12561.419354838688</v>
      </c>
      <c r="AJ6" s="624">
        <f t="shared" si="1"/>
        <v>13234.539925965066</v>
      </c>
      <c r="AK6" s="624">
        <f t="shared" si="1"/>
        <v>13798.524590163939</v>
      </c>
      <c r="AL6" s="624">
        <f t="shared" si="1"/>
        <v>0</v>
      </c>
      <c r="AM6" s="624">
        <f>IF(SUM(AM16:AM22)&gt;0,SUM(AM16:AM22),"")</f>
        <v>53613.455390874733</v>
      </c>
      <c r="AN6" s="624">
        <f t="shared" ref="AN6:AR6" si="2">IF(SUM(AN16:AN22)&gt;0,SUM(AN16:AN22),"")</f>
        <v>40521.447253705337</v>
      </c>
      <c r="AO6" s="624">
        <f t="shared" si="2"/>
        <v>54070.270270270121</v>
      </c>
      <c r="AP6" s="624">
        <f t="shared" si="2"/>
        <v>56700.464981110272</v>
      </c>
      <c r="AQ6" s="624">
        <f t="shared" si="2"/>
        <v>55124.411508282443</v>
      </c>
      <c r="AR6" s="624">
        <f t="shared" si="2"/>
        <v>30815.664051147978</v>
      </c>
      <c r="AS6" s="624" t="str">
        <f t="shared" ref="AS6:BJ6" si="3">IFERROR(GETPIVOTDATA("[Measures].[Somme de Conso_kWh_PCI]",$B$27,"[Tab_concat].[Combustible]","[Tab_concat].[Combustible].&amp;["&amp;AS8&amp;"]","[Tab_concat].[Annee]","[Tab_concat].[Annee].&amp;["&amp;AS5&amp;"]","[Tableau_type].[Type]","[Tableau_type].[Type].&amp;[Consommation]","[Tableau_source].[Source]","[Tableau_source].[Source].&amp;["&amp;AS7&amp;"]"),"")</f>
        <v/>
      </c>
      <c r="AT6" s="624" t="str">
        <f t="shared" si="3"/>
        <v/>
      </c>
      <c r="AU6" s="624" t="str">
        <f t="shared" si="3"/>
        <v/>
      </c>
      <c r="AV6" s="624" t="str">
        <f t="shared" si="3"/>
        <v/>
      </c>
      <c r="AW6" s="624" t="str">
        <f t="shared" si="3"/>
        <v/>
      </c>
      <c r="AX6" s="624" t="str">
        <f t="shared" si="3"/>
        <v/>
      </c>
      <c r="AY6" s="624" t="str">
        <f t="shared" si="3"/>
        <v/>
      </c>
      <c r="AZ6" s="624" t="str">
        <f t="shared" si="3"/>
        <v/>
      </c>
      <c r="BA6" s="624" t="str">
        <f t="shared" si="3"/>
        <v/>
      </c>
      <c r="BB6" s="624" t="str">
        <f t="shared" si="3"/>
        <v/>
      </c>
      <c r="BC6" s="624" t="str">
        <f t="shared" si="3"/>
        <v/>
      </c>
      <c r="BD6" s="624" t="str">
        <f t="shared" si="3"/>
        <v/>
      </c>
      <c r="BE6" s="624" t="str">
        <f t="shared" si="3"/>
        <v/>
      </c>
      <c r="BF6" s="624" t="str">
        <f t="shared" si="3"/>
        <v/>
      </c>
      <c r="BG6" s="624" t="str">
        <f t="shared" si="3"/>
        <v/>
      </c>
      <c r="BH6" s="624" t="str">
        <f t="shared" si="3"/>
        <v/>
      </c>
      <c r="BI6" s="624" t="str">
        <f t="shared" si="3"/>
        <v/>
      </c>
      <c r="BJ6" s="624" t="str">
        <f t="shared" si="3"/>
        <v/>
      </c>
      <c r="BK6" s="624" t="str">
        <f>IF(SUM(BK16:BK22)&gt;0,SUM(BK16:BK22),"")</f>
        <v/>
      </c>
      <c r="BL6" s="624" t="str">
        <f t="shared" ref="BL6:BP6" si="4">IF(SUM(BL16:BL22)&gt;0,SUM(BL16:BL22),"")</f>
        <v/>
      </c>
      <c r="BM6" s="624" t="str">
        <f t="shared" si="4"/>
        <v/>
      </c>
      <c r="BN6" s="624" t="str">
        <f t="shared" si="4"/>
        <v/>
      </c>
      <c r="BO6" s="624" t="str">
        <f t="shared" si="4"/>
        <v/>
      </c>
      <c r="BP6" s="624" t="str">
        <f t="shared" si="4"/>
        <v/>
      </c>
      <c r="BQ6" s="625" t="str">
        <f>IFERROR(GETPIVOTDATA("[Measures].[Somme de Demande_jour]",TCD_ENR!$B$4,"[Tableau_type].[Type]","[Tableau_type].[Type].&amp;[Production]","[Tableau_usage].[Detail usage]","[Tableau_usage].[Detail usage].&amp;["&amp;BQ7&amp;"]","[Tab_concat].[Annee]","[Tab_concat].[Annee].&amp;["&amp;BQ5&amp;"]"),"")</f>
        <v/>
      </c>
      <c r="BR6" s="625" t="str">
        <f>IFERROR(GETPIVOTDATA("[Measures].[Somme de Demande_jour]",TCD_ENR!$B$4,"[Tableau_type].[Type]","[Tableau_type].[Type].&amp;[Production]","[Tableau_usage].[Detail usage]","[Tableau_usage].[Detail usage].&amp;["&amp;BR7&amp;"]","[Tab_concat].[Annee]","[Tab_concat].[Annee].&amp;["&amp;BR5&amp;"]"),"")</f>
        <v/>
      </c>
      <c r="BS6" s="625" t="str">
        <f>IFERROR(GETPIVOTDATA("[Measures].[Somme de Demande_jour]",TCD_ENR!$B$4,"[Tableau_type].[Type]","[Tableau_type].[Type].&amp;[Production]","[Tableau_usage].[Detail usage]","[Tableau_usage].[Detail usage].&amp;["&amp;BS7&amp;"]","[Tab_concat].[Annee]","[Tab_concat].[Annee].&amp;["&amp;BS5&amp;"]"),"")</f>
        <v/>
      </c>
      <c r="BT6" s="625" t="str">
        <f>IFERROR(GETPIVOTDATA("[Measures].[Somme de Demande_jour]",TCD_ENR!$B$4,"[Tableau_type].[Type]","[Tableau_type].[Type].&amp;[Production]","[Tableau_usage].[Detail usage]","[Tableau_usage].[Detail usage].&amp;["&amp;BT7&amp;"]","[Tab_concat].[Annee]","[Tab_concat].[Annee].&amp;["&amp;BT5&amp;"]"),"")</f>
        <v/>
      </c>
      <c r="BU6" s="625" t="str">
        <f>IFERROR(GETPIVOTDATA("[Measures].[Somme de Demande_jour]",TCD_ENR!$B$4,"[Tableau_type].[Type]","[Tableau_type].[Type].&amp;[Production]","[Tableau_usage].[Detail usage]","[Tableau_usage].[Detail usage].&amp;["&amp;BU7&amp;"]","[Tab_concat].[Annee]","[Tab_concat].[Annee].&amp;["&amp;BU5&amp;"]"),"")</f>
        <v/>
      </c>
      <c r="BV6" s="625" t="str">
        <f>IFERROR(GETPIVOTDATA("[Measures].[Somme de Demande_jour]",TCD_ENR!$B$4,"[Tableau_type].[Type]","[Tableau_type].[Type].&amp;[Production]","[Tableau_usage].[Detail usage]","[Tableau_usage].[Detail usage].&amp;["&amp;BV7&amp;"]","[Tab_concat].[Annee]","[Tab_concat].[Annee].&amp;["&amp;BV5&amp;"]"),"")</f>
        <v/>
      </c>
      <c r="BW6" s="625" t="str">
        <f>IFERROR(GETPIVOTDATA("[Measures].[Somme de Demande_jour]",TCD_ENR!$B$4,"[Tableau_type].[Type]","[Tableau_type].[Type].&amp;[Production]","[Tableau_usage].[Detail usage]","[Tableau_usage].[Detail usage].&amp;["&amp;BW7&amp;"]","[Tab_concat].[Annee]","[Tab_concat].[Annee].&amp;["&amp;BW5&amp;"]"),"")</f>
        <v/>
      </c>
      <c r="BX6" s="625" t="str">
        <f>IFERROR(GETPIVOTDATA("[Measures].[Somme de Demande_jour]",TCD_ENR!$B$4,"[Tableau_type].[Type]","[Tableau_type].[Type].&amp;[Production]","[Tableau_usage].[Detail usage]","[Tableau_usage].[Detail usage].&amp;["&amp;BX7&amp;"]","[Tab_concat].[Annee]","[Tab_concat].[Annee].&amp;["&amp;BX5&amp;"]"),"")</f>
        <v/>
      </c>
      <c r="BY6" s="625" t="str">
        <f>IFERROR(GETPIVOTDATA("[Measures].[Somme de Demande_jour]",TCD_ENR!$B$4,"[Tableau_type].[Type]","[Tableau_type].[Type].&amp;[Production]","[Tableau_usage].[Detail usage]","[Tableau_usage].[Detail usage].&amp;["&amp;BY7&amp;"]","[Tab_concat].[Annee]","[Tab_concat].[Annee].&amp;["&amp;BY5&amp;"]"),"")</f>
        <v/>
      </c>
      <c r="BZ6" s="625" t="str">
        <f>IFERROR(GETPIVOTDATA("[Measures].[Somme de Demande_jour]",TCD_ENR!$B$4,"[Tableau_type].[Type]","[Tableau_type].[Type].&amp;[Production]","[Tableau_usage].[Detail usage]","[Tableau_usage].[Detail usage].&amp;["&amp;BZ7&amp;"]","[Tab_concat].[Annee]","[Tab_concat].[Annee].&amp;["&amp;BZ5&amp;"]"),"")</f>
        <v/>
      </c>
      <c r="CA6" s="625" t="str">
        <f>IFERROR(GETPIVOTDATA("[Measures].[Somme de Demande_jour]",TCD_ENR!$B$4,"[Tableau_type].[Type]","[Tableau_type].[Type].&amp;[Production]","[Tableau_usage].[Detail usage]","[Tableau_usage].[Detail usage].&amp;["&amp;CA7&amp;"]","[Tab_concat].[Annee]","[Tab_concat].[Annee].&amp;["&amp;CA5&amp;"]"),"")</f>
        <v/>
      </c>
      <c r="CB6" s="625" t="str">
        <f>IFERROR(GETPIVOTDATA("[Measures].[Somme de Demande_jour]",TCD_ENR!$B$4,"[Tableau_type].[Type]","[Tableau_type].[Type].&amp;[Production]","[Tableau_usage].[Detail usage]","[Tableau_usage].[Detail usage].&amp;["&amp;CB7&amp;"]","[Tab_concat].[Annee]","[Tab_concat].[Annee].&amp;["&amp;CB5&amp;"]"),"")</f>
        <v/>
      </c>
      <c r="CC6" s="625" t="str">
        <f>IFERROR(GETPIVOTDATA("[Measures].[Somme de Demande_jour]",TCD_ENR!$B$4,"[Tableau_type].[Type]","[Tableau_type].[Type].&amp;[Production]","[Tableau_usage].[Detail usage]","[Tableau_usage].[Detail usage].&amp;["&amp;CC7&amp;"]","[Tab_concat].[Annee]","[Tab_concat].[Annee].&amp;["&amp;CC5&amp;"]"),"")</f>
        <v/>
      </c>
      <c r="CD6" s="625" t="str">
        <f>IFERROR(GETPIVOTDATA("[Measures].[Somme de Demande_jour]",TCD_ENR!$B$4,"[Tableau_type].[Type]","[Tableau_type].[Type].&amp;[Production]","[Tableau_usage].[Detail usage]","[Tableau_usage].[Detail usage].&amp;["&amp;CD7&amp;"]","[Tab_concat].[Annee]","[Tab_concat].[Annee].&amp;["&amp;CD5&amp;"]"),"")</f>
        <v/>
      </c>
      <c r="CE6" s="625" t="str">
        <f>IFERROR(GETPIVOTDATA("[Measures].[Somme de Demande_jour]",TCD_ENR!$B$4,"[Tableau_type].[Type]","[Tableau_type].[Type].&amp;[Production]","[Tableau_usage].[Detail usage]","[Tableau_usage].[Detail usage].&amp;["&amp;CE7&amp;"]","[Tab_concat].[Annee]","[Tab_concat].[Annee].&amp;["&amp;CE5&amp;"]"),"")</f>
        <v/>
      </c>
      <c r="CF6" s="625" t="str">
        <f>IFERROR(GETPIVOTDATA("[Measures].[Somme de Demande_jour]",TCD_ENR!$B$4,"[Tableau_type].[Type]","[Tableau_type].[Type].&amp;[Production]","[Tableau_usage].[Detail usage]","[Tableau_usage].[Detail usage].&amp;["&amp;CF7&amp;"]","[Tab_concat].[Annee]","[Tab_concat].[Annee].&amp;["&amp;CF5&amp;"]"),"")</f>
        <v/>
      </c>
      <c r="CG6" s="625" t="str">
        <f>IFERROR(GETPIVOTDATA("[Measures].[Somme de Demande_jour]",TCD_ENR!$B$4,"[Tableau_type].[Type]","[Tableau_type].[Type].&amp;[Production]","[Tableau_usage].[Detail usage]","[Tableau_usage].[Detail usage].&amp;["&amp;CG7&amp;"]","[Tab_concat].[Annee]","[Tab_concat].[Annee].&amp;["&amp;CG5&amp;"]"),"")</f>
        <v/>
      </c>
      <c r="CH6" s="625" t="str">
        <f>IFERROR(GETPIVOTDATA("[Measures].[Somme de Demande_jour]",TCD_ENR!$B$4,"[Tableau_type].[Type]","[Tableau_type].[Type].&amp;[Production]","[Tableau_usage].[Detail usage]","[Tableau_usage].[Detail usage].&amp;["&amp;CH7&amp;"]","[Tab_concat].[Annee]","[Tab_concat].[Annee].&amp;["&amp;CH5&amp;"]"),"")</f>
        <v/>
      </c>
      <c r="CI6" s="625">
        <f>IFERROR(GETPIVOTDATA("[Measures].[Somme de Demande_jour]",$CI$20,"[Tab_concat].[Combustible]","[Tab_concat].[Combustible].&amp;[Eau (m3)]","[Tab_concat].[Annee]","[Tab_concat].[Annee].&amp;["&amp;CI5&amp;"]","[Tableau_source].[Source]","[Tableau_source].[Source].&amp;[Eau]","[Tableau_type].[Type]","[Tableau_type].[Type].&amp;[Consommation]"),"")</f>
        <v>32.901408450704224</v>
      </c>
      <c r="CJ6" s="625">
        <f t="shared" ref="CJ6:CN6" si="5">IFERROR(GETPIVOTDATA("[Measures].[Somme de Demande_jour]",$CI$20,"[Tab_concat].[Combustible]","[Tab_concat].[Combustible].&amp;[Eau (m3)]","[Tab_concat].[Annee]","[Tab_concat].[Annee].&amp;["&amp;CJ5&amp;"]","[Tableau_source].[Source]","[Tableau_source].[Source].&amp;[Eau]","[Tableau_type].[Type]","[Tableau_type].[Type].&amp;[Consommation]"),"")</f>
        <v>44.258366197183101</v>
      </c>
      <c r="CK6" s="625">
        <f t="shared" si="5"/>
        <v>70.169333333333327</v>
      </c>
      <c r="CL6" s="625">
        <f t="shared" si="5"/>
        <v>81.668189509306259</v>
      </c>
      <c r="CM6" s="625">
        <f t="shared" si="5"/>
        <v>68.898477157360404</v>
      </c>
      <c r="CN6" s="625" t="str">
        <f t="shared" si="5"/>
        <v/>
      </c>
      <c r="CO6" s="621">
        <f>'Démarche CTEES'!E16</f>
        <v>0</v>
      </c>
      <c r="CP6" s="622">
        <f>'Démarche CTEES'!E18</f>
        <v>0</v>
      </c>
      <c r="CQ6" s="623">
        <f>'Démarche CTEES'!E20</f>
        <v>0</v>
      </c>
      <c r="CR6" s="621">
        <f>HLOOKUP(CR5,Estimation_ECS!$P$40:$S$44,5,0)</f>
        <v>0</v>
      </c>
      <c r="CS6" s="621">
        <f>HLOOKUP(CS5,Estimation_ECS!$P$40:$S$44,5,0)</f>
        <v>0</v>
      </c>
      <c r="CT6" s="621">
        <f>HLOOKUP(CT5,Estimation_ECS!$P$40:$S$44,5,0)</f>
        <v>0</v>
      </c>
      <c r="CU6" s="621">
        <f>HLOOKUP(CU5,Estimation_ECS!$P$40:$S$44,5,0)</f>
        <v>0</v>
      </c>
      <c r="CV6" s="625">
        <f t="shared" ref="CV6:DA6" si="6">GETPIVOTDATA("[Measures].[Somme de Cout_jour]",$B$27,"[Tab_concat].[Annee]","[Tab_concat].[Annee].&amp;["&amp;CV5&amp;"]")</f>
        <v>6029.6710278300916</v>
      </c>
      <c r="CW6" s="625">
        <f t="shared" si="6"/>
        <v>5701.2112468139794</v>
      </c>
      <c r="CX6" s="625">
        <f t="shared" si="6"/>
        <v>7599.4409617254532</v>
      </c>
      <c r="CY6" s="625">
        <f t="shared" si="6"/>
        <v>11300.467604442096</v>
      </c>
      <c r="CZ6" s="625">
        <f t="shared" si="6"/>
        <v>10309.217234267577</v>
      </c>
      <c r="DA6" s="625">
        <f t="shared" si="6"/>
        <v>3758.4183870967763</v>
      </c>
      <c r="DB6" s="625"/>
      <c r="DC6" s="568"/>
      <c r="DD6" s="568"/>
      <c r="DE6" s="568"/>
      <c r="DF6" s="568"/>
      <c r="DG6" s="568"/>
      <c r="DH6" s="625">
        <f t="shared" ref="DH6:EW6" si="7">IFERROR(GETPIVOTDATA("[Measures].[Somme de Cout_jour]",$B$27,"[Tab_concat].[Combustible]","[Tab_concat].[Combustible].&amp;["&amp;DH8&amp;"]","[Tab_concat].[Annee]","[Tab_concat].[Annee].&amp;["&amp;DH5&amp;"]","[Tableau_type].[Type]","[Tableau_type].[Type].&amp;[Consommation]","[Tableau_source].[Source]","[Tableau_source].[Source].&amp;["&amp;DH7&amp;"]"),"")</f>
        <v>2211.9139310559053</v>
      </c>
      <c r="DI6" s="625">
        <f t="shared" si="7"/>
        <v>2677.2701500397666</v>
      </c>
      <c r="DJ6" s="625">
        <f t="shared" si="7"/>
        <v>3633.3149617254526</v>
      </c>
      <c r="DK6" s="625">
        <f t="shared" si="7"/>
        <v>3745.2847012162929</v>
      </c>
      <c r="DL6" s="625">
        <f t="shared" si="7"/>
        <v>3298.4885245901596</v>
      </c>
      <c r="DM6" s="625">
        <f t="shared" si="7"/>
        <v>0</v>
      </c>
      <c r="DN6" s="625">
        <f t="shared" si="7"/>
        <v>3817.7570967741949</v>
      </c>
      <c r="DO6" s="625">
        <f t="shared" si="7"/>
        <v>3023.9410967741978</v>
      </c>
      <c r="DP6" s="625">
        <f t="shared" si="7"/>
        <v>3966.1260000000066</v>
      </c>
      <c r="DQ6" s="625">
        <f t="shared" si="7"/>
        <v>7555.1829032258001</v>
      </c>
      <c r="DR6" s="625">
        <f t="shared" si="7"/>
        <v>7010.7287096774162</v>
      </c>
      <c r="DS6" s="625">
        <f t="shared" si="7"/>
        <v>3758.4183870967763</v>
      </c>
      <c r="DT6" s="625" t="str">
        <f t="shared" si="7"/>
        <v/>
      </c>
      <c r="DU6" s="625" t="str">
        <f t="shared" si="7"/>
        <v/>
      </c>
      <c r="DV6" s="625" t="str">
        <f t="shared" si="7"/>
        <v/>
      </c>
      <c r="DW6" s="625" t="str">
        <f t="shared" si="7"/>
        <v/>
      </c>
      <c r="DX6" s="625" t="str">
        <f t="shared" si="7"/>
        <v/>
      </c>
      <c r="DY6" s="625" t="str">
        <f t="shared" si="7"/>
        <v/>
      </c>
      <c r="DZ6" s="625" t="str">
        <f t="shared" si="7"/>
        <v/>
      </c>
      <c r="EA6" s="625" t="str">
        <f t="shared" si="7"/>
        <v/>
      </c>
      <c r="EB6" s="625" t="str">
        <f t="shared" si="7"/>
        <v/>
      </c>
      <c r="EC6" s="625" t="str">
        <f t="shared" si="7"/>
        <v/>
      </c>
      <c r="ED6" s="625" t="str">
        <f t="shared" si="7"/>
        <v/>
      </c>
      <c r="EE6" s="625" t="str">
        <f t="shared" si="7"/>
        <v/>
      </c>
      <c r="EF6" s="625" t="str">
        <f t="shared" si="7"/>
        <v/>
      </c>
      <c r="EG6" s="625" t="str">
        <f t="shared" si="7"/>
        <v/>
      </c>
      <c r="EH6" s="625" t="str">
        <f t="shared" si="7"/>
        <v/>
      </c>
      <c r="EI6" s="625" t="str">
        <f t="shared" si="7"/>
        <v/>
      </c>
      <c r="EJ6" s="625" t="str">
        <f t="shared" si="7"/>
        <v/>
      </c>
      <c r="EK6" s="625" t="str">
        <f t="shared" si="7"/>
        <v/>
      </c>
      <c r="EL6" s="625" t="str">
        <f t="shared" si="7"/>
        <v/>
      </c>
      <c r="EM6" s="625" t="str">
        <f t="shared" si="7"/>
        <v/>
      </c>
      <c r="EN6" s="625" t="str">
        <f t="shared" si="7"/>
        <v/>
      </c>
      <c r="EO6" s="625" t="str">
        <f t="shared" si="7"/>
        <v/>
      </c>
      <c r="EP6" s="625" t="str">
        <f t="shared" si="7"/>
        <v/>
      </c>
      <c r="EQ6" s="625" t="str">
        <f t="shared" si="7"/>
        <v/>
      </c>
      <c r="ER6" s="625" t="str">
        <f t="shared" si="7"/>
        <v/>
      </c>
      <c r="ES6" s="625" t="str">
        <f t="shared" si="7"/>
        <v/>
      </c>
      <c r="ET6" s="625" t="str">
        <f t="shared" si="7"/>
        <v/>
      </c>
      <c r="EU6" s="625" t="str">
        <f t="shared" si="7"/>
        <v/>
      </c>
      <c r="EV6" s="625" t="str">
        <f t="shared" si="7"/>
        <v/>
      </c>
      <c r="EW6" s="625" t="str">
        <f t="shared" si="7"/>
        <v/>
      </c>
      <c r="EX6" s="625">
        <f t="shared" ref="EX6:FC6" si="8">IFERROR(GETPIVOTDATA("[Measures].[Somme de Cout_jour]",$CJ$17,"[Tab_concat].[Combustible]","[Tab_concat].[Combustible].&amp;["&amp;EX8&amp;"]","[Tab_concat].[Annee]","[Tab_concat].[Annee].&amp;["&amp;EX5&amp;"]","[Tableau_type].[Type]","[Tableau_type].[Type].&amp;[Consommation]","[Tableau_source].[Source]","[Tableau_source].[Source].&amp;["&amp;EX7&amp;"]"),"")</f>
        <v>193.05415492957744</v>
      </c>
      <c r="EY6" s="625">
        <f t="shared" si="8"/>
        <v>270.03167361502346</v>
      </c>
      <c r="EZ6" s="625">
        <f t="shared" si="8"/>
        <v>447.81254000000001</v>
      </c>
      <c r="FA6" s="625">
        <f t="shared" si="8"/>
        <v>541.26708037225046</v>
      </c>
      <c r="FB6" s="625">
        <f t="shared" si="8"/>
        <v>474.84408629441623</v>
      </c>
      <c r="FC6" s="625" t="str">
        <f t="shared" si="8"/>
        <v/>
      </c>
      <c r="FD6" s="627">
        <f>'Démarche CTEES'!E27</f>
        <v>0</v>
      </c>
      <c r="FE6" s="621">
        <f>'Démarche CTEES'!E29</f>
        <v>0</v>
      </c>
      <c r="FF6" s="628">
        <f>'Démarche CTEES'!E31</f>
        <v>0</v>
      </c>
      <c r="FG6" s="622">
        <f>'Démarche CTEES'!E33</f>
        <v>0</v>
      </c>
      <c r="FH6" s="623">
        <f>'Démarche CTEES'!E35</f>
        <v>0</v>
      </c>
      <c r="FI6" s="629">
        <f>'Démarche CTEES'!D40</f>
        <v>0</v>
      </c>
      <c r="FJ6" s="629">
        <f>'Démarche CTEES'!E40</f>
        <v>0</v>
      </c>
      <c r="FK6" s="629">
        <f>'Démarche CTEES'!F40</f>
        <v>0</v>
      </c>
      <c r="FL6" s="629">
        <f>'Démarche CTEES'!G40</f>
        <v>0</v>
      </c>
      <c r="FM6" s="630">
        <f>'Démarche CTEES'!D41</f>
        <v>0</v>
      </c>
      <c r="FN6" s="630">
        <f>'Démarche CTEES'!E41</f>
        <v>0</v>
      </c>
      <c r="FO6" s="630">
        <f>'Démarche CTEES'!F41</f>
        <v>0</v>
      </c>
      <c r="FP6" s="630">
        <f>'Démarche CTEES'!G41</f>
        <v>0</v>
      </c>
      <c r="FQ6" s="630">
        <f>'Démarche CTEES'!D42</f>
        <v>0</v>
      </c>
      <c r="FR6" s="630">
        <f>'Démarche CTEES'!E42</f>
        <v>0</v>
      </c>
      <c r="FS6" s="630">
        <f>'Démarche CTEES'!F42</f>
        <v>0</v>
      </c>
      <c r="FT6" s="630">
        <f>'Démarche CTEES'!G42</f>
        <v>0</v>
      </c>
      <c r="FU6" s="630">
        <f>'Démarche CTEES'!D43</f>
        <v>0</v>
      </c>
      <c r="FV6" s="630">
        <f>'Démarche CTEES'!E43</f>
        <v>0</v>
      </c>
      <c r="FW6" s="630">
        <f>'Démarche CTEES'!F43</f>
        <v>0</v>
      </c>
      <c r="FX6" s="630">
        <f>'Démarche CTEES'!G43</f>
        <v>0</v>
      </c>
      <c r="FY6" s="630">
        <f>'Démarche CTEES'!D44</f>
        <v>0</v>
      </c>
      <c r="FZ6" s="630">
        <f>'Démarche CTEES'!E44</f>
        <v>0</v>
      </c>
      <c r="GA6" s="630">
        <f>'Démarche CTEES'!F44</f>
        <v>0</v>
      </c>
      <c r="GB6" s="630">
        <f>'Démarche CTEES'!G44</f>
        <v>0</v>
      </c>
      <c r="GC6" s="631">
        <f>'Démarche CTEES'!H9</f>
        <v>0</v>
      </c>
      <c r="GD6" s="626"/>
      <c r="GE6" s="626"/>
      <c r="GF6" s="626"/>
      <c r="GG6" s="626"/>
      <c r="GH6" s="626"/>
      <c r="GI6" s="626"/>
      <c r="GJ6" s="632"/>
      <c r="GK6" s="632"/>
      <c r="GL6" s="632"/>
      <c r="GM6" s="632"/>
      <c r="GN6" s="632"/>
      <c r="GO6" s="632"/>
      <c r="GP6" s="633"/>
      <c r="GQ6" s="633"/>
      <c r="GR6" s="633"/>
      <c r="GS6" s="633"/>
      <c r="GT6" s="633"/>
      <c r="GU6" s="633"/>
      <c r="GV6" s="633"/>
      <c r="GW6" s="633"/>
      <c r="GX6" s="633"/>
      <c r="GY6" s="633"/>
      <c r="GZ6" s="633"/>
      <c r="HA6" s="634"/>
      <c r="HB6" s="634"/>
      <c r="HC6" s="634"/>
      <c r="HD6" s="634"/>
      <c r="HE6" s="634"/>
      <c r="HF6" s="634"/>
      <c r="HG6" s="635"/>
      <c r="HH6" s="636"/>
      <c r="HI6" s="636"/>
      <c r="HJ6" s="636"/>
      <c r="HK6" s="636"/>
      <c r="HL6" s="636"/>
      <c r="HM6" s="637"/>
      <c r="HN6" s="638"/>
      <c r="HO6" s="638"/>
      <c r="HP6" s="638"/>
      <c r="HQ6" s="638"/>
      <c r="HR6" s="638"/>
      <c r="HS6" s="637"/>
      <c r="HT6" s="637"/>
      <c r="HU6" s="637"/>
      <c r="HV6" s="637"/>
      <c r="HW6" s="637"/>
      <c r="HX6" s="637"/>
      <c r="HY6" s="637"/>
      <c r="HZ6" s="637"/>
      <c r="IA6" s="637"/>
      <c r="IB6" s="637"/>
      <c r="IC6" s="637"/>
      <c r="ID6" s="637"/>
      <c r="IE6" s="633"/>
      <c r="IF6" s="633"/>
      <c r="IG6" s="633"/>
      <c r="IH6" s="633"/>
      <c r="II6" s="633"/>
      <c r="IJ6" s="633"/>
      <c r="IK6" s="637"/>
      <c r="IL6" s="637"/>
      <c r="IM6" s="637"/>
      <c r="IN6" s="637"/>
      <c r="IO6" s="637"/>
      <c r="IP6" s="637"/>
      <c r="IQ6" s="639"/>
      <c r="IR6" s="639"/>
      <c r="IS6" s="639"/>
      <c r="IT6" s="639"/>
      <c r="IU6" s="640"/>
      <c r="IV6" s="640"/>
      <c r="IW6" s="640"/>
      <c r="IX6" s="640"/>
      <c r="IY6" s="639"/>
      <c r="IZ6" s="639"/>
      <c r="JA6" s="639"/>
      <c r="JB6" s="639"/>
      <c r="JC6" s="639"/>
      <c r="JD6" s="639"/>
      <c r="JE6" s="641"/>
      <c r="JF6" s="641"/>
      <c r="JG6" s="641"/>
      <c r="JH6" s="641"/>
      <c r="JI6" s="641"/>
      <c r="JJ6" s="641"/>
      <c r="JK6" s="637"/>
      <c r="JL6" s="637"/>
      <c r="JM6" s="637"/>
      <c r="JN6" s="637"/>
      <c r="JO6" s="637"/>
      <c r="JP6" s="637"/>
      <c r="JQ6" s="637"/>
      <c r="JR6" s="637"/>
      <c r="JS6" s="637"/>
      <c r="JT6" s="637"/>
      <c r="JU6" s="637"/>
      <c r="JV6" s="637"/>
      <c r="JW6" s="637"/>
      <c r="JX6" s="637"/>
      <c r="JY6" s="637"/>
      <c r="JZ6" s="637"/>
      <c r="KA6" s="637"/>
      <c r="KB6" s="637"/>
      <c r="KC6" s="637"/>
      <c r="KD6" s="637"/>
      <c r="KE6" s="637"/>
      <c r="KF6" s="637"/>
      <c r="KG6" s="637"/>
      <c r="KH6" s="637"/>
      <c r="KI6" s="633"/>
      <c r="KJ6" s="633"/>
      <c r="KK6" s="633"/>
      <c r="KL6" s="633"/>
      <c r="KM6" s="633"/>
      <c r="KN6" s="633"/>
      <c r="KO6" s="637"/>
      <c r="KP6" s="637"/>
      <c r="KQ6" s="637"/>
      <c r="KR6" s="637"/>
      <c r="KS6" s="637"/>
      <c r="KT6" s="637"/>
      <c r="KU6" s="637"/>
      <c r="KV6" s="637"/>
      <c r="KW6" s="637"/>
      <c r="KX6" s="637"/>
      <c r="KY6" s="637"/>
      <c r="KZ6" s="637"/>
      <c r="LA6" s="633"/>
      <c r="LB6" s="633"/>
      <c r="LC6" s="633"/>
      <c r="LD6" s="633"/>
      <c r="LE6" s="633"/>
      <c r="LF6" s="633"/>
      <c r="LG6" s="637"/>
      <c r="LH6" s="637"/>
      <c r="LI6" s="637"/>
      <c r="LJ6" s="637"/>
      <c r="LK6" s="637"/>
      <c r="LL6" s="637"/>
      <c r="LM6" s="642"/>
      <c r="LN6" s="642"/>
      <c r="LO6" s="642"/>
      <c r="LP6" s="642"/>
      <c r="LQ6" s="642"/>
      <c r="LR6" s="642"/>
      <c r="LS6" s="637"/>
      <c r="LT6" s="637"/>
      <c r="LU6" s="637"/>
      <c r="LV6" s="637"/>
      <c r="LW6" s="643"/>
      <c r="LX6" s="644"/>
      <c r="LY6" s="644"/>
      <c r="LZ6" s="644"/>
      <c r="MA6" s="644"/>
      <c r="MB6" s="644"/>
      <c r="MC6" s="645"/>
      <c r="MD6" s="645"/>
      <c r="ME6" s="645"/>
      <c r="MF6" s="645"/>
      <c r="MG6" s="645"/>
    </row>
    <row r="7" spans="1:345" s="542" customFormat="1">
      <c r="AG7" s="542" t="s">
        <v>27</v>
      </c>
      <c r="AH7" s="542" t="s">
        <v>27</v>
      </c>
      <c r="AI7" s="542" t="s">
        <v>27</v>
      </c>
      <c r="AJ7" s="542" t="s">
        <v>27</v>
      </c>
      <c r="AK7" s="542" t="s">
        <v>27</v>
      </c>
      <c r="AL7" s="542" t="s">
        <v>27</v>
      </c>
      <c r="AM7" s="542" t="s">
        <v>31</v>
      </c>
      <c r="AN7" s="542" t="s">
        <v>31</v>
      </c>
      <c r="AO7" s="542" t="s">
        <v>31</v>
      </c>
      <c r="AP7" s="542" t="s">
        <v>31</v>
      </c>
      <c r="AQ7" s="542" t="s">
        <v>31</v>
      </c>
      <c r="AR7" s="542" t="s">
        <v>31</v>
      </c>
      <c r="AS7" s="542" t="s">
        <v>31</v>
      </c>
      <c r="AT7" s="542" t="s">
        <v>31</v>
      </c>
      <c r="AU7" s="542" t="s">
        <v>31</v>
      </c>
      <c r="AV7" s="542" t="s">
        <v>31</v>
      </c>
      <c r="AW7" s="542" t="s">
        <v>31</v>
      </c>
      <c r="AX7" s="542" t="s">
        <v>31</v>
      </c>
      <c r="AY7" s="542" t="s">
        <v>1059</v>
      </c>
      <c r="AZ7" s="542" t="s">
        <v>1059</v>
      </c>
      <c r="BA7" s="542" t="s">
        <v>1059</v>
      </c>
      <c r="BB7" s="542" t="s">
        <v>1059</v>
      </c>
      <c r="BC7" s="542" t="s">
        <v>1059</v>
      </c>
      <c r="BD7" s="542" t="s">
        <v>1059</v>
      </c>
      <c r="BE7" s="542" t="s">
        <v>31</v>
      </c>
      <c r="BF7" s="542" t="s">
        <v>31</v>
      </c>
      <c r="BG7" s="542" t="s">
        <v>31</v>
      </c>
      <c r="BH7" s="542" t="s">
        <v>31</v>
      </c>
      <c r="BI7" s="542" t="s">
        <v>31</v>
      </c>
      <c r="BJ7" s="542" t="s">
        <v>31</v>
      </c>
      <c r="BK7" s="542" t="s">
        <v>31</v>
      </c>
      <c r="BL7" s="542" t="s">
        <v>31</v>
      </c>
      <c r="BM7" s="542" t="s">
        <v>31</v>
      </c>
      <c r="BN7" s="542" t="s">
        <v>31</v>
      </c>
      <c r="BO7" s="542" t="s">
        <v>31</v>
      </c>
      <c r="BP7" s="542" t="s">
        <v>31</v>
      </c>
      <c r="BQ7" s="167" t="s">
        <v>148</v>
      </c>
      <c r="BR7" s="167" t="s">
        <v>148</v>
      </c>
      <c r="BS7" s="167" t="s">
        <v>148</v>
      </c>
      <c r="BT7" s="167" t="s">
        <v>148</v>
      </c>
      <c r="BU7" s="167" t="s">
        <v>148</v>
      </c>
      <c r="BV7" s="167" t="s">
        <v>148</v>
      </c>
      <c r="BW7" s="542" t="s">
        <v>1068</v>
      </c>
      <c r="BX7" s="658" t="s">
        <v>1068</v>
      </c>
      <c r="BY7" s="658" t="s">
        <v>1068</v>
      </c>
      <c r="BZ7" s="658" t="s">
        <v>1068</v>
      </c>
      <c r="CA7" s="658" t="s">
        <v>1068</v>
      </c>
      <c r="CB7" s="658" t="s">
        <v>1068</v>
      </c>
      <c r="CC7" s="673" t="s">
        <v>150</v>
      </c>
      <c r="CD7" s="673" t="s">
        <v>150</v>
      </c>
      <c r="CE7" s="673" t="s">
        <v>150</v>
      </c>
      <c r="CF7" s="673" t="s">
        <v>150</v>
      </c>
      <c r="CG7" s="673" t="s">
        <v>150</v>
      </c>
      <c r="CH7" s="673" t="s">
        <v>150</v>
      </c>
      <c r="DH7" s="542" t="s">
        <v>27</v>
      </c>
      <c r="DI7" s="542" t="s">
        <v>27</v>
      </c>
      <c r="DJ7" s="542" t="s">
        <v>27</v>
      </c>
      <c r="DK7" s="542" t="s">
        <v>27</v>
      </c>
      <c r="DL7" s="542" t="s">
        <v>27</v>
      </c>
      <c r="DM7" s="542" t="s">
        <v>27</v>
      </c>
      <c r="DN7" s="542" t="s">
        <v>31</v>
      </c>
      <c r="DO7" s="542" t="s">
        <v>31</v>
      </c>
      <c r="DP7" s="542" t="s">
        <v>31</v>
      </c>
      <c r="DQ7" s="542" t="s">
        <v>31</v>
      </c>
      <c r="DR7" s="542" t="s">
        <v>31</v>
      </c>
      <c r="DS7" s="542" t="s">
        <v>31</v>
      </c>
      <c r="DT7" s="542" t="s">
        <v>31</v>
      </c>
      <c r="DU7" s="542" t="s">
        <v>31</v>
      </c>
      <c r="DV7" s="542" t="s">
        <v>31</v>
      </c>
      <c r="DW7" s="542" t="s">
        <v>31</v>
      </c>
      <c r="DX7" s="542" t="s">
        <v>31</v>
      </c>
      <c r="DY7" s="542" t="s">
        <v>31</v>
      </c>
      <c r="EF7" s="542" t="s">
        <v>31</v>
      </c>
      <c r="EG7" s="542" t="s">
        <v>31</v>
      </c>
      <c r="EH7" s="542" t="s">
        <v>31</v>
      </c>
      <c r="EI7" s="542" t="s">
        <v>31</v>
      </c>
      <c r="EJ7" s="542" t="s">
        <v>31</v>
      </c>
      <c r="EK7" s="542" t="s">
        <v>31</v>
      </c>
      <c r="ER7" s="542" t="s">
        <v>31</v>
      </c>
      <c r="ES7" s="542" t="s">
        <v>31</v>
      </c>
      <c r="ET7" s="542" t="s">
        <v>31</v>
      </c>
      <c r="EU7" s="542" t="s">
        <v>31</v>
      </c>
      <c r="EV7" s="542" t="s">
        <v>31</v>
      </c>
      <c r="EW7" s="542" t="s">
        <v>31</v>
      </c>
      <c r="EX7" s="646" t="s">
        <v>35</v>
      </c>
      <c r="EY7" s="646" t="s">
        <v>35</v>
      </c>
      <c r="EZ7" s="646" t="s">
        <v>35</v>
      </c>
      <c r="FA7" s="646" t="s">
        <v>35</v>
      </c>
      <c r="FB7" s="646" t="s">
        <v>35</v>
      </c>
      <c r="FC7" s="646" t="s">
        <v>35</v>
      </c>
    </row>
    <row r="8" spans="1:345" s="542" customFormat="1">
      <c r="AG8" s="542" t="s">
        <v>29</v>
      </c>
      <c r="AH8" s="542" t="s">
        <v>29</v>
      </c>
      <c r="AI8" s="542" t="s">
        <v>29</v>
      </c>
      <c r="AJ8" s="542" t="s">
        <v>29</v>
      </c>
      <c r="AK8" s="542" t="s">
        <v>29</v>
      </c>
      <c r="AL8" s="542" t="s">
        <v>29</v>
      </c>
      <c r="AM8" s="647" t="s">
        <v>181</v>
      </c>
      <c r="AN8" s="647" t="s">
        <v>181</v>
      </c>
      <c r="AO8" s="647" t="s">
        <v>181</v>
      </c>
      <c r="AP8" s="647" t="s">
        <v>181</v>
      </c>
      <c r="AQ8" s="647" t="s">
        <v>181</v>
      </c>
      <c r="AR8" s="647" t="s">
        <v>181</v>
      </c>
      <c r="AS8" s="542" t="s">
        <v>205</v>
      </c>
      <c r="AT8" s="542" t="s">
        <v>205</v>
      </c>
      <c r="AU8" s="542" t="s">
        <v>205</v>
      </c>
      <c r="AV8" s="542" t="s">
        <v>205</v>
      </c>
      <c r="AW8" s="542" t="s">
        <v>205</v>
      </c>
      <c r="AX8" s="542" t="s">
        <v>205</v>
      </c>
      <c r="AY8" s="542" t="s">
        <v>1060</v>
      </c>
      <c r="AZ8" s="542" t="s">
        <v>1060</v>
      </c>
      <c r="BA8" s="542" t="s">
        <v>1060</v>
      </c>
      <c r="BB8" s="542" t="s">
        <v>1060</v>
      </c>
      <c r="BC8" s="542" t="s">
        <v>1060</v>
      </c>
      <c r="BD8" s="542" t="s">
        <v>1060</v>
      </c>
      <c r="BE8" s="542" t="s">
        <v>33</v>
      </c>
      <c r="BF8" s="542" t="s">
        <v>33</v>
      </c>
      <c r="BG8" s="542" t="s">
        <v>33</v>
      </c>
      <c r="BH8" s="542" t="s">
        <v>33</v>
      </c>
      <c r="BI8" s="542" t="s">
        <v>33</v>
      </c>
      <c r="BJ8" s="542" t="s">
        <v>33</v>
      </c>
      <c r="BK8" s="542" t="s">
        <v>147</v>
      </c>
      <c r="BL8" s="542" t="s">
        <v>147</v>
      </c>
      <c r="BM8" s="542" t="s">
        <v>147</v>
      </c>
      <c r="BN8" s="542" t="s">
        <v>147</v>
      </c>
      <c r="BO8" s="542" t="s">
        <v>147</v>
      </c>
      <c r="BP8" s="542" t="s">
        <v>147</v>
      </c>
      <c r="DH8" s="542" t="s">
        <v>29</v>
      </c>
      <c r="DI8" s="542" t="s">
        <v>29</v>
      </c>
      <c r="DJ8" s="542" t="s">
        <v>29</v>
      </c>
      <c r="DK8" s="542" t="s">
        <v>29</v>
      </c>
      <c r="DL8" s="542" t="s">
        <v>29</v>
      </c>
      <c r="DM8" s="542" t="s">
        <v>29</v>
      </c>
      <c r="DN8" s="647" t="s">
        <v>181</v>
      </c>
      <c r="DO8" s="647" t="s">
        <v>181</v>
      </c>
      <c r="DP8" s="647" t="s">
        <v>181</v>
      </c>
      <c r="DQ8" s="647" t="s">
        <v>181</v>
      </c>
      <c r="DR8" s="647" t="s">
        <v>181</v>
      </c>
      <c r="DS8" s="647" t="s">
        <v>181</v>
      </c>
      <c r="DT8" s="542" t="s">
        <v>205</v>
      </c>
      <c r="DU8" s="542" t="s">
        <v>205</v>
      </c>
      <c r="DV8" s="542" t="s">
        <v>205</v>
      </c>
      <c r="DW8" s="542" t="s">
        <v>205</v>
      </c>
      <c r="DX8" s="542" t="s">
        <v>205</v>
      </c>
      <c r="DY8" s="542" t="s">
        <v>205</v>
      </c>
      <c r="EF8" s="542" t="s">
        <v>33</v>
      </c>
      <c r="EG8" s="542" t="s">
        <v>33</v>
      </c>
      <c r="EH8" s="542" t="s">
        <v>33</v>
      </c>
      <c r="EI8" s="542" t="s">
        <v>33</v>
      </c>
      <c r="EJ8" s="542" t="s">
        <v>33</v>
      </c>
      <c r="EK8" s="542" t="s">
        <v>33</v>
      </c>
      <c r="ER8" s="542" t="s">
        <v>147</v>
      </c>
      <c r="ES8" s="542" t="s">
        <v>147</v>
      </c>
      <c r="ET8" s="542" t="s">
        <v>147</v>
      </c>
      <c r="EU8" s="542" t="s">
        <v>147</v>
      </c>
      <c r="EV8" s="542" t="s">
        <v>147</v>
      </c>
      <c r="EW8" s="542" t="s">
        <v>147</v>
      </c>
      <c r="EX8" s="542" t="s">
        <v>37</v>
      </c>
      <c r="EY8" s="542" t="s">
        <v>37</v>
      </c>
      <c r="EZ8" s="542" t="s">
        <v>37</v>
      </c>
      <c r="FA8" s="542" t="s">
        <v>37</v>
      </c>
      <c r="FB8" s="542" t="s">
        <v>37</v>
      </c>
      <c r="FC8" s="542" t="s">
        <v>37</v>
      </c>
    </row>
    <row r="9" spans="1:345" s="542" customFormat="1">
      <c r="AM9" s="647" t="s">
        <v>186</v>
      </c>
      <c r="AN9" s="647" t="s">
        <v>186</v>
      </c>
      <c r="AO9" s="647" t="s">
        <v>186</v>
      </c>
      <c r="AP9" s="647" t="s">
        <v>186</v>
      </c>
      <c r="AQ9" s="647" t="s">
        <v>186</v>
      </c>
      <c r="AR9" s="647" t="s">
        <v>186</v>
      </c>
      <c r="BK9" s="542" t="s">
        <v>164</v>
      </c>
      <c r="BL9" s="542" t="s">
        <v>164</v>
      </c>
      <c r="BM9" s="542" t="s">
        <v>164</v>
      </c>
      <c r="BN9" s="542" t="s">
        <v>164</v>
      </c>
      <c r="BO9" s="542" t="s">
        <v>164</v>
      </c>
      <c r="BP9" s="542" t="s">
        <v>164</v>
      </c>
      <c r="DN9" s="647" t="s">
        <v>186</v>
      </c>
      <c r="DO9" s="647" t="s">
        <v>186</v>
      </c>
      <c r="DP9" s="647" t="s">
        <v>186</v>
      </c>
      <c r="DQ9" s="647" t="s">
        <v>186</v>
      </c>
      <c r="DR9" s="647" t="s">
        <v>186</v>
      </c>
      <c r="DS9" s="647" t="s">
        <v>186</v>
      </c>
      <c r="ER9" s="542" t="s">
        <v>164</v>
      </c>
      <c r="ES9" s="542" t="s">
        <v>164</v>
      </c>
      <c r="ET9" s="542" t="s">
        <v>164</v>
      </c>
      <c r="EU9" s="542" t="s">
        <v>164</v>
      </c>
      <c r="EV9" s="542" t="s">
        <v>164</v>
      </c>
      <c r="EW9" s="542" t="s">
        <v>164</v>
      </c>
    </row>
    <row r="10" spans="1:345" s="542" customFormat="1">
      <c r="AM10" s="647" t="s">
        <v>189</v>
      </c>
      <c r="AN10" s="647" t="s">
        <v>189</v>
      </c>
      <c r="AO10" s="647" t="s">
        <v>189</v>
      </c>
      <c r="AP10" s="647" t="s">
        <v>189</v>
      </c>
      <c r="AQ10" s="647" t="s">
        <v>189</v>
      </c>
      <c r="AR10" s="647" t="s">
        <v>189</v>
      </c>
      <c r="BK10" s="542" t="s">
        <v>174</v>
      </c>
      <c r="BL10" s="542" t="s">
        <v>174</v>
      </c>
      <c r="BM10" s="542" t="s">
        <v>174</v>
      </c>
      <c r="BN10" s="542" t="s">
        <v>174</v>
      </c>
      <c r="BO10" s="542" t="s">
        <v>174</v>
      </c>
      <c r="BP10" s="542" t="s">
        <v>174</v>
      </c>
      <c r="DN10" s="647" t="s">
        <v>189</v>
      </c>
      <c r="DO10" s="647" t="s">
        <v>189</v>
      </c>
      <c r="DP10" s="647" t="s">
        <v>189</v>
      </c>
      <c r="DQ10" s="647" t="s">
        <v>189</v>
      </c>
      <c r="DR10" s="647" t="s">
        <v>189</v>
      </c>
      <c r="DS10" s="647" t="s">
        <v>189</v>
      </c>
      <c r="ER10" s="542" t="s">
        <v>174</v>
      </c>
      <c r="ES10" s="542" t="s">
        <v>174</v>
      </c>
      <c r="ET10" s="542" t="s">
        <v>174</v>
      </c>
      <c r="EU10" s="542" t="s">
        <v>174</v>
      </c>
      <c r="EV10" s="542" t="s">
        <v>174</v>
      </c>
      <c r="EW10" s="542" t="s">
        <v>174</v>
      </c>
    </row>
    <row r="11" spans="1:345" s="542" customFormat="1">
      <c r="AM11" s="647" t="s">
        <v>192</v>
      </c>
      <c r="AN11" s="647" t="s">
        <v>192</v>
      </c>
      <c r="AO11" s="647" t="s">
        <v>192</v>
      </c>
      <c r="AP11" s="647" t="s">
        <v>192</v>
      </c>
      <c r="AQ11" s="647" t="s">
        <v>192</v>
      </c>
      <c r="AR11" s="647" t="s">
        <v>192</v>
      </c>
      <c r="BK11" s="542" t="s">
        <v>927</v>
      </c>
      <c r="BL11" s="543" t="s">
        <v>927</v>
      </c>
      <c r="BM11" s="543" t="s">
        <v>927</v>
      </c>
      <c r="BN11" s="543" t="s">
        <v>927</v>
      </c>
      <c r="BO11" s="543" t="s">
        <v>927</v>
      </c>
      <c r="BP11" s="543" t="s">
        <v>927</v>
      </c>
      <c r="DN11" s="647" t="s">
        <v>192</v>
      </c>
      <c r="DO11" s="647" t="s">
        <v>192</v>
      </c>
      <c r="DP11" s="647" t="s">
        <v>192</v>
      </c>
      <c r="DQ11" s="647" t="s">
        <v>192</v>
      </c>
      <c r="DR11" s="647" t="s">
        <v>192</v>
      </c>
      <c r="DS11" s="647" t="s">
        <v>192</v>
      </c>
    </row>
    <row r="12" spans="1:345" s="542" customFormat="1">
      <c r="AM12" s="647" t="s">
        <v>194</v>
      </c>
      <c r="AN12" s="647" t="s">
        <v>194</v>
      </c>
      <c r="AO12" s="647" t="s">
        <v>194</v>
      </c>
      <c r="AP12" s="647" t="s">
        <v>194</v>
      </c>
      <c r="AQ12" s="647" t="s">
        <v>194</v>
      </c>
      <c r="AR12" s="647" t="s">
        <v>194</v>
      </c>
      <c r="BK12" s="542" t="s">
        <v>928</v>
      </c>
      <c r="BL12" s="543" t="s">
        <v>928</v>
      </c>
      <c r="BM12" s="543" t="s">
        <v>928</v>
      </c>
      <c r="BN12" s="543" t="s">
        <v>928</v>
      </c>
      <c r="BO12" s="543" t="s">
        <v>928</v>
      </c>
      <c r="BP12" s="543" t="s">
        <v>928</v>
      </c>
      <c r="DN12" s="647" t="s">
        <v>194</v>
      </c>
      <c r="DO12" s="647" t="s">
        <v>194</v>
      </c>
      <c r="DP12" s="647" t="s">
        <v>194</v>
      </c>
      <c r="DQ12" s="647" t="s">
        <v>194</v>
      </c>
      <c r="DR12" s="647" t="s">
        <v>194</v>
      </c>
      <c r="DS12" s="647" t="s">
        <v>194</v>
      </c>
    </row>
    <row r="13" spans="1:345" s="542" customFormat="1">
      <c r="AM13" s="647" t="s">
        <v>195</v>
      </c>
      <c r="AN13" s="647" t="s">
        <v>195</v>
      </c>
      <c r="AO13" s="647" t="s">
        <v>195</v>
      </c>
      <c r="AP13" s="647" t="s">
        <v>195</v>
      </c>
      <c r="AQ13" s="647" t="s">
        <v>195</v>
      </c>
      <c r="AR13" s="647" t="s">
        <v>195</v>
      </c>
      <c r="BK13" s="542" t="s">
        <v>929</v>
      </c>
      <c r="BL13" s="543" t="s">
        <v>929</v>
      </c>
      <c r="BM13" s="543" t="s">
        <v>929</v>
      </c>
      <c r="BN13" s="543" t="s">
        <v>929</v>
      </c>
      <c r="BO13" s="543" t="s">
        <v>929</v>
      </c>
      <c r="BP13" s="543" t="s">
        <v>929</v>
      </c>
      <c r="DN13" s="647" t="s">
        <v>195</v>
      </c>
      <c r="DO13" s="647" t="s">
        <v>195</v>
      </c>
      <c r="DP13" s="647" t="s">
        <v>195</v>
      </c>
      <c r="DQ13" s="647" t="s">
        <v>195</v>
      </c>
      <c r="DR13" s="647" t="s">
        <v>195</v>
      </c>
      <c r="DS13" s="647" t="s">
        <v>195</v>
      </c>
    </row>
    <row r="14" spans="1:345" s="542" customFormat="1">
      <c r="AM14" s="647" t="s">
        <v>196</v>
      </c>
      <c r="AN14" s="647" t="s">
        <v>196</v>
      </c>
      <c r="AO14" s="647" t="s">
        <v>196</v>
      </c>
      <c r="AP14" s="647" t="s">
        <v>196</v>
      </c>
      <c r="AQ14" s="647" t="s">
        <v>196</v>
      </c>
      <c r="AR14" s="647" t="s">
        <v>196</v>
      </c>
      <c r="BK14" s="542" t="s">
        <v>930</v>
      </c>
      <c r="BL14" s="543" t="s">
        <v>930</v>
      </c>
      <c r="BM14" s="543" t="s">
        <v>930</v>
      </c>
      <c r="BN14" s="543" t="s">
        <v>930</v>
      </c>
      <c r="BO14" s="543" t="s">
        <v>930</v>
      </c>
      <c r="BP14" s="543" t="s">
        <v>930</v>
      </c>
      <c r="CI14" s="166" t="s">
        <v>20</v>
      </c>
      <c r="CJ14" s="679" t="s" vm="6">
        <v>26</v>
      </c>
      <c r="CK14"/>
      <c r="CL14"/>
      <c r="CM14"/>
      <c r="CN14"/>
      <c r="CO14"/>
      <c r="CP14"/>
      <c r="CQ14"/>
      <c r="CR14"/>
      <c r="CS14"/>
      <c r="CT14"/>
      <c r="CU14"/>
      <c r="CV14"/>
      <c r="CW14"/>
      <c r="CX14"/>
      <c r="CY14"/>
      <c r="DN14" s="647" t="s">
        <v>196</v>
      </c>
      <c r="DO14" s="647" t="s">
        <v>196</v>
      </c>
      <c r="DP14" s="647" t="s">
        <v>196</v>
      </c>
      <c r="DQ14" s="647" t="s">
        <v>196</v>
      </c>
      <c r="DR14" s="647" t="s">
        <v>196</v>
      </c>
      <c r="DS14" s="647" t="s">
        <v>196</v>
      </c>
    </row>
    <row r="15" spans="1:345" s="542" customFormat="1">
      <c r="CI15" s="166" t="s">
        <v>21</v>
      </c>
      <c r="CJ15" s="679" t="s" vm="5">
        <v>35</v>
      </c>
      <c r="CK15"/>
      <c r="CL15"/>
      <c r="CM15"/>
      <c r="CN15"/>
      <c r="CO15"/>
      <c r="CP15"/>
      <c r="CQ15"/>
      <c r="CR15"/>
      <c r="CS15"/>
      <c r="CT15"/>
      <c r="CU15"/>
      <c r="CV15"/>
      <c r="CW15"/>
      <c r="CX15"/>
      <c r="CY15"/>
    </row>
    <row r="16" spans="1:345" s="542" customFormat="1">
      <c r="AM16" s="285">
        <f t="shared" ref="AM16:AR22" si="9">IFERROR(GETPIVOTDATA("[Measures].[Somme de Conso_kWh_PCI]",$B$27,"[Tab_concat].[Combustible]","[Tab_concat].[Combustible].&amp;["&amp;AM8&amp;"]","[Tab_concat].[Annee]","[Tab_concat].[Annee].&amp;["&amp;AM$5&amp;"]","[Tableau_type].[Type]","[Tableau_type].[Type].&amp;[Consommation]","[Tableau_source].[Source]","[Tableau_source].[Source].&amp;["&amp;AM$7&amp;"]"),"")</f>
        <v>53613.455390874733</v>
      </c>
      <c r="AN16" s="285">
        <f t="shared" si="9"/>
        <v>40521.447253705337</v>
      </c>
      <c r="AO16" s="285">
        <f t="shared" si="9"/>
        <v>54070.270270270121</v>
      </c>
      <c r="AP16" s="285">
        <f t="shared" si="9"/>
        <v>56700.464981110272</v>
      </c>
      <c r="AQ16" s="285">
        <f t="shared" si="9"/>
        <v>55124.411508282443</v>
      </c>
      <c r="AR16" s="285">
        <f t="shared" si="9"/>
        <v>30815.664051147978</v>
      </c>
      <c r="BK16" s="285" t="str">
        <f t="shared" ref="BK16:BP18" si="10">IFERROR(GETPIVOTDATA("[Measures].[Somme de Conso_kWh_PCI]",$B$27,"[Tab_concat].[Combustible]","[Tab_concat].[Combustible].&amp;["&amp;BK8&amp;"]","[Tab_concat].[Annee]","[Tab_concat].[Annee].&amp;["&amp;BK$5&amp;"]","[Tableau_type].[Type]","[Tableau_type].[Type].&amp;[Consommation]","[Tableau_source].[Source]","[Tableau_source].[Source].&amp;["&amp;BK$7&amp;"]"),"")</f>
        <v/>
      </c>
      <c r="BL16" s="285" t="str">
        <f t="shared" si="10"/>
        <v/>
      </c>
      <c r="BM16" s="285" t="str">
        <f t="shared" si="10"/>
        <v/>
      </c>
      <c r="BN16" s="285" t="str">
        <f t="shared" si="10"/>
        <v/>
      </c>
      <c r="BO16" s="285" t="str">
        <f t="shared" si="10"/>
        <v/>
      </c>
      <c r="BP16" s="285" t="str">
        <f t="shared" si="10"/>
        <v/>
      </c>
      <c r="CI16"/>
      <c r="CJ16"/>
      <c r="CK16"/>
      <c r="CL16"/>
      <c r="CM16"/>
      <c r="CN16"/>
      <c r="CO16"/>
      <c r="CP16"/>
      <c r="CQ16"/>
      <c r="CR16"/>
      <c r="CS16"/>
      <c r="CT16"/>
      <c r="CU16"/>
      <c r="CV16"/>
      <c r="CW16"/>
      <c r="CX16"/>
      <c r="CY16"/>
    </row>
    <row r="17" spans="2:119" s="542" customFormat="1">
      <c r="AM17" s="285" t="str">
        <f t="shared" si="9"/>
        <v/>
      </c>
      <c r="AN17" s="285" t="str">
        <f t="shared" si="9"/>
        <v/>
      </c>
      <c r="AO17" s="285" t="str">
        <f t="shared" si="9"/>
        <v/>
      </c>
      <c r="AP17" s="285" t="str">
        <f t="shared" si="9"/>
        <v/>
      </c>
      <c r="AQ17" s="285" t="str">
        <f t="shared" si="9"/>
        <v/>
      </c>
      <c r="AR17" s="285" t="str">
        <f t="shared" si="9"/>
        <v/>
      </c>
      <c r="BK17" s="285" t="str">
        <f t="shared" si="10"/>
        <v/>
      </c>
      <c r="BL17" s="285" t="str">
        <f t="shared" si="10"/>
        <v/>
      </c>
      <c r="BM17" s="285" t="str">
        <f t="shared" si="10"/>
        <v/>
      </c>
      <c r="BN17" s="285" t="str">
        <f t="shared" si="10"/>
        <v/>
      </c>
      <c r="BO17" s="285" t="str">
        <f t="shared" si="10"/>
        <v/>
      </c>
      <c r="BP17" s="285" t="str">
        <f t="shared" si="10"/>
        <v/>
      </c>
      <c r="CI17"/>
      <c r="CJ17" s="166" t="s">
        <v>74</v>
      </c>
      <c r="CK17"/>
      <c r="CL17"/>
      <c r="CM17"/>
      <c r="CN17"/>
      <c r="CO17"/>
      <c r="CP17"/>
      <c r="CQ17"/>
      <c r="CR17"/>
      <c r="CS17"/>
      <c r="CT17"/>
      <c r="CU17"/>
      <c r="CV17"/>
      <c r="CW17"/>
      <c r="CX17"/>
      <c r="CY17"/>
      <c r="CZ17"/>
      <c r="DA17"/>
      <c r="DB17"/>
      <c r="DC17"/>
      <c r="DD17"/>
      <c r="DE17"/>
      <c r="DF17"/>
      <c r="DG17"/>
      <c r="DH17"/>
      <c r="DI17"/>
      <c r="DJ17"/>
      <c r="DK17"/>
      <c r="DL17"/>
      <c r="DM17"/>
      <c r="DN17"/>
      <c r="DO17"/>
    </row>
    <row r="18" spans="2:119" s="542" customFormat="1">
      <c r="AM18" s="285" t="str">
        <f t="shared" si="9"/>
        <v/>
      </c>
      <c r="AN18" s="285" t="str">
        <f t="shared" si="9"/>
        <v/>
      </c>
      <c r="AO18" s="285" t="str">
        <f t="shared" si="9"/>
        <v/>
      </c>
      <c r="AP18" s="285" t="str">
        <f t="shared" si="9"/>
        <v/>
      </c>
      <c r="AQ18" s="285" t="str">
        <f t="shared" si="9"/>
        <v/>
      </c>
      <c r="AR18" s="285" t="str">
        <f t="shared" si="9"/>
        <v/>
      </c>
      <c r="BK18" s="285" t="str">
        <f t="shared" si="10"/>
        <v/>
      </c>
      <c r="BL18" s="285" t="str">
        <f t="shared" si="10"/>
        <v/>
      </c>
      <c r="BM18" s="285" t="str">
        <f t="shared" si="10"/>
        <v/>
      </c>
      <c r="BN18" s="285" t="str">
        <f t="shared" si="10"/>
        <v/>
      </c>
      <c r="BO18" s="285" t="str">
        <f t="shared" si="10"/>
        <v/>
      </c>
      <c r="BP18" s="285" t="str">
        <f t="shared" si="10"/>
        <v/>
      </c>
      <c r="CI18"/>
      <c r="CJ18" s="679">
        <v>2018</v>
      </c>
      <c r="CK18"/>
      <c r="CL18" s="679">
        <v>2019</v>
      </c>
      <c r="CM18"/>
      <c r="CN18" s="679">
        <v>2020</v>
      </c>
      <c r="CO18"/>
      <c r="CP18" s="679">
        <v>2021</v>
      </c>
      <c r="CQ18"/>
      <c r="CR18" s="679">
        <v>2022</v>
      </c>
      <c r="CS18"/>
      <c r="CT18" s="679">
        <v>2023</v>
      </c>
      <c r="CU18"/>
      <c r="CV18" s="679">
        <v>2024</v>
      </c>
      <c r="CW18"/>
      <c r="CX18" s="679">
        <v>2025</v>
      </c>
      <c r="CY18"/>
      <c r="CZ18" s="679" t="s">
        <v>903</v>
      </c>
      <c r="DA18" s="679" t="s">
        <v>1061</v>
      </c>
      <c r="DB18"/>
      <c r="DC18"/>
      <c r="DD18"/>
      <c r="DE18"/>
      <c r="DF18"/>
      <c r="DG18"/>
      <c r="DH18"/>
      <c r="DI18"/>
      <c r="DJ18"/>
      <c r="DK18"/>
      <c r="DL18"/>
      <c r="DM18"/>
      <c r="DN18"/>
      <c r="DO18"/>
    </row>
    <row r="19" spans="2:119" s="542" customFormat="1">
      <c r="AM19" s="285" t="str">
        <f t="shared" si="9"/>
        <v/>
      </c>
      <c r="AN19" s="285" t="str">
        <f t="shared" si="9"/>
        <v/>
      </c>
      <c r="AO19" s="285" t="str">
        <f t="shared" si="9"/>
        <v/>
      </c>
      <c r="AP19" s="285" t="str">
        <f t="shared" si="9"/>
        <v/>
      </c>
      <c r="AQ19" s="285" t="str">
        <f t="shared" si="9"/>
        <v/>
      </c>
      <c r="AR19" s="285" t="str">
        <f t="shared" si="9"/>
        <v/>
      </c>
      <c r="BK19" s="285" t="str">
        <f t="shared" ref="BK19:BP22" si="11">IFERROR(GETPIVOTDATA("[Measures].[Somme de Conso_kWh_PCI]",$B$27,"[Tab_concat].[Combustible]","[Tab_concat].[Combustible].&amp;["&amp;BK11&amp;"]","[Tab_concat].[Annee]","[Tab_concat].[Annee].&amp;["&amp;BK$5&amp;"]","[Tableau_type].[Type]","[Tableau_type].[Type].&amp;[Consommation]","[Tableau_source].[Source]","[Tableau_source].[Source].&amp;["&amp;BK$7&amp;"]"),"")</f>
        <v/>
      </c>
      <c r="BL19" s="285" t="str">
        <f t="shared" si="11"/>
        <v/>
      </c>
      <c r="BM19" s="285" t="str">
        <f t="shared" si="11"/>
        <v/>
      </c>
      <c r="BN19" s="285" t="str">
        <f t="shared" si="11"/>
        <v/>
      </c>
      <c r="BO19" s="285" t="str">
        <f t="shared" si="11"/>
        <v/>
      </c>
      <c r="BP19" s="285" t="str">
        <f t="shared" si="11"/>
        <v/>
      </c>
      <c r="CI19" s="166" t="s">
        <v>64</v>
      </c>
      <c r="CJ19" s="679" t="s">
        <v>842</v>
      </c>
      <c r="CK19" s="679" t="s">
        <v>841</v>
      </c>
      <c r="CL19" s="679" t="s">
        <v>842</v>
      </c>
      <c r="CM19" s="679" t="s">
        <v>841</v>
      </c>
      <c r="CN19" s="679" t="s">
        <v>842</v>
      </c>
      <c r="CO19" s="679" t="s">
        <v>841</v>
      </c>
      <c r="CP19" s="679" t="s">
        <v>842</v>
      </c>
      <c r="CQ19" s="679" t="s">
        <v>841</v>
      </c>
      <c r="CR19" s="679" t="s">
        <v>842</v>
      </c>
      <c r="CS19" s="679" t="s">
        <v>841</v>
      </c>
      <c r="CT19" s="679" t="s">
        <v>842</v>
      </c>
      <c r="CU19" s="679" t="s">
        <v>841</v>
      </c>
      <c r="CV19" s="679" t="s">
        <v>842</v>
      </c>
      <c r="CW19" s="679" t="s">
        <v>841</v>
      </c>
      <c r="CX19" s="679" t="s">
        <v>842</v>
      </c>
      <c r="CY19" s="679" t="s">
        <v>841</v>
      </c>
      <c r="CZ19"/>
      <c r="DA19"/>
      <c r="DB19"/>
      <c r="DC19"/>
      <c r="DD19"/>
      <c r="DE19"/>
      <c r="DF19"/>
      <c r="DG19"/>
      <c r="DH19"/>
      <c r="DI19"/>
      <c r="DJ19"/>
      <c r="DK19"/>
      <c r="DL19"/>
      <c r="DM19"/>
      <c r="DN19"/>
      <c r="DO19"/>
    </row>
    <row r="20" spans="2:119" s="542" customFormat="1">
      <c r="AM20" s="285" t="str">
        <f t="shared" si="9"/>
        <v/>
      </c>
      <c r="AN20" s="285" t="str">
        <f t="shared" si="9"/>
        <v/>
      </c>
      <c r="AO20" s="285" t="str">
        <f t="shared" si="9"/>
        <v/>
      </c>
      <c r="AP20" s="285" t="str">
        <f t="shared" si="9"/>
        <v/>
      </c>
      <c r="AQ20" s="285" t="str">
        <f t="shared" si="9"/>
        <v/>
      </c>
      <c r="AR20" s="285" t="str">
        <f t="shared" si="9"/>
        <v/>
      </c>
      <c r="BK20" s="285" t="str">
        <f t="shared" si="11"/>
        <v/>
      </c>
      <c r="BL20" s="285" t="str">
        <f t="shared" si="11"/>
        <v/>
      </c>
      <c r="BM20" s="285" t="str">
        <f t="shared" si="11"/>
        <v/>
      </c>
      <c r="BN20" s="285" t="str">
        <f t="shared" si="11"/>
        <v/>
      </c>
      <c r="BO20" s="285" t="str">
        <f t="shared" si="11"/>
        <v/>
      </c>
      <c r="BP20" s="285" t="str">
        <f t="shared" si="11"/>
        <v/>
      </c>
      <c r="CI20" s="85" t="s">
        <v>26</v>
      </c>
      <c r="CJ20" s="205"/>
      <c r="CK20" s="205"/>
      <c r="CL20" s="205"/>
      <c r="CM20" s="205"/>
      <c r="CN20" s="205"/>
      <c r="CO20" s="205"/>
      <c r="CP20" s="205"/>
      <c r="CQ20" s="205"/>
      <c r="CR20" s="205"/>
      <c r="CS20" s="205"/>
      <c r="CT20" s="205"/>
      <c r="CU20" s="205"/>
      <c r="CV20" s="205"/>
      <c r="CW20" s="205"/>
      <c r="CX20" s="205"/>
      <c r="CY20" s="205"/>
      <c r="CZ20" s="205"/>
      <c r="DA20" s="205"/>
      <c r="DB20"/>
      <c r="DC20"/>
      <c r="DD20"/>
      <c r="DE20"/>
      <c r="DF20"/>
      <c r="DG20"/>
      <c r="DH20"/>
      <c r="DI20"/>
      <c r="DJ20"/>
      <c r="DK20"/>
      <c r="DL20"/>
      <c r="DM20"/>
      <c r="DN20"/>
      <c r="DO20"/>
    </row>
    <row r="21" spans="2:119" s="542" customFormat="1">
      <c r="AM21" s="285" t="str">
        <f t="shared" si="9"/>
        <v/>
      </c>
      <c r="AN21" s="285" t="str">
        <f t="shared" si="9"/>
        <v/>
      </c>
      <c r="AO21" s="285" t="str">
        <f t="shared" si="9"/>
        <v/>
      </c>
      <c r="AP21" s="285" t="str">
        <f t="shared" si="9"/>
        <v/>
      </c>
      <c r="AQ21" s="285" t="str">
        <f t="shared" si="9"/>
        <v/>
      </c>
      <c r="AR21" s="285" t="str">
        <f t="shared" si="9"/>
        <v/>
      </c>
      <c r="BK21" s="285" t="str">
        <f t="shared" si="11"/>
        <v/>
      </c>
      <c r="BL21" s="285" t="str">
        <f t="shared" si="11"/>
        <v/>
      </c>
      <c r="BM21" s="285" t="str">
        <f t="shared" si="11"/>
        <v/>
      </c>
      <c r="BN21" s="285" t="str">
        <f t="shared" si="11"/>
        <v/>
      </c>
      <c r="BO21" s="285" t="str">
        <f t="shared" si="11"/>
        <v/>
      </c>
      <c r="BP21" s="285" t="str">
        <f t="shared" si="11"/>
        <v/>
      </c>
      <c r="CI21" s="167" t="s">
        <v>35</v>
      </c>
      <c r="CJ21" s="205"/>
      <c r="CK21" s="205"/>
      <c r="CL21" s="205"/>
      <c r="CM21" s="205"/>
      <c r="CN21" s="205"/>
      <c r="CO21" s="205"/>
      <c r="CP21" s="205"/>
      <c r="CQ21" s="205"/>
      <c r="CR21" s="205"/>
      <c r="CS21" s="205"/>
      <c r="CT21" s="205"/>
      <c r="CU21" s="205"/>
      <c r="CV21" s="205"/>
      <c r="CW21" s="205"/>
      <c r="CX21" s="205"/>
      <c r="CY21" s="205"/>
      <c r="CZ21" s="205"/>
      <c r="DA21" s="205"/>
      <c r="DB21"/>
      <c r="DC21"/>
      <c r="DD21"/>
      <c r="DE21"/>
      <c r="DF21"/>
      <c r="DG21"/>
      <c r="DH21"/>
      <c r="DI21"/>
      <c r="DJ21"/>
      <c r="DK21"/>
      <c r="DL21"/>
      <c r="DM21"/>
      <c r="DN21"/>
      <c r="DO21"/>
    </row>
    <row r="22" spans="2:119" s="542" customFormat="1">
      <c r="AM22" s="285" t="str">
        <f t="shared" si="9"/>
        <v/>
      </c>
      <c r="AN22" s="285" t="str">
        <f t="shared" si="9"/>
        <v/>
      </c>
      <c r="AO22" s="285" t="str">
        <f t="shared" si="9"/>
        <v/>
      </c>
      <c r="AP22" s="285" t="str">
        <f t="shared" si="9"/>
        <v/>
      </c>
      <c r="AQ22" s="285" t="str">
        <f t="shared" si="9"/>
        <v/>
      </c>
      <c r="AR22" s="285" t="str">
        <f t="shared" si="9"/>
        <v/>
      </c>
      <c r="BK22" s="285" t="str">
        <f t="shared" si="11"/>
        <v/>
      </c>
      <c r="BL22" s="285" t="str">
        <f t="shared" si="11"/>
        <v/>
      </c>
      <c r="BM22" s="285" t="str">
        <f t="shared" si="11"/>
        <v/>
      </c>
      <c r="BN22" s="285" t="str">
        <f t="shared" si="11"/>
        <v/>
      </c>
      <c r="BO22" s="285" t="str">
        <f t="shared" si="11"/>
        <v/>
      </c>
      <c r="BP22" s="285" t="str">
        <f t="shared" si="11"/>
        <v/>
      </c>
      <c r="CI22" s="353" t="s">
        <v>37</v>
      </c>
      <c r="CJ22" s="205">
        <v>0.24010554089709762</v>
      </c>
      <c r="CK22" s="205">
        <v>0</v>
      </c>
      <c r="CL22" s="205">
        <v>87.638522427440634</v>
      </c>
      <c r="CM22" s="205">
        <v>0</v>
      </c>
      <c r="CN22" s="205">
        <v>85.225597383774968</v>
      </c>
      <c r="CO22" s="205">
        <v>456.40046478873239</v>
      </c>
      <c r="CP22" s="205">
        <v>32.901408450704224</v>
      </c>
      <c r="CQ22" s="205">
        <v>193.05415492957744</v>
      </c>
      <c r="CR22" s="205">
        <v>44.258366197183101</v>
      </c>
      <c r="CS22" s="205">
        <v>270.03167361502346</v>
      </c>
      <c r="CT22" s="205">
        <v>70.169333333333327</v>
      </c>
      <c r="CU22" s="205">
        <v>447.81254000000001</v>
      </c>
      <c r="CV22" s="205">
        <v>81.668189509306259</v>
      </c>
      <c r="CW22" s="205">
        <v>541.26708037225046</v>
      </c>
      <c r="CX22" s="205">
        <v>68.898477157360404</v>
      </c>
      <c r="CY22" s="205">
        <v>474.84408629441623</v>
      </c>
      <c r="CZ22" s="205">
        <v>470.99999999999989</v>
      </c>
      <c r="DA22" s="205">
        <v>2383.41</v>
      </c>
      <c r="DB22"/>
      <c r="DC22"/>
      <c r="DD22"/>
      <c r="DE22"/>
      <c r="DF22"/>
      <c r="DG22"/>
      <c r="DH22"/>
      <c r="DI22"/>
      <c r="DJ22"/>
      <c r="DK22"/>
      <c r="DL22"/>
      <c r="DM22"/>
      <c r="DN22"/>
      <c r="DO22"/>
    </row>
    <row r="23" spans="2:119" s="542" customFormat="1">
      <c r="CI23" s="85" t="s">
        <v>86</v>
      </c>
      <c r="CJ23" s="205">
        <v>0.24010554089709762</v>
      </c>
      <c r="CK23" s="205">
        <v>0</v>
      </c>
      <c r="CL23" s="205">
        <v>87.638522427440634</v>
      </c>
      <c r="CM23" s="205">
        <v>0</v>
      </c>
      <c r="CN23" s="205">
        <v>85.225597383774968</v>
      </c>
      <c r="CO23" s="205">
        <v>456.40046478873239</v>
      </c>
      <c r="CP23" s="205">
        <v>32.901408450704224</v>
      </c>
      <c r="CQ23" s="205">
        <v>193.05415492957744</v>
      </c>
      <c r="CR23" s="205">
        <v>44.258366197183101</v>
      </c>
      <c r="CS23" s="205">
        <v>270.03167361502346</v>
      </c>
      <c r="CT23" s="205">
        <v>70.169333333333327</v>
      </c>
      <c r="CU23" s="205">
        <v>447.81254000000001</v>
      </c>
      <c r="CV23" s="205">
        <v>81.668189509306259</v>
      </c>
      <c r="CW23" s="205">
        <v>541.26708037225046</v>
      </c>
      <c r="CX23" s="205">
        <v>68.898477157360404</v>
      </c>
      <c r="CY23" s="205">
        <v>474.84408629441623</v>
      </c>
      <c r="CZ23" s="205">
        <v>470.99999999999989</v>
      </c>
      <c r="DA23" s="205">
        <v>2383.41</v>
      </c>
      <c r="DB23"/>
      <c r="DC23"/>
      <c r="DD23"/>
      <c r="DE23"/>
      <c r="DF23"/>
      <c r="DG23"/>
      <c r="DH23"/>
      <c r="DI23"/>
      <c r="DJ23"/>
      <c r="DK23"/>
      <c r="DL23"/>
      <c r="DM23"/>
      <c r="DN23"/>
      <c r="DO23"/>
    </row>
    <row r="24" spans="2:119" s="542" customFormat="1"/>
    <row r="25" spans="2:119" s="542" customFormat="1"/>
    <row r="26" spans="2:119" s="542" customFormat="1"/>
    <row r="27" spans="2:119" s="542" customFormat="1">
      <c r="B27"/>
      <c r="C27" s="166" t="s">
        <v>74</v>
      </c>
      <c r="D27"/>
      <c r="E27"/>
      <c r="F27"/>
      <c r="G27"/>
      <c r="H27"/>
      <c r="I27"/>
      <c r="J27"/>
      <c r="K27"/>
      <c r="L27"/>
      <c r="M27"/>
      <c r="N27"/>
      <c r="O27"/>
      <c r="P27"/>
      <c r="Q27"/>
      <c r="R27"/>
      <c r="S27"/>
      <c r="T27"/>
      <c r="U27"/>
      <c r="V27"/>
      <c r="W27"/>
      <c r="X27"/>
      <c r="Y27"/>
      <c r="Z27"/>
      <c r="AA27"/>
      <c r="AB27"/>
      <c r="AC27"/>
      <c r="AD27"/>
      <c r="AE27"/>
      <c r="AF27"/>
      <c r="AG27"/>
      <c r="AH27"/>
      <c r="AI27"/>
      <c r="AJ27"/>
      <c r="AK27"/>
      <c r="AL27"/>
    </row>
    <row r="28" spans="2:119" s="542" customFormat="1">
      <c r="B28"/>
      <c r="C28" s="679">
        <v>2010</v>
      </c>
      <c r="D28"/>
      <c r="E28" s="679">
        <v>2011</v>
      </c>
      <c r="F28"/>
      <c r="G28" s="679">
        <v>2012</v>
      </c>
      <c r="H28"/>
      <c r="I28" s="679">
        <v>2013</v>
      </c>
      <c r="J28"/>
      <c r="K28" s="679">
        <v>2014</v>
      </c>
      <c r="L28"/>
      <c r="M28" s="679">
        <v>2015</v>
      </c>
      <c r="N28"/>
      <c r="O28" s="679">
        <v>2016</v>
      </c>
      <c r="P28"/>
      <c r="Q28" s="679">
        <v>2017</v>
      </c>
      <c r="R28"/>
      <c r="S28" s="679">
        <v>2018</v>
      </c>
      <c r="T28"/>
      <c r="U28" s="679">
        <v>2019</v>
      </c>
      <c r="V28"/>
      <c r="W28" s="679">
        <v>2020</v>
      </c>
      <c r="X28"/>
      <c r="Y28" s="679">
        <v>2021</v>
      </c>
      <c r="Z28"/>
      <c r="AA28" s="679">
        <v>2022</v>
      </c>
      <c r="AB28"/>
      <c r="AC28" s="679">
        <v>2023</v>
      </c>
      <c r="AD28"/>
      <c r="AE28" s="679">
        <v>2024</v>
      </c>
      <c r="AF28"/>
      <c r="AG28" s="679">
        <v>2025</v>
      </c>
      <c r="AH28"/>
      <c r="AI28" s="679">
        <v>2026</v>
      </c>
      <c r="AJ28"/>
      <c r="AK28" s="679" t="s">
        <v>904</v>
      </c>
      <c r="AL28" s="679" t="s">
        <v>1061</v>
      </c>
    </row>
    <row r="29" spans="2:119" s="542" customFormat="1">
      <c r="B29" s="166" t="s">
        <v>64</v>
      </c>
      <c r="C29" s="679" t="s">
        <v>837</v>
      </c>
      <c r="D29" s="679" t="s">
        <v>841</v>
      </c>
      <c r="E29" s="679" t="s">
        <v>837</v>
      </c>
      <c r="F29" s="679" t="s">
        <v>841</v>
      </c>
      <c r="G29" s="679" t="s">
        <v>837</v>
      </c>
      <c r="H29" s="679" t="s">
        <v>841</v>
      </c>
      <c r="I29" s="679" t="s">
        <v>837</v>
      </c>
      <c r="J29" s="679" t="s">
        <v>841</v>
      </c>
      <c r="K29" s="679" t="s">
        <v>837</v>
      </c>
      <c r="L29" s="679" t="s">
        <v>841</v>
      </c>
      <c r="M29" s="679" t="s">
        <v>837</v>
      </c>
      <c r="N29" s="679" t="s">
        <v>841</v>
      </c>
      <c r="O29" s="679" t="s">
        <v>837</v>
      </c>
      <c r="P29" s="679" t="s">
        <v>841</v>
      </c>
      <c r="Q29" s="679" t="s">
        <v>837</v>
      </c>
      <c r="R29" s="679" t="s">
        <v>841</v>
      </c>
      <c r="S29" s="679" t="s">
        <v>837</v>
      </c>
      <c r="T29" s="679" t="s">
        <v>841</v>
      </c>
      <c r="U29" s="679" t="s">
        <v>837</v>
      </c>
      <c r="V29" s="679" t="s">
        <v>841</v>
      </c>
      <c r="W29" s="679" t="s">
        <v>837</v>
      </c>
      <c r="X29" s="679" t="s">
        <v>841</v>
      </c>
      <c r="Y29" s="679" t="s">
        <v>837</v>
      </c>
      <c r="Z29" s="679" t="s">
        <v>841</v>
      </c>
      <c r="AA29" s="679" t="s">
        <v>837</v>
      </c>
      <c r="AB29" s="679" t="s">
        <v>841</v>
      </c>
      <c r="AC29" s="679" t="s">
        <v>837</v>
      </c>
      <c r="AD29" s="679" t="s">
        <v>841</v>
      </c>
      <c r="AE29" s="679" t="s">
        <v>837</v>
      </c>
      <c r="AF29" s="679" t="s">
        <v>841</v>
      </c>
      <c r="AG29" s="679" t="s">
        <v>837</v>
      </c>
      <c r="AH29" s="679" t="s">
        <v>841</v>
      </c>
      <c r="AI29" s="679" t="s">
        <v>837</v>
      </c>
      <c r="AJ29" s="679" t="s">
        <v>841</v>
      </c>
      <c r="AK29"/>
      <c r="AL29"/>
    </row>
    <row r="30" spans="2:119">
      <c r="B30" s="85" t="s">
        <v>26</v>
      </c>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row>
    <row r="31" spans="2:119">
      <c r="B31" s="167" t="s">
        <v>31</v>
      </c>
      <c r="C31" s="205"/>
      <c r="D31" s="205"/>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row>
    <row r="32" spans="2:119">
      <c r="B32" s="353" t="s">
        <v>181</v>
      </c>
      <c r="C32" s="205">
        <v>63963.963963963979</v>
      </c>
      <c r="D32" s="205">
        <v>0</v>
      </c>
      <c r="E32" s="205">
        <v>45045.045045045052</v>
      </c>
      <c r="F32" s="205">
        <v>0</v>
      </c>
      <c r="G32" s="205">
        <v>54954.954954954956</v>
      </c>
      <c r="H32" s="205">
        <v>0</v>
      </c>
      <c r="I32" s="205">
        <v>54954.954954954963</v>
      </c>
      <c r="J32" s="205">
        <v>0</v>
      </c>
      <c r="K32" s="205">
        <v>45045.045045045052</v>
      </c>
      <c r="L32" s="205">
        <v>0</v>
      </c>
      <c r="M32" s="205">
        <v>48648.648648648654</v>
      </c>
      <c r="N32" s="205">
        <v>0</v>
      </c>
      <c r="O32" s="205">
        <v>51351.351351351361</v>
      </c>
      <c r="P32" s="205">
        <v>0</v>
      </c>
      <c r="Q32" s="205">
        <v>48648.648648648654</v>
      </c>
      <c r="R32" s="205">
        <v>0</v>
      </c>
      <c r="S32" s="205">
        <v>49549.549549549556</v>
      </c>
      <c r="T32" s="205">
        <v>0</v>
      </c>
      <c r="U32" s="205">
        <v>52252.252252252263</v>
      </c>
      <c r="V32" s="205">
        <v>0</v>
      </c>
      <c r="W32" s="205">
        <v>56137.169427492045</v>
      </c>
      <c r="X32" s="205">
        <v>3918.9017255021331</v>
      </c>
      <c r="Y32" s="205">
        <v>53613.455390874733</v>
      </c>
      <c r="Z32" s="205">
        <v>3817.7570967741949</v>
      </c>
      <c r="AA32" s="205">
        <v>40521.447253705337</v>
      </c>
      <c r="AB32" s="205">
        <v>3023.9410967741978</v>
      </c>
      <c r="AC32" s="205">
        <v>54070.270270270121</v>
      </c>
      <c r="AD32" s="205">
        <v>3966.1260000000066</v>
      </c>
      <c r="AE32" s="205">
        <v>56700.464981110272</v>
      </c>
      <c r="AF32" s="205">
        <v>7555.1829032258001</v>
      </c>
      <c r="AG32" s="205">
        <v>55124.411508282443</v>
      </c>
      <c r="AH32" s="205">
        <v>7010.7287096774162</v>
      </c>
      <c r="AI32" s="205">
        <v>30815.664051147978</v>
      </c>
      <c r="AJ32" s="205">
        <v>3758.4183870967763</v>
      </c>
      <c r="AK32" s="205">
        <v>861397.2972972967</v>
      </c>
      <c r="AL32" s="205">
        <v>33051.055919050435</v>
      </c>
    </row>
    <row r="33" spans="2:38">
      <c r="B33" s="167" t="s">
        <v>27</v>
      </c>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row>
    <row r="34" spans="2:38">
      <c r="B34" s="353" t="s">
        <v>29</v>
      </c>
      <c r="C34" s="205"/>
      <c r="D34" s="205"/>
      <c r="E34" s="205">
        <v>3584.2950034223131</v>
      </c>
      <c r="F34" s="205">
        <v>0</v>
      </c>
      <c r="G34" s="205">
        <v>3594.1149897330597</v>
      </c>
      <c r="H34" s="205">
        <v>0</v>
      </c>
      <c r="I34" s="205">
        <v>3584.2950034223131</v>
      </c>
      <c r="J34" s="205">
        <v>0</v>
      </c>
      <c r="K34" s="205">
        <v>3584.2950034223131</v>
      </c>
      <c r="L34" s="205">
        <v>0</v>
      </c>
      <c r="M34" s="205">
        <v>14756</v>
      </c>
      <c r="N34" s="205">
        <v>0</v>
      </c>
      <c r="O34" s="205">
        <v>14145.000000000002</v>
      </c>
      <c r="P34" s="205">
        <v>0</v>
      </c>
      <c r="Q34" s="205">
        <v>13931</v>
      </c>
      <c r="R34" s="205">
        <v>0</v>
      </c>
      <c r="S34" s="205">
        <v>13397</v>
      </c>
      <c r="T34" s="205">
        <v>0</v>
      </c>
      <c r="U34" s="205">
        <v>13714</v>
      </c>
      <c r="V34" s="205">
        <v>0</v>
      </c>
      <c r="W34" s="205">
        <v>13205.347107438012</v>
      </c>
      <c r="X34" s="205">
        <v>2038.6702479338833</v>
      </c>
      <c r="Y34" s="205">
        <v>11671.265795787756</v>
      </c>
      <c r="Z34" s="205">
        <v>2211.9139310559053</v>
      </c>
      <c r="AA34" s="205">
        <v>13221.903225806447</v>
      </c>
      <c r="AB34" s="205">
        <v>2677.2701500397666</v>
      </c>
      <c r="AC34" s="205">
        <v>12561.419354838688</v>
      </c>
      <c r="AD34" s="205">
        <v>3633.3149617254526</v>
      </c>
      <c r="AE34" s="205">
        <v>13234.539925965066</v>
      </c>
      <c r="AF34" s="205">
        <v>3745.2847012162929</v>
      </c>
      <c r="AG34" s="205">
        <v>13798.524590163939</v>
      </c>
      <c r="AH34" s="205">
        <v>3298.4885245901596</v>
      </c>
      <c r="AI34" s="205"/>
      <c r="AJ34" s="205"/>
      <c r="AK34" s="205">
        <v>161983.00000000035</v>
      </c>
      <c r="AL34" s="205">
        <v>17604.94251656151</v>
      </c>
    </row>
    <row r="35" spans="2:38">
      <c r="B35" s="85" t="s">
        <v>86</v>
      </c>
      <c r="C35" s="205">
        <v>63963.963963963979</v>
      </c>
      <c r="D35" s="205">
        <v>0</v>
      </c>
      <c r="E35" s="205">
        <v>48629.340048467369</v>
      </c>
      <c r="F35" s="205">
        <v>0</v>
      </c>
      <c r="G35" s="205">
        <v>58549.069944688017</v>
      </c>
      <c r="H35" s="205">
        <v>0</v>
      </c>
      <c r="I35" s="205">
        <v>58539.249958377273</v>
      </c>
      <c r="J35" s="205">
        <v>0</v>
      </c>
      <c r="K35" s="205">
        <v>48629.340048467362</v>
      </c>
      <c r="L35" s="205">
        <v>0</v>
      </c>
      <c r="M35" s="205">
        <v>63404.648648648654</v>
      </c>
      <c r="N35" s="205">
        <v>0</v>
      </c>
      <c r="O35" s="205">
        <v>65496.351351351361</v>
      </c>
      <c r="P35" s="205">
        <v>0</v>
      </c>
      <c r="Q35" s="205">
        <v>62579.648648648654</v>
      </c>
      <c r="R35" s="205">
        <v>0</v>
      </c>
      <c r="S35" s="205">
        <v>62946.549549549556</v>
      </c>
      <c r="T35" s="205">
        <v>0</v>
      </c>
      <c r="U35" s="205">
        <v>65966.252252252263</v>
      </c>
      <c r="V35" s="205">
        <v>0</v>
      </c>
      <c r="W35" s="205">
        <v>69342.516534930066</v>
      </c>
      <c r="X35" s="205">
        <v>5957.5719734360136</v>
      </c>
      <c r="Y35" s="205">
        <v>65284.721186662595</v>
      </c>
      <c r="Z35" s="205">
        <v>6029.6710278300916</v>
      </c>
      <c r="AA35" s="205">
        <v>53743.350479511879</v>
      </c>
      <c r="AB35" s="205">
        <v>5701.2112468139794</v>
      </c>
      <c r="AC35" s="205">
        <v>66631.68962510876</v>
      </c>
      <c r="AD35" s="205">
        <v>7599.4409617254532</v>
      </c>
      <c r="AE35" s="205">
        <v>69935.004907075345</v>
      </c>
      <c r="AF35" s="205">
        <v>11300.467604442096</v>
      </c>
      <c r="AG35" s="205">
        <v>68922.936098446386</v>
      </c>
      <c r="AH35" s="205">
        <v>10309.217234267577</v>
      </c>
      <c r="AI35" s="205">
        <v>30815.664051147978</v>
      </c>
      <c r="AJ35" s="205">
        <v>3758.4183870967763</v>
      </c>
      <c r="AK35" s="205">
        <v>1023380.2972972968</v>
      </c>
      <c r="AL35" s="205">
        <v>50655.998435611953</v>
      </c>
    </row>
  </sheetData>
  <mergeCells count="68">
    <mergeCell ref="II1:IM2"/>
    <mergeCell ref="CC4:CH4"/>
    <mergeCell ref="JG1:JI2"/>
    <mergeCell ref="JJ1:JJ2"/>
    <mergeCell ref="D4:J4"/>
    <mergeCell ref="K4:M4"/>
    <mergeCell ref="O4:T4"/>
    <mergeCell ref="U4:Z4"/>
    <mergeCell ref="AA4:AF4"/>
    <mergeCell ref="AG4:AL4"/>
    <mergeCell ref="AM4:AR4"/>
    <mergeCell ref="AS4:AX4"/>
    <mergeCell ref="GZ1:HD2"/>
    <mergeCell ref="HE1:HE2"/>
    <mergeCell ref="HF1:HJ2"/>
    <mergeCell ref="HL1:HO2"/>
    <mergeCell ref="HQ1:HV1"/>
    <mergeCell ref="AY4:BD4"/>
    <mergeCell ref="BE4:BJ4"/>
    <mergeCell ref="BK4:BP4"/>
    <mergeCell ref="BQ4:BV4"/>
    <mergeCell ref="BW4:CB4"/>
    <mergeCell ref="EX4:FC4"/>
    <mergeCell ref="CI4:CN4"/>
    <mergeCell ref="CR4:CU4"/>
    <mergeCell ref="CV4:DA4"/>
    <mergeCell ref="DB4:DG4"/>
    <mergeCell ref="DH4:DM4"/>
    <mergeCell ref="DN4:DS4"/>
    <mergeCell ref="DT4:DY4"/>
    <mergeCell ref="DZ4:EE4"/>
    <mergeCell ref="EF4:EK4"/>
    <mergeCell ref="EL4:EQ4"/>
    <mergeCell ref="ER4:EW4"/>
    <mergeCell ref="HH4:HL4"/>
    <mergeCell ref="FE4:FH4"/>
    <mergeCell ref="FI4:FL4"/>
    <mergeCell ref="FM4:FP4"/>
    <mergeCell ref="FQ4:FT4"/>
    <mergeCell ref="FU4:FX4"/>
    <mergeCell ref="FY4:GB4"/>
    <mergeCell ref="GD4:GI4"/>
    <mergeCell ref="GJ4:GO4"/>
    <mergeCell ref="GP4:GU4"/>
    <mergeCell ref="GV4:GZ4"/>
    <mergeCell ref="HA4:HF4"/>
    <mergeCell ref="JW4:KB4"/>
    <mergeCell ref="HN4:HR4"/>
    <mergeCell ref="HS4:HX4"/>
    <mergeCell ref="HY4:ID4"/>
    <mergeCell ref="IE4:IJ4"/>
    <mergeCell ref="IK4:IP4"/>
    <mergeCell ref="IQ4:IT4"/>
    <mergeCell ref="IU4:IX4"/>
    <mergeCell ref="IY4:JD4"/>
    <mergeCell ref="JE4:JJ4"/>
    <mergeCell ref="JK4:JP4"/>
    <mergeCell ref="JQ4:JV4"/>
    <mergeCell ref="LM4:LR4"/>
    <mergeCell ref="LS4:LV4"/>
    <mergeCell ref="LX4:MB4"/>
    <mergeCell ref="MC4:MG4"/>
    <mergeCell ref="KC4:KH4"/>
    <mergeCell ref="KI4:KN4"/>
    <mergeCell ref="KO4:KT4"/>
    <mergeCell ref="KU4:KZ4"/>
    <mergeCell ref="LA4:LF4"/>
    <mergeCell ref="LG4:LL4"/>
  </mergeCells>
  <conditionalFormatting sqref="A5">
    <cfRule type="containsText" dxfId="133" priority="1" operator="containsText" text="FINESS GEO manquant">
      <formula>NOT(ISERROR(SEARCH("FINESS GEO manquant",A5)))</formula>
    </cfRule>
  </conditionalFormatting>
  <conditionalFormatting sqref="B6">
    <cfRule type="duplicateValues" dxfId="132" priority="11"/>
  </conditionalFormatting>
  <conditionalFormatting sqref="GP6:GU6">
    <cfRule type="cellIs" dxfId="131" priority="6" operator="between">
      <formula>$HK$2</formula>
      <formula>100000000000</formula>
    </cfRule>
    <cfRule type="cellIs" dxfId="130" priority="7" operator="between">
      <formula>$HK$1</formula>
      <formula>$HK$2</formula>
    </cfRule>
  </conditionalFormatting>
  <conditionalFormatting sqref="GV6:GX6">
    <cfRule type="cellIs" dxfId="129" priority="4" operator="between">
      <formula>-$HP$1</formula>
      <formula>-$HP$2</formula>
    </cfRule>
    <cfRule type="cellIs" dxfId="128" priority="5" operator="between">
      <formula>$HP$2</formula>
      <formula>100000000000000</formula>
    </cfRule>
    <cfRule type="cellIs" dxfId="127" priority="9" operator="between">
      <formula>-$HP$2</formula>
      <formula>-100000000000000</formula>
    </cfRule>
    <cfRule type="cellIs" dxfId="126" priority="10" operator="between">
      <formula>$HP$1</formula>
      <formula>$HP$2</formula>
    </cfRule>
  </conditionalFormatting>
  <conditionalFormatting sqref="HS6:HX6">
    <cfRule type="cellIs" dxfId="125" priority="2" operator="between">
      <formula>$IN$2</formula>
      <formula>1E+30</formula>
    </cfRule>
    <cfRule type="cellIs" dxfId="124" priority="3" operator="lessThan">
      <formula>$IN$1</formula>
    </cfRule>
  </conditionalFormatting>
  <conditionalFormatting sqref="IU6">
    <cfRule type="cellIs" dxfId="123" priority="8" operator="between">
      <formula>$JJ$1</formula>
      <formula>1000000000000</formula>
    </cfRule>
  </conditionalFormatting>
  <dataValidations count="1">
    <dataValidation type="whole" allowBlank="1" showInputMessage="1" showErrorMessage="1" errorTitle="Format de donnée non valide" error="Merci d'indiquer des m²_x000a_Si ces surfaces sont &quot;incluses dans&quot;, &quot;en cours de cession&quot;, etc =&gt; le mettre en commentaire" sqref="Y6:Z6 O6:T6">
      <formula1>0</formula1>
      <formula2>10000000000</formula2>
    </dataValidation>
  </dataValidations>
  <pageMargins left="0.7" right="0.7" top="0.75" bottom="0.75" header="0.3" footer="0.3"/>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5"/>
  <sheetViews>
    <sheetView workbookViewId="0">
      <selection activeCell="B4" sqref="B4"/>
    </sheetView>
  </sheetViews>
  <sheetFormatPr baseColWidth="10" defaultRowHeight="14.5"/>
  <cols>
    <col min="2" max="2" width="24.26953125" bestFit="1" customWidth="1"/>
    <col min="3" max="3" width="23.81640625" bestFit="1" customWidth="1"/>
    <col min="4" max="12" width="6" bestFit="1" customWidth="1"/>
    <col min="13" max="15" width="12" bestFit="1" customWidth="1"/>
    <col min="16" max="16" width="6" bestFit="1" customWidth="1"/>
    <col min="17" max="18" width="12" bestFit="1" customWidth="1"/>
    <col min="19" max="19" width="11" bestFit="1" customWidth="1"/>
    <col min="20" max="20" width="12.6328125" bestFit="1" customWidth="1"/>
  </cols>
  <sheetData>
    <row r="4" spans="2:3">
      <c r="B4" s="166" t="s">
        <v>842</v>
      </c>
      <c r="C4" s="166" t="s">
        <v>74</v>
      </c>
    </row>
    <row r="5" spans="2:3">
      <c r="B5" s="166" t="s">
        <v>64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7"/>
  <dimension ref="A2:AG105"/>
  <sheetViews>
    <sheetView topLeftCell="N19" zoomScale="70" zoomScaleNormal="70" workbookViewId="0">
      <selection activeCell="W43" sqref="W43"/>
    </sheetView>
  </sheetViews>
  <sheetFormatPr baseColWidth="10" defaultColWidth="11.36328125" defaultRowHeight="14.5"/>
  <cols>
    <col min="1" max="1" width="47" bestFit="1" customWidth="1"/>
    <col min="2" max="2" width="27.7265625" customWidth="1"/>
    <col min="3" max="3" width="13.81640625" customWidth="1"/>
    <col min="4" max="4" width="19.6328125" bestFit="1" customWidth="1"/>
    <col min="6" max="6" width="17" customWidth="1"/>
    <col min="7" max="7" width="15.26953125" customWidth="1"/>
    <col min="9" max="9" width="21.6328125" customWidth="1"/>
    <col min="10" max="10" width="29.7265625" customWidth="1"/>
    <col min="11" max="11" width="20.81640625" customWidth="1"/>
    <col min="12" max="12" width="29.7265625" style="411" customWidth="1"/>
    <col min="13" max="13" width="26" style="411" customWidth="1"/>
    <col min="14" max="14" width="30.6328125" customWidth="1"/>
    <col min="15" max="15" width="26.81640625" customWidth="1"/>
    <col min="16" max="16" width="24.7265625" customWidth="1"/>
    <col min="17" max="17" width="17" customWidth="1"/>
    <col min="18" max="18" width="11.81640625" customWidth="1"/>
    <col min="23" max="23" width="39.36328125" customWidth="1"/>
    <col min="24" max="24" width="22.6328125" customWidth="1"/>
    <col min="26" max="26" width="24.6328125" customWidth="1"/>
    <col min="28" max="29" width="23" bestFit="1" customWidth="1"/>
    <col min="30" max="30" width="27.08984375" bestFit="1" customWidth="1"/>
  </cols>
  <sheetData>
    <row r="2" spans="1:33">
      <c r="O2" t="s">
        <v>135</v>
      </c>
      <c r="P2" t="s">
        <v>136</v>
      </c>
      <c r="Q2" t="s">
        <v>20</v>
      </c>
      <c r="R2" t="s">
        <v>21</v>
      </c>
      <c r="S2" t="s">
        <v>137</v>
      </c>
      <c r="T2" t="s">
        <v>27</v>
      </c>
      <c r="U2" t="s">
        <v>31</v>
      </c>
      <c r="V2" t="s">
        <v>138</v>
      </c>
      <c r="W2" t="s">
        <v>90</v>
      </c>
      <c r="X2" t="s">
        <v>35</v>
      </c>
      <c r="Y2" t="s">
        <v>139</v>
      </c>
      <c r="Z2" t="s">
        <v>140</v>
      </c>
      <c r="AA2" t="s">
        <v>141</v>
      </c>
      <c r="AB2" t="s">
        <v>91</v>
      </c>
      <c r="AC2" t="s">
        <v>94</v>
      </c>
      <c r="AD2" t="s">
        <v>95</v>
      </c>
      <c r="AE2" t="s">
        <v>96</v>
      </c>
      <c r="AF2" s="542" t="s">
        <v>1059</v>
      </c>
      <c r="AG2" t="s">
        <v>1067</v>
      </c>
    </row>
    <row r="3" spans="1:33" ht="15" thickBot="1">
      <c r="A3" t="s">
        <v>142</v>
      </c>
      <c r="O3" s="86" t="s">
        <v>143</v>
      </c>
      <c r="P3" s="87" t="s">
        <v>144</v>
      </c>
      <c r="Q3" t="s">
        <v>26</v>
      </c>
      <c r="R3" t="s">
        <v>35</v>
      </c>
      <c r="S3" t="s">
        <v>139</v>
      </c>
      <c r="T3" t="s">
        <v>28</v>
      </c>
      <c r="U3" t="s">
        <v>145</v>
      </c>
      <c r="V3" t="s">
        <v>146</v>
      </c>
      <c r="W3" t="s">
        <v>147</v>
      </c>
      <c r="X3" t="s">
        <v>36</v>
      </c>
      <c r="Y3" t="s">
        <v>148</v>
      </c>
      <c r="Z3" t="s">
        <v>149</v>
      </c>
      <c r="AA3" t="s">
        <v>150</v>
      </c>
      <c r="AB3" t="s">
        <v>94</v>
      </c>
      <c r="AC3" t="s">
        <v>151</v>
      </c>
      <c r="AD3" t="s">
        <v>152</v>
      </c>
      <c r="AE3" t="s">
        <v>153</v>
      </c>
      <c r="AF3" s="542" t="s">
        <v>1062</v>
      </c>
      <c r="AG3" t="s">
        <v>1068</v>
      </c>
    </row>
    <row r="4" spans="1:33" ht="39.5" thickBot="1">
      <c r="A4" s="3" t="s">
        <v>154</v>
      </c>
      <c r="B4" s="98" t="s">
        <v>155</v>
      </c>
      <c r="C4" s="529" t="s">
        <v>156</v>
      </c>
      <c r="D4" s="99"/>
      <c r="E4" s="4" t="s">
        <v>157</v>
      </c>
      <c r="F4" s="5" t="s">
        <v>158</v>
      </c>
      <c r="G4" t="s">
        <v>839</v>
      </c>
      <c r="H4" s="6" t="s">
        <v>159</v>
      </c>
      <c r="O4" s="86" t="s">
        <v>160</v>
      </c>
      <c r="P4" s="87" t="s">
        <v>161</v>
      </c>
      <c r="Q4" t="s">
        <v>137</v>
      </c>
      <c r="R4" t="s">
        <v>27</v>
      </c>
      <c r="S4" t="s">
        <v>140</v>
      </c>
      <c r="U4" t="s">
        <v>162</v>
      </c>
      <c r="V4" t="s">
        <v>163</v>
      </c>
      <c r="W4" t="s">
        <v>927</v>
      </c>
      <c r="X4" t="s">
        <v>165</v>
      </c>
      <c r="Y4" t="s">
        <v>166</v>
      </c>
      <c r="Z4" t="s">
        <v>167</v>
      </c>
      <c r="AB4" t="s">
        <v>95</v>
      </c>
      <c r="AC4" t="s">
        <v>168</v>
      </c>
      <c r="AD4" t="s">
        <v>169</v>
      </c>
      <c r="AE4" t="s">
        <v>170</v>
      </c>
      <c r="AF4" s="542"/>
    </row>
    <row r="5" spans="1:33">
      <c r="A5" s="7" t="s">
        <v>147</v>
      </c>
      <c r="B5" s="8">
        <v>2700</v>
      </c>
      <c r="C5" s="8">
        <v>2700</v>
      </c>
      <c r="D5" s="9" t="s">
        <v>171</v>
      </c>
      <c r="E5" s="10">
        <v>2.4E-2</v>
      </c>
      <c r="F5" s="11">
        <v>1.1100000000000001</v>
      </c>
      <c r="G5">
        <f>F5</f>
        <v>1.1100000000000001</v>
      </c>
      <c r="H5" s="12">
        <v>0.01</v>
      </c>
      <c r="J5" s="30" t="s">
        <v>919</v>
      </c>
      <c r="K5" s="411"/>
      <c r="L5" s="411" t="s">
        <v>921</v>
      </c>
      <c r="O5" s="86" t="s">
        <v>172</v>
      </c>
      <c r="P5" s="87" t="s">
        <v>173</v>
      </c>
      <c r="Q5" t="s">
        <v>91</v>
      </c>
      <c r="R5" t="s">
        <v>31</v>
      </c>
      <c r="S5" t="s">
        <v>141</v>
      </c>
      <c r="U5" t="s">
        <v>32</v>
      </c>
      <c r="W5" t="s">
        <v>928</v>
      </c>
      <c r="Z5" t="s">
        <v>175</v>
      </c>
      <c r="AB5" t="s">
        <v>96</v>
      </c>
      <c r="AC5" t="s">
        <v>146</v>
      </c>
      <c r="AD5" t="s">
        <v>176</v>
      </c>
      <c r="AE5" t="s">
        <v>177</v>
      </c>
      <c r="AF5" s="542"/>
    </row>
    <row r="6" spans="1:33">
      <c r="A6" s="7" t="s">
        <v>927</v>
      </c>
      <c r="B6" s="8">
        <v>4200</v>
      </c>
      <c r="C6" s="8">
        <v>2700</v>
      </c>
      <c r="D6" s="9" t="s">
        <v>171</v>
      </c>
      <c r="E6" s="10">
        <v>2.4E-2</v>
      </c>
      <c r="F6" s="11">
        <v>1.1100000000000001</v>
      </c>
      <c r="G6" s="528">
        <v>1.1100000000000001</v>
      </c>
      <c r="H6" s="12">
        <v>0.01</v>
      </c>
      <c r="J6" t="s">
        <v>916</v>
      </c>
      <c r="K6" s="411"/>
      <c r="O6" s="86" t="s">
        <v>178</v>
      </c>
      <c r="P6" s="87" t="s">
        <v>179</v>
      </c>
      <c r="R6" s="542" t="s">
        <v>1059</v>
      </c>
      <c r="S6" s="658" t="s">
        <v>1067</v>
      </c>
      <c r="U6" t="s">
        <v>180</v>
      </c>
      <c r="W6" t="s">
        <v>929</v>
      </c>
    </row>
    <row r="7" spans="1:33">
      <c r="A7" s="7" t="s">
        <v>928</v>
      </c>
      <c r="B7" s="8">
        <v>2800</v>
      </c>
      <c r="C7" s="8">
        <v>2700</v>
      </c>
      <c r="D7" s="9" t="s">
        <v>171</v>
      </c>
      <c r="E7" s="10">
        <v>2.4E-2</v>
      </c>
      <c r="F7" s="11">
        <v>1.1100000000000001</v>
      </c>
      <c r="G7" s="528">
        <v>1.1100000000000001</v>
      </c>
      <c r="H7" s="12">
        <v>0.01</v>
      </c>
      <c r="J7" s="527" t="s">
        <v>917</v>
      </c>
      <c r="K7" s="411"/>
      <c r="O7" s="86" t="s">
        <v>183</v>
      </c>
      <c r="P7" s="87" t="s">
        <v>184</v>
      </c>
      <c r="U7" t="s">
        <v>185</v>
      </c>
      <c r="W7" t="s">
        <v>930</v>
      </c>
    </row>
    <row r="8" spans="1:33">
      <c r="A8" s="7" t="s">
        <v>929</v>
      </c>
      <c r="B8" s="8">
        <v>3400</v>
      </c>
      <c r="C8" s="8">
        <v>2700</v>
      </c>
      <c r="D8" s="9" t="s">
        <v>171</v>
      </c>
      <c r="E8" s="10">
        <v>2.4E-2</v>
      </c>
      <c r="F8" s="11">
        <v>1.1100000000000001</v>
      </c>
      <c r="G8" s="528">
        <v>1.1100000000000001</v>
      </c>
      <c r="H8" s="12">
        <v>0.01</v>
      </c>
      <c r="J8" s="527" t="s">
        <v>925</v>
      </c>
      <c r="L8" s="411" t="s">
        <v>924</v>
      </c>
      <c r="O8" s="86" t="s">
        <v>188</v>
      </c>
      <c r="W8" t="s">
        <v>164</v>
      </c>
    </row>
    <row r="9" spans="1:33">
      <c r="A9" s="7" t="s">
        <v>930</v>
      </c>
      <c r="B9" s="8">
        <v>4200</v>
      </c>
      <c r="C9" s="8">
        <v>2700</v>
      </c>
      <c r="D9" s="9" t="s">
        <v>171</v>
      </c>
      <c r="E9" s="10">
        <v>2.4E-2</v>
      </c>
      <c r="F9" s="11">
        <v>1.1100000000000001</v>
      </c>
      <c r="G9" s="528">
        <v>1.1100000000000001</v>
      </c>
      <c r="H9" s="12">
        <v>0.01</v>
      </c>
      <c r="J9" t="s">
        <v>918</v>
      </c>
      <c r="L9" s="411" t="s">
        <v>923</v>
      </c>
      <c r="O9" s="86" t="s">
        <v>191</v>
      </c>
      <c r="W9" t="s">
        <v>174</v>
      </c>
    </row>
    <row r="10" spans="1:33">
      <c r="A10" s="7" t="s">
        <v>164</v>
      </c>
      <c r="B10" s="8">
        <v>4600</v>
      </c>
      <c r="C10" s="8">
        <v>4600</v>
      </c>
      <c r="D10" s="9" t="s">
        <v>171</v>
      </c>
      <c r="E10" s="10">
        <v>0.03</v>
      </c>
      <c r="F10" s="11">
        <v>1.1100000000000001</v>
      </c>
      <c r="G10" s="399">
        <f t="shared" ref="G10:G22" si="0">F10</f>
        <v>1.1100000000000001</v>
      </c>
      <c r="H10" s="12">
        <v>0.01</v>
      </c>
      <c r="J10" s="527" t="s">
        <v>920</v>
      </c>
      <c r="L10" s="411" t="s">
        <v>922</v>
      </c>
      <c r="O10" s="86" t="s">
        <v>193</v>
      </c>
      <c r="W10" t="s">
        <v>181</v>
      </c>
    </row>
    <row r="11" spans="1:33">
      <c r="A11" s="7" t="s">
        <v>174</v>
      </c>
      <c r="B11" s="8">
        <v>1680</v>
      </c>
      <c r="C11" s="8">
        <v>1680</v>
      </c>
      <c r="D11" s="9" t="s">
        <v>182</v>
      </c>
      <c r="E11" s="10">
        <v>0.03</v>
      </c>
      <c r="F11" s="11">
        <v>1.1100000000000001</v>
      </c>
      <c r="G11" s="399">
        <f t="shared" si="0"/>
        <v>1.1100000000000001</v>
      </c>
      <c r="H11" s="12">
        <v>0.01</v>
      </c>
      <c r="W11" t="s">
        <v>186</v>
      </c>
    </row>
    <row r="12" spans="1:33">
      <c r="A12" s="7" t="s">
        <v>181</v>
      </c>
      <c r="B12" s="13">
        <v>0.90090090090090102</v>
      </c>
      <c r="C12" s="13">
        <v>0.9009009009009008</v>
      </c>
      <c r="D12" s="9" t="s">
        <v>187</v>
      </c>
      <c r="E12" s="10">
        <v>0.22700000000000001</v>
      </c>
      <c r="F12" s="11">
        <v>1.1100000000000001</v>
      </c>
      <c r="G12" s="399">
        <f t="shared" si="0"/>
        <v>1.1100000000000001</v>
      </c>
      <c r="H12" s="12">
        <v>0.04</v>
      </c>
      <c r="J12" s="154" t="s">
        <v>931</v>
      </c>
      <c r="W12" t="s">
        <v>189</v>
      </c>
    </row>
    <row r="13" spans="1:33">
      <c r="A13" s="7" t="s">
        <v>186</v>
      </c>
      <c r="B13" s="14">
        <v>11.628</v>
      </c>
      <c r="C13" s="14">
        <v>11.628</v>
      </c>
      <c r="D13" s="9" t="s">
        <v>190</v>
      </c>
      <c r="E13" s="10">
        <v>0.22700000000000001</v>
      </c>
      <c r="F13" s="11">
        <v>1.1100000000000001</v>
      </c>
      <c r="G13" s="399">
        <f t="shared" si="0"/>
        <v>1.1100000000000001</v>
      </c>
      <c r="H13" s="12">
        <v>0.04</v>
      </c>
      <c r="J13" s="154" t="s">
        <v>932</v>
      </c>
      <c r="W13" t="s">
        <v>192</v>
      </c>
    </row>
    <row r="14" spans="1:33">
      <c r="A14" s="7" t="s">
        <v>189</v>
      </c>
      <c r="B14" s="8">
        <v>12660</v>
      </c>
      <c r="C14" s="8">
        <v>12660</v>
      </c>
      <c r="D14" s="9" t="s">
        <v>171</v>
      </c>
      <c r="E14" s="10">
        <v>0.27200000000000002</v>
      </c>
      <c r="F14" s="11">
        <v>1.0900000000000001</v>
      </c>
      <c r="G14" s="399">
        <f t="shared" si="0"/>
        <v>1.0900000000000001</v>
      </c>
      <c r="H14" s="15">
        <v>0.02</v>
      </c>
      <c r="O14" t="s">
        <v>198</v>
      </c>
      <c r="Q14" s="30" t="s">
        <v>199</v>
      </c>
      <c r="R14" t="s">
        <v>200</v>
      </c>
      <c r="S14" t="s">
        <v>201</v>
      </c>
      <c r="T14" t="s">
        <v>202</v>
      </c>
      <c r="W14" t="s">
        <v>194</v>
      </c>
    </row>
    <row r="15" spans="1:33">
      <c r="A15" s="7" t="s">
        <v>192</v>
      </c>
      <c r="B15" s="13">
        <v>23.7</v>
      </c>
      <c r="C15" s="13">
        <v>23.7</v>
      </c>
      <c r="D15" s="9" t="s">
        <v>190</v>
      </c>
      <c r="E15" s="10">
        <v>0.27200000000000002</v>
      </c>
      <c r="F15" s="11">
        <v>1.0900000000000001</v>
      </c>
      <c r="G15" s="399">
        <f t="shared" si="0"/>
        <v>1.0900000000000001</v>
      </c>
      <c r="H15" s="12">
        <v>0.02</v>
      </c>
      <c r="O15" s="89" t="s">
        <v>204</v>
      </c>
      <c r="P15" t="s">
        <v>178</v>
      </c>
      <c r="W15" t="s">
        <v>195</v>
      </c>
    </row>
    <row r="16" spans="1:33">
      <c r="A16" s="7" t="s">
        <v>194</v>
      </c>
      <c r="B16" s="8">
        <v>12570</v>
      </c>
      <c r="C16" s="8">
        <v>12570</v>
      </c>
      <c r="D16" s="9" t="s">
        <v>171</v>
      </c>
      <c r="E16" s="10">
        <v>0.27200000000000002</v>
      </c>
      <c r="F16" s="11">
        <v>1.0900000000000001</v>
      </c>
      <c r="G16" s="399">
        <f t="shared" si="0"/>
        <v>1.0900000000000001</v>
      </c>
      <c r="H16" s="12">
        <v>0.02</v>
      </c>
      <c r="O16" s="90" t="s">
        <v>206</v>
      </c>
      <c r="P16" t="s">
        <v>178</v>
      </c>
      <c r="Q16" t="s">
        <v>207</v>
      </c>
      <c r="R16" t="s">
        <v>208</v>
      </c>
      <c r="S16" t="s">
        <v>209</v>
      </c>
      <c r="T16" t="s">
        <v>26</v>
      </c>
      <c r="W16" t="s">
        <v>196</v>
      </c>
    </row>
    <row r="17" spans="1:26">
      <c r="A17" s="7" t="s">
        <v>195</v>
      </c>
      <c r="B17" s="14">
        <v>6.9</v>
      </c>
      <c r="C17" s="14">
        <v>6.9</v>
      </c>
      <c r="D17" s="9" t="s">
        <v>197</v>
      </c>
      <c r="E17" s="10">
        <v>0.27200000000000002</v>
      </c>
      <c r="F17" s="11">
        <v>1.0900000000000001</v>
      </c>
      <c r="G17" s="399">
        <f t="shared" si="0"/>
        <v>1.0900000000000001</v>
      </c>
      <c r="H17" s="15">
        <v>0.03</v>
      </c>
      <c r="O17" s="89" t="s">
        <v>210</v>
      </c>
      <c r="P17" t="s">
        <v>178</v>
      </c>
      <c r="Q17" t="s">
        <v>211</v>
      </c>
      <c r="R17" t="s">
        <v>212</v>
      </c>
      <c r="S17" t="s">
        <v>213</v>
      </c>
      <c r="T17" t="s">
        <v>214</v>
      </c>
      <c r="W17" t="s">
        <v>33</v>
      </c>
    </row>
    <row r="18" spans="1:26">
      <c r="A18" s="7" t="s">
        <v>196</v>
      </c>
      <c r="B18" s="13">
        <v>30.45</v>
      </c>
      <c r="C18" s="13">
        <v>30.45</v>
      </c>
      <c r="D18" s="9" t="s">
        <v>190</v>
      </c>
      <c r="E18" s="10">
        <v>0.27200000000000002</v>
      </c>
      <c r="F18" s="11">
        <v>1.0900000000000001</v>
      </c>
      <c r="G18" s="399">
        <f t="shared" si="0"/>
        <v>1.0900000000000001</v>
      </c>
      <c r="H18" s="15">
        <v>0.03</v>
      </c>
      <c r="O18" s="90" t="s">
        <v>215</v>
      </c>
      <c r="P18" t="s">
        <v>178</v>
      </c>
      <c r="R18" t="s">
        <v>216</v>
      </c>
      <c r="S18" t="s">
        <v>217</v>
      </c>
      <c r="W18" t="s">
        <v>203</v>
      </c>
    </row>
    <row r="19" spans="1:26">
      <c r="A19" s="7" t="s">
        <v>33</v>
      </c>
      <c r="B19" s="13">
        <v>9.9700000000000006</v>
      </c>
      <c r="C19" s="13">
        <v>9.9700000000000006</v>
      </c>
      <c r="D19" s="9" t="s">
        <v>197</v>
      </c>
      <c r="E19" s="10">
        <v>0.32400000000000001</v>
      </c>
      <c r="F19" s="11">
        <v>1.07</v>
      </c>
      <c r="G19" s="399">
        <f t="shared" si="0"/>
        <v>1.07</v>
      </c>
      <c r="H19" s="15">
        <v>0.05</v>
      </c>
      <c r="O19" s="89" t="s">
        <v>218</v>
      </c>
      <c r="P19" t="s">
        <v>178</v>
      </c>
      <c r="W19" t="s">
        <v>205</v>
      </c>
    </row>
    <row r="20" spans="1:26">
      <c r="A20" s="16" t="s">
        <v>203</v>
      </c>
      <c r="B20" s="8">
        <v>1</v>
      </c>
      <c r="C20" s="8">
        <v>1</v>
      </c>
      <c r="D20" s="9" t="s">
        <v>187</v>
      </c>
      <c r="E20" s="10">
        <v>6.4000000000000001E-2</v>
      </c>
      <c r="F20" s="17">
        <v>1</v>
      </c>
      <c r="G20" s="399">
        <f t="shared" si="0"/>
        <v>1</v>
      </c>
      <c r="H20" s="15">
        <v>0.05</v>
      </c>
      <c r="O20" s="90" t="s">
        <v>219</v>
      </c>
      <c r="P20" t="s">
        <v>178</v>
      </c>
      <c r="W20" t="s">
        <v>29</v>
      </c>
    </row>
    <row r="21" spans="1:26">
      <c r="A21" s="18" t="s">
        <v>205</v>
      </c>
      <c r="B21" s="8">
        <v>1</v>
      </c>
      <c r="C21" s="13">
        <v>0.77</v>
      </c>
      <c r="D21" s="9" t="s">
        <v>187</v>
      </c>
      <c r="E21" s="19">
        <v>0.1</v>
      </c>
      <c r="F21" s="17">
        <v>1</v>
      </c>
      <c r="G21" s="399">
        <f t="shared" si="0"/>
        <v>1</v>
      </c>
      <c r="H21" s="15">
        <v>0.05</v>
      </c>
      <c r="O21" s="89" t="s">
        <v>220</v>
      </c>
      <c r="P21" t="s">
        <v>178</v>
      </c>
      <c r="W21" t="s">
        <v>37</v>
      </c>
    </row>
    <row r="22" spans="1:26">
      <c r="A22" s="18" t="s">
        <v>37</v>
      </c>
      <c r="B22" s="21">
        <v>0</v>
      </c>
      <c r="C22" s="21">
        <v>0</v>
      </c>
      <c r="D22" s="22"/>
      <c r="E22" s="79"/>
      <c r="F22" s="24"/>
      <c r="G22" s="399">
        <f t="shared" si="0"/>
        <v>0</v>
      </c>
      <c r="H22" s="25"/>
      <c r="O22" s="90" t="s">
        <v>221</v>
      </c>
      <c r="P22" t="s">
        <v>183</v>
      </c>
      <c r="W22" t="s">
        <v>1069</v>
      </c>
    </row>
    <row r="23" spans="1:26">
      <c r="A23" s="648" t="s">
        <v>1060</v>
      </c>
      <c r="B23" s="649">
        <v>1</v>
      </c>
      <c r="C23" s="13">
        <v>0.77</v>
      </c>
      <c r="D23" s="9" t="s">
        <v>187</v>
      </c>
      <c r="E23" s="19">
        <v>0.1</v>
      </c>
      <c r="F23" s="17">
        <v>1</v>
      </c>
      <c r="G23" s="542">
        <f>F23</f>
        <v>1</v>
      </c>
      <c r="H23" s="15">
        <v>0.03</v>
      </c>
      <c r="O23" s="91" t="s">
        <v>222</v>
      </c>
      <c r="P23" t="s">
        <v>183</v>
      </c>
    </row>
    <row r="24" spans="1:26">
      <c r="A24" s="20" t="s">
        <v>29</v>
      </c>
      <c r="B24" s="21">
        <v>1</v>
      </c>
      <c r="C24" s="21">
        <v>1</v>
      </c>
      <c r="D24" s="22" t="s">
        <v>187</v>
      </c>
      <c r="E24" s="23">
        <v>6.4000000000000001E-2</v>
      </c>
      <c r="F24" s="24">
        <v>1</v>
      </c>
      <c r="G24" s="399">
        <v>1.9</v>
      </c>
      <c r="H24" s="25">
        <v>0.05</v>
      </c>
      <c r="O24" s="90" t="s">
        <v>231</v>
      </c>
      <c r="P24" t="s">
        <v>183</v>
      </c>
    </row>
    <row r="25" spans="1:26">
      <c r="O25" s="89" t="s">
        <v>234</v>
      </c>
      <c r="P25" t="s">
        <v>143</v>
      </c>
    </row>
    <row r="26" spans="1:26">
      <c r="O26" s="92" t="s">
        <v>236</v>
      </c>
      <c r="P26" t="s">
        <v>193</v>
      </c>
    </row>
    <row r="27" spans="1:26">
      <c r="O27" s="119" t="s">
        <v>238</v>
      </c>
      <c r="P27" t="s">
        <v>183</v>
      </c>
      <c r="W27" t="s">
        <v>22</v>
      </c>
    </row>
    <row r="28" spans="1:26">
      <c r="O28" s="89" t="s">
        <v>75</v>
      </c>
      <c r="P28" t="s">
        <v>183</v>
      </c>
      <c r="W28" s="483" t="s">
        <v>28</v>
      </c>
    </row>
    <row r="29" spans="1:26">
      <c r="O29" s="92" t="s">
        <v>241</v>
      </c>
      <c r="P29" t="s">
        <v>183</v>
      </c>
      <c r="W29" s="483" t="s">
        <v>145</v>
      </c>
      <c r="Z29" s="658"/>
    </row>
    <row r="30" spans="1:26">
      <c r="O30" s="149" t="s">
        <v>243</v>
      </c>
      <c r="P30" t="s">
        <v>143</v>
      </c>
      <c r="W30" s="483" t="s">
        <v>162</v>
      </c>
      <c r="Z30" s="658"/>
    </row>
    <row r="31" spans="1:26">
      <c r="W31" s="483" t="s">
        <v>32</v>
      </c>
      <c r="Z31" s="658"/>
    </row>
    <row r="32" spans="1:26">
      <c r="W32" s="483" t="s">
        <v>180</v>
      </c>
      <c r="Z32" s="658"/>
    </row>
    <row r="33" spans="1:26">
      <c r="W33" s="483" t="s">
        <v>185</v>
      </c>
      <c r="Z33" s="658"/>
    </row>
    <row r="34" spans="1:26">
      <c r="W34" s="483" t="s">
        <v>146</v>
      </c>
      <c r="Z34" s="658"/>
    </row>
    <row r="35" spans="1:26">
      <c r="W35" s="483" t="s">
        <v>163</v>
      </c>
    </row>
    <row r="36" spans="1:26">
      <c r="W36" s="483" t="s">
        <v>36</v>
      </c>
    </row>
    <row r="37" spans="1:26" ht="47.25" customHeight="1">
      <c r="A37" s="62" t="s">
        <v>223</v>
      </c>
      <c r="B37" s="62" t="s">
        <v>224</v>
      </c>
      <c r="C37" s="60" t="s">
        <v>225</v>
      </c>
      <c r="D37" s="60" t="s">
        <v>226</v>
      </c>
      <c r="E37" s="60" t="s">
        <v>227</v>
      </c>
      <c r="F37" s="60" t="s">
        <v>228</v>
      </c>
      <c r="G37" s="60" t="s">
        <v>229</v>
      </c>
      <c r="H37" s="63" t="s">
        <v>427</v>
      </c>
      <c r="I37" s="63" t="s">
        <v>230</v>
      </c>
      <c r="J37" s="63" t="s">
        <v>860</v>
      </c>
      <c r="K37" s="63" t="s">
        <v>861</v>
      </c>
      <c r="L37" s="539" t="s">
        <v>939</v>
      </c>
      <c r="M37" s="539" t="s">
        <v>940</v>
      </c>
      <c r="N37" s="539" t="s">
        <v>941</v>
      </c>
      <c r="W37" s="483" t="s">
        <v>165</v>
      </c>
    </row>
    <row r="38" spans="1:26">
      <c r="A38" s="816" t="s">
        <v>935</v>
      </c>
      <c r="B38" s="57" t="s">
        <v>232</v>
      </c>
      <c r="C38" s="58">
        <v>133</v>
      </c>
      <c r="D38" s="58">
        <v>104</v>
      </c>
      <c r="E38" s="61">
        <f>IFERROR(C38+D38,"")</f>
        <v>237</v>
      </c>
      <c r="F38" s="58" t="s">
        <v>233</v>
      </c>
      <c r="G38" s="58" t="s">
        <v>233</v>
      </c>
      <c r="H38" s="64">
        <v>236</v>
      </c>
      <c r="I38" s="64"/>
      <c r="J38" s="537"/>
      <c r="K38" s="537"/>
      <c r="L38" s="540">
        <v>185</v>
      </c>
      <c r="M38" s="540">
        <v>180</v>
      </c>
      <c r="N38" s="540">
        <v>142</v>
      </c>
      <c r="W38" s="658" t="s">
        <v>148</v>
      </c>
    </row>
    <row r="39" spans="1:26">
      <c r="A39" s="817"/>
      <c r="B39" s="57" t="s">
        <v>936</v>
      </c>
      <c r="C39" s="61">
        <v>128</v>
      </c>
      <c r="D39" s="61">
        <v>63</v>
      </c>
      <c r="E39" s="61">
        <f t="shared" ref="E39:E44" si="1">IFERROR(C39+D39,"")</f>
        <v>191</v>
      </c>
      <c r="F39" s="61"/>
      <c r="G39" s="61"/>
      <c r="H39" s="65">
        <v>145</v>
      </c>
      <c r="I39" s="65"/>
      <c r="J39" s="538">
        <v>3.7</v>
      </c>
      <c r="K39" s="538">
        <f t="shared" ref="K39:K40" si="2">43.44/12</f>
        <v>3.6199999999999997</v>
      </c>
      <c r="L39" s="541">
        <v>36</v>
      </c>
      <c r="M39" s="541">
        <v>34</v>
      </c>
      <c r="N39" s="541">
        <v>20</v>
      </c>
      <c r="W39" s="658" t="s">
        <v>166</v>
      </c>
    </row>
    <row r="40" spans="1:26">
      <c r="A40" s="817"/>
      <c r="B40" s="57" t="s">
        <v>237</v>
      </c>
      <c r="C40" s="61">
        <v>117</v>
      </c>
      <c r="D40" s="61">
        <v>50</v>
      </c>
      <c r="E40" s="61">
        <f t="shared" si="1"/>
        <v>167</v>
      </c>
      <c r="F40" s="61"/>
      <c r="G40" s="61"/>
      <c r="H40" s="65">
        <v>140</v>
      </c>
      <c r="I40" s="65">
        <v>58</v>
      </c>
      <c r="J40" s="538">
        <v>3.7</v>
      </c>
      <c r="K40" s="538">
        <f t="shared" si="2"/>
        <v>3.6199999999999997</v>
      </c>
      <c r="L40" s="541">
        <v>16</v>
      </c>
      <c r="M40" s="541">
        <v>16</v>
      </c>
      <c r="N40" s="541">
        <v>13</v>
      </c>
      <c r="W40" s="658" t="s">
        <v>149</v>
      </c>
    </row>
    <row r="41" spans="1:26">
      <c r="A41" s="817"/>
      <c r="B41" s="57" t="s">
        <v>239</v>
      </c>
      <c r="C41" s="61">
        <v>93</v>
      </c>
      <c r="D41" s="61">
        <v>63</v>
      </c>
      <c r="E41" s="61">
        <f t="shared" si="1"/>
        <v>156</v>
      </c>
      <c r="F41" s="59"/>
      <c r="G41" s="59"/>
      <c r="H41" s="65">
        <v>87</v>
      </c>
      <c r="I41" s="65"/>
      <c r="J41" s="538"/>
      <c r="K41" s="538"/>
      <c r="L41" s="541">
        <v>19</v>
      </c>
      <c r="M41" s="541">
        <v>17</v>
      </c>
      <c r="N41" s="541">
        <v>10</v>
      </c>
      <c r="W41" s="658" t="s">
        <v>167</v>
      </c>
    </row>
    <row r="42" spans="1:26">
      <c r="A42" s="817"/>
      <c r="B42" s="57" t="s">
        <v>240</v>
      </c>
      <c r="C42" s="61">
        <v>100</v>
      </c>
      <c r="D42" s="61">
        <v>31</v>
      </c>
      <c r="E42" s="61">
        <f t="shared" si="1"/>
        <v>131</v>
      </c>
      <c r="F42" s="59"/>
      <c r="G42" s="59"/>
      <c r="H42" s="65">
        <v>51</v>
      </c>
      <c r="I42" s="65"/>
      <c r="J42" s="538"/>
      <c r="K42" s="538"/>
      <c r="L42" s="541">
        <v>33</v>
      </c>
      <c r="M42" s="541">
        <v>28</v>
      </c>
      <c r="N42" s="541">
        <v>17</v>
      </c>
      <c r="W42" s="658" t="s">
        <v>175</v>
      </c>
    </row>
    <row r="43" spans="1:26">
      <c r="A43" s="817"/>
      <c r="B43" s="57" t="s">
        <v>242</v>
      </c>
      <c r="C43" s="61">
        <v>117</v>
      </c>
      <c r="D43" s="61">
        <v>54</v>
      </c>
      <c r="E43" s="61">
        <f t="shared" si="1"/>
        <v>171</v>
      </c>
      <c r="F43" s="61"/>
      <c r="G43" s="61"/>
      <c r="H43" s="65">
        <v>171</v>
      </c>
      <c r="I43" s="65"/>
      <c r="J43" s="538"/>
      <c r="K43" s="538"/>
      <c r="L43" s="541">
        <v>32</v>
      </c>
      <c r="M43" s="541">
        <v>32</v>
      </c>
      <c r="N43" s="541">
        <v>16</v>
      </c>
      <c r="W43" s="658" t="s">
        <v>150</v>
      </c>
    </row>
    <row r="44" spans="1:26">
      <c r="A44" s="817"/>
      <c r="B44" s="57" t="s">
        <v>937</v>
      </c>
      <c r="C44" s="531">
        <v>293</v>
      </c>
      <c r="D44" s="61">
        <v>55</v>
      </c>
      <c r="E44" s="61">
        <f t="shared" si="1"/>
        <v>348</v>
      </c>
      <c r="F44" s="59"/>
      <c r="G44" s="59"/>
      <c r="H44" s="65">
        <v>105</v>
      </c>
      <c r="I44" s="65"/>
      <c r="J44" s="538"/>
      <c r="K44" s="538"/>
      <c r="L44" s="541">
        <v>11</v>
      </c>
      <c r="M44" s="541">
        <v>11</v>
      </c>
      <c r="N44" s="541">
        <v>7</v>
      </c>
      <c r="W44" s="658" t="s">
        <v>1068</v>
      </c>
    </row>
    <row r="45" spans="1:26">
      <c r="A45" s="817"/>
      <c r="B45" s="57" t="s">
        <v>244</v>
      </c>
      <c r="C45" s="61" t="s">
        <v>233</v>
      </c>
      <c r="D45" s="61" t="s">
        <v>233</v>
      </c>
      <c r="E45" s="61" t="s">
        <v>938</v>
      </c>
      <c r="F45" s="59"/>
      <c r="G45" s="59"/>
      <c r="H45" s="65" t="s">
        <v>233</v>
      </c>
      <c r="I45" s="65"/>
      <c r="J45" s="538"/>
      <c r="K45" s="538"/>
      <c r="L45" s="541"/>
      <c r="M45" s="541"/>
      <c r="N45" s="541"/>
    </row>
    <row r="46" spans="1:26">
      <c r="A46" s="818"/>
      <c r="J46" s="411"/>
      <c r="K46" s="411"/>
    </row>
    <row r="47" spans="1:26">
      <c r="J47" s="411"/>
      <c r="K47" s="411"/>
    </row>
    <row r="48" spans="1:26" s="530" customFormat="1"/>
    <row r="49" spans="1:11" s="530" customFormat="1">
      <c r="A49" s="816" t="s">
        <v>934</v>
      </c>
      <c r="B49" s="57" t="s">
        <v>232</v>
      </c>
      <c r="C49" s="58" t="s">
        <v>233</v>
      </c>
      <c r="D49" s="58" t="s">
        <v>233</v>
      </c>
      <c r="E49" s="58" t="s">
        <v>233</v>
      </c>
      <c r="F49" s="58" t="s">
        <v>233</v>
      </c>
      <c r="G49" s="58" t="s">
        <v>233</v>
      </c>
      <c r="H49" s="64" t="s">
        <v>233</v>
      </c>
      <c r="J49" s="244">
        <v>3.7</v>
      </c>
      <c r="K49" s="425">
        <v>3.6199999999999997</v>
      </c>
    </row>
    <row r="50" spans="1:11" s="530" customFormat="1">
      <c r="A50" s="817"/>
      <c r="B50" s="57" t="s">
        <v>235</v>
      </c>
      <c r="C50" s="61">
        <v>162.96440616262723</v>
      </c>
      <c r="D50" s="61">
        <v>78.388576324684351</v>
      </c>
      <c r="E50" s="61">
        <v>241.35298248731158</v>
      </c>
      <c r="F50" s="61">
        <v>45.971020654622961</v>
      </c>
      <c r="G50" s="61">
        <v>71.775598070944156</v>
      </c>
      <c r="H50" s="65">
        <v>232.92148528584556</v>
      </c>
      <c r="J50" s="244">
        <v>3.7</v>
      </c>
      <c r="K50" s="425">
        <v>3.6199999999999997</v>
      </c>
    </row>
    <row r="51" spans="1:11" s="530" customFormat="1">
      <c r="A51" s="817"/>
      <c r="B51" s="57" t="s">
        <v>237</v>
      </c>
      <c r="C51" s="61">
        <v>134.37719550799881</v>
      </c>
      <c r="D51" s="61">
        <v>53.407224193411814</v>
      </c>
      <c r="E51" s="61">
        <v>187.784419701411</v>
      </c>
      <c r="F51" s="61">
        <v>43.015283576240691</v>
      </c>
      <c r="G51" s="61">
        <v>49.783917823165922</v>
      </c>
      <c r="H51" s="65">
        <v>144.16961746331364</v>
      </c>
      <c r="I51" s="183">
        <v>58</v>
      </c>
      <c r="J51" s="244">
        <v>3.7</v>
      </c>
      <c r="K51" s="425">
        <v>3.6199999999999997</v>
      </c>
    </row>
    <row r="52" spans="1:11" s="530" customFormat="1">
      <c r="A52" s="817"/>
      <c r="B52" s="57" t="s">
        <v>239</v>
      </c>
      <c r="C52" s="59" t="s">
        <v>233</v>
      </c>
      <c r="D52" s="59" t="s">
        <v>233</v>
      </c>
      <c r="E52" s="59" t="s">
        <v>233</v>
      </c>
      <c r="F52" s="59" t="s">
        <v>233</v>
      </c>
      <c r="G52" s="59" t="s">
        <v>233</v>
      </c>
      <c r="H52" s="66" t="s">
        <v>233</v>
      </c>
      <c r="I52" s="30"/>
      <c r="J52" s="244">
        <v>3.7</v>
      </c>
      <c r="K52" s="425">
        <v>3.6199999999999997</v>
      </c>
    </row>
    <row r="53" spans="1:11" s="530" customFormat="1">
      <c r="A53" s="817"/>
      <c r="B53" s="57" t="s">
        <v>240</v>
      </c>
      <c r="C53" s="59" t="s">
        <v>233</v>
      </c>
      <c r="D53" s="59" t="s">
        <v>233</v>
      </c>
      <c r="E53" s="59" t="s">
        <v>233</v>
      </c>
      <c r="F53" s="59" t="s">
        <v>233</v>
      </c>
      <c r="G53" s="59" t="s">
        <v>233</v>
      </c>
      <c r="H53" s="66" t="s">
        <v>233</v>
      </c>
      <c r="J53" s="244">
        <v>3.7</v>
      </c>
      <c r="K53" s="425">
        <v>3.6199999999999997</v>
      </c>
    </row>
    <row r="54" spans="1:11" s="530" customFormat="1">
      <c r="A54" s="817"/>
      <c r="B54" s="57" t="s">
        <v>242</v>
      </c>
      <c r="C54" s="61">
        <v>155.48546305598433</v>
      </c>
      <c r="D54" s="61">
        <v>47.577767163363731</v>
      </c>
      <c r="E54" s="61">
        <v>203.06323021934804</v>
      </c>
      <c r="F54" s="61">
        <v>39.677263033881395</v>
      </c>
      <c r="G54" s="61">
        <v>46.0000695027232</v>
      </c>
      <c r="H54" s="65">
        <v>247.85173430102637</v>
      </c>
      <c r="I54" s="30"/>
      <c r="J54" s="244">
        <v>3.7</v>
      </c>
      <c r="K54" s="425">
        <v>3.6199999999999997</v>
      </c>
    </row>
    <row r="55" spans="1:11">
      <c r="A55" s="817"/>
      <c r="B55" s="57" t="s">
        <v>244</v>
      </c>
      <c r="C55" s="59" t="s">
        <v>233</v>
      </c>
      <c r="D55" s="59" t="s">
        <v>233</v>
      </c>
      <c r="E55" s="59" t="s">
        <v>233</v>
      </c>
      <c r="F55" s="59" t="s">
        <v>233</v>
      </c>
      <c r="G55" s="59" t="s">
        <v>233</v>
      </c>
      <c r="H55" s="66" t="s">
        <v>233</v>
      </c>
      <c r="I55" s="30"/>
      <c r="J55" s="244">
        <v>3.7</v>
      </c>
      <c r="K55" s="425">
        <v>3.6199999999999997</v>
      </c>
    </row>
    <row r="56" spans="1:11">
      <c r="A56" s="530"/>
      <c r="J56" s="411"/>
      <c r="K56" s="411"/>
    </row>
    <row r="57" spans="1:11">
      <c r="A57" s="530"/>
    </row>
    <row r="61" spans="1:11">
      <c r="A61" t="s">
        <v>246</v>
      </c>
    </row>
    <row r="63" spans="1:11">
      <c r="A63" t="s">
        <v>247</v>
      </c>
      <c r="B63" t="s">
        <v>248</v>
      </c>
      <c r="C63" t="s">
        <v>249</v>
      </c>
    </row>
    <row r="64" spans="1:11">
      <c r="B64" t="s">
        <v>250</v>
      </c>
      <c r="C64" t="s">
        <v>251</v>
      </c>
    </row>
    <row r="65" spans="1:3">
      <c r="A65" t="s">
        <v>252</v>
      </c>
      <c r="B65">
        <v>100</v>
      </c>
      <c r="C65">
        <v>50</v>
      </c>
    </row>
    <row r="66" spans="1:3">
      <c r="A66" t="s">
        <v>253</v>
      </c>
      <c r="B66">
        <v>210</v>
      </c>
      <c r="C66">
        <v>110</v>
      </c>
    </row>
    <row r="67" spans="1:3">
      <c r="A67" t="s">
        <v>254</v>
      </c>
      <c r="B67">
        <v>370</v>
      </c>
      <c r="C67">
        <v>210</v>
      </c>
    </row>
    <row r="68" spans="1:3">
      <c r="A68" t="s">
        <v>255</v>
      </c>
      <c r="B68">
        <v>580</v>
      </c>
      <c r="C68">
        <v>350</v>
      </c>
    </row>
    <row r="69" spans="1:3">
      <c r="A69" t="s">
        <v>256</v>
      </c>
      <c r="B69">
        <v>830</v>
      </c>
      <c r="C69">
        <v>540</v>
      </c>
    </row>
    <row r="73" spans="1:3">
      <c r="A73" s="30" t="s">
        <v>840</v>
      </c>
      <c r="C73" t="s">
        <v>889</v>
      </c>
    </row>
    <row r="74" spans="1:3">
      <c r="A74">
        <v>2010</v>
      </c>
      <c r="C74">
        <v>1</v>
      </c>
    </row>
    <row r="75" spans="1:3">
      <c r="A75" s="365">
        <v>2011</v>
      </c>
      <c r="C75">
        <v>2</v>
      </c>
    </row>
    <row r="76" spans="1:3">
      <c r="A76" s="365">
        <v>2012</v>
      </c>
      <c r="C76" s="484">
        <v>3</v>
      </c>
    </row>
    <row r="77" spans="1:3">
      <c r="A77" s="365">
        <v>2013</v>
      </c>
      <c r="C77" s="484">
        <v>4</v>
      </c>
    </row>
    <row r="78" spans="1:3">
      <c r="A78" s="365">
        <v>2014</v>
      </c>
      <c r="C78" s="484">
        <v>5</v>
      </c>
    </row>
    <row r="79" spans="1:3">
      <c r="A79" s="365">
        <v>2015</v>
      </c>
      <c r="C79" s="484">
        <v>6</v>
      </c>
    </row>
    <row r="80" spans="1:3">
      <c r="A80" s="365">
        <v>2016</v>
      </c>
      <c r="C80" s="484">
        <v>7</v>
      </c>
    </row>
    <row r="81" spans="1:3">
      <c r="A81" s="365">
        <v>2017</v>
      </c>
      <c r="C81" s="484">
        <v>8</v>
      </c>
    </row>
    <row r="82" spans="1:3">
      <c r="A82" s="365">
        <v>2018</v>
      </c>
      <c r="C82" s="484">
        <v>9</v>
      </c>
    </row>
    <row r="83" spans="1:3">
      <c r="A83" s="365">
        <v>2019</v>
      </c>
      <c r="C83" s="484">
        <v>10</v>
      </c>
    </row>
    <row r="84" spans="1:3">
      <c r="A84" s="365">
        <v>2020</v>
      </c>
      <c r="C84" s="484">
        <v>11</v>
      </c>
    </row>
    <row r="85" spans="1:3">
      <c r="A85" s="365">
        <v>2021</v>
      </c>
      <c r="C85" s="484">
        <v>12</v>
      </c>
    </row>
    <row r="86" spans="1:3">
      <c r="A86" s="365">
        <v>2022</v>
      </c>
    </row>
    <row r="87" spans="1:3">
      <c r="A87" s="365">
        <v>2023</v>
      </c>
    </row>
    <row r="88" spans="1:3">
      <c r="A88" s="365">
        <v>2024</v>
      </c>
    </row>
    <row r="89" spans="1:3">
      <c r="A89" s="365">
        <v>2025</v>
      </c>
    </row>
    <row r="90" spans="1:3">
      <c r="A90" s="365">
        <v>2026</v>
      </c>
    </row>
    <row r="91" spans="1:3">
      <c r="A91" s="365">
        <v>2027</v>
      </c>
    </row>
    <row r="92" spans="1:3">
      <c r="A92" s="365">
        <v>2028</v>
      </c>
    </row>
    <row r="93" spans="1:3">
      <c r="A93" s="365">
        <v>2029</v>
      </c>
    </row>
    <row r="94" spans="1:3">
      <c r="A94" s="365">
        <v>2030</v>
      </c>
    </row>
    <row r="95" spans="1:3">
      <c r="A95" s="365"/>
    </row>
    <row r="96" spans="1:3">
      <c r="A96" s="365"/>
    </row>
    <row r="97" spans="1:1">
      <c r="A97" s="365"/>
    </row>
    <row r="98" spans="1:1">
      <c r="A98" s="365"/>
    </row>
    <row r="99" spans="1:1">
      <c r="A99" s="365"/>
    </row>
    <row r="100" spans="1:1">
      <c r="A100" s="365"/>
    </row>
    <row r="101" spans="1:1">
      <c r="A101" s="365"/>
    </row>
    <row r="102" spans="1:1">
      <c r="A102" s="365"/>
    </row>
    <row r="103" spans="1:1">
      <c r="A103" s="365"/>
    </row>
    <row r="104" spans="1:1">
      <c r="A104" s="365"/>
    </row>
    <row r="105" spans="1:1">
      <c r="A105" s="365"/>
    </row>
  </sheetData>
  <mergeCells count="2">
    <mergeCell ref="A38:A46"/>
    <mergeCell ref="A49:A55"/>
  </mergeCells>
  <pageMargins left="0.7" right="0.7" top="0.75" bottom="0.75" header="0.3" footer="0.3"/>
  <pageSetup paperSize="9" orientation="portrait" r:id="rId1"/>
  <legacyDrawing r:id="rId2"/>
  <tableParts count="6">
    <tablePart r:id="rId3"/>
    <tablePart r:id="rId4"/>
    <tablePart r:id="rId5"/>
    <tablePart r:id="rId6"/>
    <tablePart r:id="rId7"/>
    <tablePart r:id="rId8"/>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5"/>
  <dimension ref="B3:R24"/>
  <sheetViews>
    <sheetView workbookViewId="0">
      <selection activeCell="K33" sqref="K33"/>
    </sheetView>
  </sheetViews>
  <sheetFormatPr baseColWidth="10" defaultRowHeight="14.5"/>
  <cols>
    <col min="2" max="2" width="21" bestFit="1" customWidth="1"/>
    <col min="3" max="3" width="24.26953125" bestFit="1" customWidth="1"/>
    <col min="4" max="4" width="25.6328125" bestFit="1" customWidth="1"/>
    <col min="5" max="5" width="27.08984375" bestFit="1" customWidth="1"/>
    <col min="6" max="6" width="23.81640625" bestFit="1" customWidth="1"/>
    <col min="7" max="7" width="24.26953125" bestFit="1" customWidth="1"/>
    <col min="8" max="8" width="25.6328125" bestFit="1" customWidth="1"/>
    <col min="9" max="9" width="27.08984375" bestFit="1" customWidth="1"/>
    <col min="10" max="10" width="23.81640625" bestFit="1" customWidth="1"/>
    <col min="11" max="11" width="24.26953125" bestFit="1" customWidth="1"/>
    <col min="12" max="12" width="25.6328125" bestFit="1" customWidth="1"/>
    <col min="13" max="13" width="27.08984375" bestFit="1" customWidth="1"/>
    <col min="14" max="14" width="23.81640625" bestFit="1" customWidth="1"/>
    <col min="15" max="15" width="29.26953125" bestFit="1" customWidth="1"/>
    <col min="16" max="16" width="30.6328125" bestFit="1" customWidth="1"/>
    <col min="17" max="17" width="32.08984375" bestFit="1" customWidth="1"/>
    <col min="18" max="18" width="28.81640625" bestFit="1" customWidth="1"/>
    <col min="19" max="19" width="29.26953125" bestFit="1" customWidth="1"/>
    <col min="20" max="20" width="30.6328125" bestFit="1" customWidth="1"/>
    <col min="21" max="21" width="32.08984375" bestFit="1" customWidth="1"/>
    <col min="22" max="22" width="28.81640625" bestFit="1" customWidth="1"/>
    <col min="23" max="23" width="24.26953125" bestFit="1" customWidth="1"/>
    <col min="24" max="24" width="25.6328125" bestFit="1" customWidth="1"/>
    <col min="25" max="25" width="27.08984375" bestFit="1" customWidth="1"/>
    <col min="26" max="26" width="23.81640625" bestFit="1" customWidth="1"/>
    <col min="27" max="27" width="24.26953125" bestFit="1" customWidth="1"/>
    <col min="28" max="28" width="25.6328125" bestFit="1" customWidth="1"/>
    <col min="29" max="29" width="27.08984375" bestFit="1" customWidth="1"/>
    <col min="30" max="30" width="23.81640625" bestFit="1" customWidth="1"/>
    <col min="31" max="31" width="29.26953125" bestFit="1" customWidth="1"/>
    <col min="32" max="32" width="30.6328125" bestFit="1" customWidth="1"/>
    <col min="33" max="33" width="32.08984375" bestFit="1" customWidth="1"/>
    <col min="34" max="34" width="28.81640625" bestFit="1" customWidth="1"/>
  </cols>
  <sheetData>
    <row r="3" spans="2:18">
      <c r="C3" s="166" t="s">
        <v>74</v>
      </c>
    </row>
    <row r="4" spans="2:18">
      <c r="C4" s="679" t="s">
        <v>26</v>
      </c>
      <c r="O4" s="679" t="s">
        <v>903</v>
      </c>
      <c r="P4" s="679" t="s">
        <v>904</v>
      </c>
      <c r="Q4" s="679" t="s">
        <v>905</v>
      </c>
      <c r="R4" s="679" t="s">
        <v>906</v>
      </c>
    </row>
    <row r="5" spans="2:18">
      <c r="C5" s="679" t="s">
        <v>32</v>
      </c>
      <c r="G5" s="679" t="s">
        <v>28</v>
      </c>
      <c r="K5" s="679" t="s">
        <v>36</v>
      </c>
    </row>
    <row r="6" spans="2:18">
      <c r="B6" s="166" t="s">
        <v>64</v>
      </c>
      <c r="C6" s="679" t="s">
        <v>842</v>
      </c>
      <c r="D6" s="679" t="s">
        <v>837</v>
      </c>
      <c r="E6" s="679" t="s">
        <v>907</v>
      </c>
      <c r="F6" s="679" t="s">
        <v>908</v>
      </c>
      <c r="G6" s="679" t="s">
        <v>842</v>
      </c>
      <c r="H6" s="679" t="s">
        <v>837</v>
      </c>
      <c r="I6" s="679" t="s">
        <v>907</v>
      </c>
      <c r="J6" s="679" t="s">
        <v>908</v>
      </c>
      <c r="K6" s="679" t="s">
        <v>842</v>
      </c>
      <c r="L6" s="679" t="s">
        <v>837</v>
      </c>
      <c r="M6" s="679" t="s">
        <v>907</v>
      </c>
      <c r="N6" s="679" t="s">
        <v>908</v>
      </c>
    </row>
    <row r="7" spans="2:18">
      <c r="B7" s="85">
        <v>2010</v>
      </c>
      <c r="C7" s="205">
        <v>71000</v>
      </c>
      <c r="D7" s="205">
        <v>63963.963963963979</v>
      </c>
      <c r="E7" s="205">
        <v>63963.963963963964</v>
      </c>
      <c r="F7" s="205">
        <v>71000.000000000015</v>
      </c>
      <c r="G7" s="205"/>
      <c r="H7" s="205"/>
      <c r="I7" s="205"/>
      <c r="J7" s="205"/>
      <c r="K7" s="205"/>
      <c r="L7" s="205"/>
      <c r="M7" s="205"/>
      <c r="N7" s="205"/>
      <c r="O7" s="205">
        <v>71000</v>
      </c>
      <c r="P7" s="205">
        <v>63963.963963963979</v>
      </c>
      <c r="Q7" s="205">
        <v>63963.963963963964</v>
      </c>
      <c r="R7" s="205">
        <v>71000.000000000015</v>
      </c>
    </row>
    <row r="8" spans="2:18">
      <c r="B8" s="85">
        <v>2011</v>
      </c>
      <c r="C8" s="205">
        <v>50000</v>
      </c>
      <c r="D8" s="205">
        <v>45045.045045045052</v>
      </c>
      <c r="E8" s="205">
        <v>45045.045045045044</v>
      </c>
      <c r="F8" s="205">
        <v>50000.000000000007</v>
      </c>
      <c r="G8" s="205">
        <v>3584.2950034223131</v>
      </c>
      <c r="H8" s="205">
        <v>3584.2950034223131</v>
      </c>
      <c r="I8" s="205">
        <v>3584.2950034223131</v>
      </c>
      <c r="J8" s="205">
        <v>6810.1605065023941</v>
      </c>
      <c r="K8" s="205"/>
      <c r="L8" s="205"/>
      <c r="M8" s="205"/>
      <c r="N8" s="205"/>
      <c r="O8" s="205">
        <v>53584.29500342231</v>
      </c>
      <c r="P8" s="205">
        <v>48629.340048467369</v>
      </c>
      <c r="Q8" s="205">
        <v>48629.340048467355</v>
      </c>
      <c r="R8" s="205">
        <v>56810.160506502398</v>
      </c>
    </row>
    <row r="9" spans="2:18">
      <c r="B9" s="85">
        <v>2012</v>
      </c>
      <c r="C9" s="205">
        <v>60999.999999999993</v>
      </c>
      <c r="D9" s="205">
        <v>54954.954954954956</v>
      </c>
      <c r="E9" s="205">
        <v>54954.954954954948</v>
      </c>
      <c r="F9" s="205">
        <v>61000</v>
      </c>
      <c r="G9" s="205">
        <v>3594.1149897330597</v>
      </c>
      <c r="H9" s="205">
        <v>3594.1149897330597</v>
      </c>
      <c r="I9" s="205">
        <v>3594.1149897330597</v>
      </c>
      <c r="J9" s="205">
        <v>6828.8184804928123</v>
      </c>
      <c r="K9" s="205"/>
      <c r="L9" s="205"/>
      <c r="M9" s="205"/>
      <c r="N9" s="205"/>
      <c r="O9" s="205">
        <v>64594.114989733054</v>
      </c>
      <c r="P9" s="205">
        <v>58549.069944688017</v>
      </c>
      <c r="Q9" s="205">
        <v>58549.06994468801</v>
      </c>
      <c r="R9" s="205">
        <v>67828.818480492817</v>
      </c>
    </row>
    <row r="10" spans="2:18">
      <c r="B10" s="85">
        <v>2013</v>
      </c>
      <c r="C10" s="205">
        <v>61000</v>
      </c>
      <c r="D10" s="205">
        <v>54954.954954954963</v>
      </c>
      <c r="E10" s="205">
        <v>54954.954954954956</v>
      </c>
      <c r="F10" s="205">
        <v>61000.000000000015</v>
      </c>
      <c r="G10" s="205">
        <v>3584.2950034223131</v>
      </c>
      <c r="H10" s="205">
        <v>3584.2950034223131</v>
      </c>
      <c r="I10" s="205">
        <v>3584.2950034223131</v>
      </c>
      <c r="J10" s="205">
        <v>6810.160506502395</v>
      </c>
      <c r="K10" s="205"/>
      <c r="L10" s="205"/>
      <c r="M10" s="205"/>
      <c r="N10" s="205"/>
      <c r="O10" s="205">
        <v>64584.29500342231</v>
      </c>
      <c r="P10" s="205">
        <v>58539.249958377273</v>
      </c>
      <c r="Q10" s="205">
        <v>58539.249958377266</v>
      </c>
      <c r="R10" s="205">
        <v>67810.160506502405</v>
      </c>
    </row>
    <row r="11" spans="2:18">
      <c r="B11" s="85">
        <v>2014</v>
      </c>
      <c r="C11" s="205">
        <v>50000</v>
      </c>
      <c r="D11" s="205">
        <v>45045.045045045052</v>
      </c>
      <c r="E11" s="205">
        <v>45045.045045045044</v>
      </c>
      <c r="F11" s="205">
        <v>50000.000000000015</v>
      </c>
      <c r="G11" s="205">
        <v>3584.2950034223131</v>
      </c>
      <c r="H11" s="205">
        <v>3584.2950034223131</v>
      </c>
      <c r="I11" s="205">
        <v>3584.2950034223131</v>
      </c>
      <c r="J11" s="205">
        <v>6810.160506502395</v>
      </c>
      <c r="K11" s="205"/>
      <c r="L11" s="205"/>
      <c r="M11" s="205"/>
      <c r="N11" s="205"/>
      <c r="O11" s="205">
        <v>53584.29500342231</v>
      </c>
      <c r="P11" s="205">
        <v>48629.340048467362</v>
      </c>
      <c r="Q11" s="205">
        <v>48629.340048467355</v>
      </c>
      <c r="R11" s="205">
        <v>56810.160506502405</v>
      </c>
    </row>
    <row r="12" spans="2:18">
      <c r="B12" s="85">
        <v>2015</v>
      </c>
      <c r="C12" s="205">
        <v>54000</v>
      </c>
      <c r="D12" s="205">
        <v>48648.648648648654</v>
      </c>
      <c r="E12" s="205">
        <v>48648.648648648639</v>
      </c>
      <c r="F12" s="205">
        <v>54000.000000000007</v>
      </c>
      <c r="G12" s="205">
        <v>14756</v>
      </c>
      <c r="H12" s="205">
        <v>14756</v>
      </c>
      <c r="I12" s="205">
        <v>14756</v>
      </c>
      <c r="J12" s="205">
        <v>28036.399999999994</v>
      </c>
      <c r="K12" s="205"/>
      <c r="L12" s="205"/>
      <c r="M12" s="205"/>
      <c r="N12" s="205"/>
      <c r="O12" s="205">
        <v>68756</v>
      </c>
      <c r="P12" s="205">
        <v>63404.648648648654</v>
      </c>
      <c r="Q12" s="205">
        <v>63404.648648648639</v>
      </c>
      <c r="R12" s="205">
        <v>82036.399999999994</v>
      </c>
    </row>
    <row r="13" spans="2:18">
      <c r="B13" s="85">
        <v>2016</v>
      </c>
      <c r="C13" s="205">
        <v>57000</v>
      </c>
      <c r="D13" s="205">
        <v>51351.351351351361</v>
      </c>
      <c r="E13" s="205">
        <v>51351.351351351346</v>
      </c>
      <c r="F13" s="205">
        <v>57000.000000000015</v>
      </c>
      <c r="G13" s="205">
        <v>14145.000000000002</v>
      </c>
      <c r="H13" s="205">
        <v>14145.000000000002</v>
      </c>
      <c r="I13" s="205">
        <v>14145.000000000002</v>
      </c>
      <c r="J13" s="205">
        <v>26875.5</v>
      </c>
      <c r="K13" s="205"/>
      <c r="L13" s="205"/>
      <c r="M13" s="205"/>
      <c r="N13" s="205"/>
      <c r="O13" s="205">
        <v>71145</v>
      </c>
      <c r="P13" s="205">
        <v>65496.351351351361</v>
      </c>
      <c r="Q13" s="205">
        <v>65496.351351351354</v>
      </c>
      <c r="R13" s="205">
        <v>83875.500000000015</v>
      </c>
    </row>
    <row r="14" spans="2:18">
      <c r="B14" s="85">
        <v>2017</v>
      </c>
      <c r="C14" s="205">
        <v>54000</v>
      </c>
      <c r="D14" s="205">
        <v>48648.648648648654</v>
      </c>
      <c r="E14" s="205">
        <v>48648.648648648646</v>
      </c>
      <c r="F14" s="205">
        <v>54000.000000000015</v>
      </c>
      <c r="G14" s="205">
        <v>13931</v>
      </c>
      <c r="H14" s="205">
        <v>13931</v>
      </c>
      <c r="I14" s="205">
        <v>13931</v>
      </c>
      <c r="J14" s="205">
        <v>26468.899999999998</v>
      </c>
      <c r="K14" s="205"/>
      <c r="L14" s="205"/>
      <c r="M14" s="205"/>
      <c r="N14" s="205"/>
      <c r="O14" s="205">
        <v>67931</v>
      </c>
      <c r="P14" s="205">
        <v>62579.648648648654</v>
      </c>
      <c r="Q14" s="205">
        <v>62579.648648648646</v>
      </c>
      <c r="R14" s="205">
        <v>80468.900000000009</v>
      </c>
    </row>
    <row r="15" spans="2:18">
      <c r="B15" s="85">
        <v>2018</v>
      </c>
      <c r="C15" s="205">
        <v>55000</v>
      </c>
      <c r="D15" s="205">
        <v>49549.549549549556</v>
      </c>
      <c r="E15" s="205">
        <v>49549.549549549549</v>
      </c>
      <c r="F15" s="205">
        <v>55000.000000000015</v>
      </c>
      <c r="G15" s="205">
        <v>13397</v>
      </c>
      <c r="H15" s="205">
        <v>13397</v>
      </c>
      <c r="I15" s="205">
        <v>13397</v>
      </c>
      <c r="J15" s="205">
        <v>25454.299999999996</v>
      </c>
      <c r="K15" s="205">
        <v>0.24010554089709762</v>
      </c>
      <c r="L15" s="205">
        <v>0</v>
      </c>
      <c r="M15" s="205">
        <v>0</v>
      </c>
      <c r="N15" s="205">
        <v>0</v>
      </c>
      <c r="O15" s="205">
        <v>68397.240105540899</v>
      </c>
      <c r="P15" s="205">
        <v>62946.549549549556</v>
      </c>
      <c r="Q15" s="205">
        <v>62946.549549549549</v>
      </c>
      <c r="R15" s="205">
        <v>80454.300000000017</v>
      </c>
    </row>
    <row r="16" spans="2:18">
      <c r="B16" s="85">
        <v>2019</v>
      </c>
      <c r="C16" s="205">
        <v>58000</v>
      </c>
      <c r="D16" s="205">
        <v>52252.252252252263</v>
      </c>
      <c r="E16" s="205">
        <v>52252.252252252249</v>
      </c>
      <c r="F16" s="205">
        <v>58000.000000000015</v>
      </c>
      <c r="G16" s="205">
        <v>13714</v>
      </c>
      <c r="H16" s="205">
        <v>13714</v>
      </c>
      <c r="I16" s="205">
        <v>13714</v>
      </c>
      <c r="J16" s="205">
        <v>26056.6</v>
      </c>
      <c r="K16" s="205">
        <v>87.638522427440634</v>
      </c>
      <c r="L16" s="205">
        <v>0</v>
      </c>
      <c r="M16" s="205">
        <v>0</v>
      </c>
      <c r="N16" s="205">
        <v>0</v>
      </c>
      <c r="O16" s="205">
        <v>71801.638522427442</v>
      </c>
      <c r="P16" s="205">
        <v>65966.252252252263</v>
      </c>
      <c r="Q16" s="205">
        <v>65966.252252252249</v>
      </c>
      <c r="R16" s="205">
        <v>84056.6</v>
      </c>
    </row>
    <row r="17" spans="2:18">
      <c r="B17" s="85">
        <v>2020</v>
      </c>
      <c r="C17" s="205">
        <v>62312.258064516158</v>
      </c>
      <c r="D17" s="205">
        <v>56137.169427492045</v>
      </c>
      <c r="E17" s="205">
        <v>56137.169427492045</v>
      </c>
      <c r="F17" s="205">
        <v>62312.258064516165</v>
      </c>
      <c r="G17" s="205">
        <v>13205.347107438012</v>
      </c>
      <c r="H17" s="205">
        <v>13205.347107438012</v>
      </c>
      <c r="I17" s="205">
        <v>13205.347107438012</v>
      </c>
      <c r="J17" s="205">
        <v>25090.159504132222</v>
      </c>
      <c r="K17" s="205">
        <v>85.225597383774968</v>
      </c>
      <c r="L17" s="205">
        <v>0</v>
      </c>
      <c r="M17" s="205">
        <v>0</v>
      </c>
      <c r="N17" s="205">
        <v>0</v>
      </c>
      <c r="O17" s="205">
        <v>75602.830769337932</v>
      </c>
      <c r="P17" s="205">
        <v>69342.516534930066</v>
      </c>
      <c r="Q17" s="205">
        <v>69342.516534930066</v>
      </c>
      <c r="R17" s="205">
        <v>87402.417568648394</v>
      </c>
    </row>
    <row r="18" spans="2:18">
      <c r="B18" s="85">
        <v>2021</v>
      </c>
      <c r="C18" s="205">
        <v>59510.93548387097</v>
      </c>
      <c r="D18" s="205">
        <v>53613.455390874733</v>
      </c>
      <c r="E18" s="205">
        <v>53613.455390874733</v>
      </c>
      <c r="F18" s="205">
        <v>59510.93548387097</v>
      </c>
      <c r="G18" s="205">
        <v>11671.265795787756</v>
      </c>
      <c r="H18" s="205">
        <v>11671.265795787756</v>
      </c>
      <c r="I18" s="205">
        <v>11671.265795787756</v>
      </c>
      <c r="J18" s="205">
        <v>22175.405011996838</v>
      </c>
      <c r="K18" s="205">
        <v>32.901408450704224</v>
      </c>
      <c r="L18" s="205">
        <v>0</v>
      </c>
      <c r="M18" s="205">
        <v>0</v>
      </c>
      <c r="N18" s="205">
        <v>0</v>
      </c>
      <c r="O18" s="205">
        <v>71215.1026881094</v>
      </c>
      <c r="P18" s="205">
        <v>65284.721186662595</v>
      </c>
      <c r="Q18" s="205">
        <v>65284.721186662595</v>
      </c>
      <c r="R18" s="205">
        <v>81686.340495868018</v>
      </c>
    </row>
    <row r="19" spans="2:18">
      <c r="B19" s="85">
        <v>2022</v>
      </c>
      <c r="C19" s="205">
        <v>44978.806451613011</v>
      </c>
      <c r="D19" s="205">
        <v>40521.447253705337</v>
      </c>
      <c r="E19" s="205">
        <v>40521.44725370533</v>
      </c>
      <c r="F19" s="205">
        <v>44978.806451613011</v>
      </c>
      <c r="G19" s="205">
        <v>13221.903225806447</v>
      </c>
      <c r="H19" s="205">
        <v>13221.903225806447</v>
      </c>
      <c r="I19" s="205">
        <v>13221.903225806447</v>
      </c>
      <c r="J19" s="205">
        <v>25121.616129032205</v>
      </c>
      <c r="K19" s="205">
        <v>44.258366197183101</v>
      </c>
      <c r="L19" s="205">
        <v>0</v>
      </c>
      <c r="M19" s="205">
        <v>0</v>
      </c>
      <c r="N19" s="205">
        <v>0</v>
      </c>
      <c r="O19" s="205">
        <v>58244.968043616725</v>
      </c>
      <c r="P19" s="205">
        <v>53743.350479511879</v>
      </c>
      <c r="Q19" s="205">
        <v>53743.350479511879</v>
      </c>
      <c r="R19" s="205">
        <v>70100.422580645332</v>
      </c>
    </row>
    <row r="20" spans="2:18">
      <c r="B20" s="85">
        <v>2023</v>
      </c>
      <c r="C20" s="205">
        <v>60017.999999999905</v>
      </c>
      <c r="D20" s="205">
        <v>54070.270270270121</v>
      </c>
      <c r="E20" s="205">
        <v>54070.270270270121</v>
      </c>
      <c r="F20" s="205">
        <v>60017.999999999913</v>
      </c>
      <c r="G20" s="205">
        <v>12561.419354838688</v>
      </c>
      <c r="H20" s="205">
        <v>12561.419354838688</v>
      </c>
      <c r="I20" s="205">
        <v>12561.419354838688</v>
      </c>
      <c r="J20" s="205">
        <v>23866.696774193533</v>
      </c>
      <c r="K20" s="205">
        <v>70.169333333333327</v>
      </c>
      <c r="L20" s="205">
        <v>0</v>
      </c>
      <c r="M20" s="205">
        <v>0</v>
      </c>
      <c r="N20" s="205">
        <v>0</v>
      </c>
      <c r="O20" s="205">
        <v>72649.588688171876</v>
      </c>
      <c r="P20" s="205">
        <v>66631.68962510876</v>
      </c>
      <c r="Q20" s="205">
        <v>66631.68962510876</v>
      </c>
      <c r="R20" s="205">
        <v>83884.696774193333</v>
      </c>
    </row>
    <row r="21" spans="2:18">
      <c r="B21" s="85">
        <v>2024</v>
      </c>
      <c r="C21" s="205">
        <v>62937.516129032265</v>
      </c>
      <c r="D21" s="205">
        <v>56700.464981110272</v>
      </c>
      <c r="E21" s="205">
        <v>56700.464981110257</v>
      </c>
      <c r="F21" s="205">
        <v>62937.516129032287</v>
      </c>
      <c r="G21" s="205">
        <v>13234.539925965066</v>
      </c>
      <c r="H21" s="205">
        <v>13234.539925965066</v>
      </c>
      <c r="I21" s="205">
        <v>13234.539925965066</v>
      </c>
      <c r="J21" s="205">
        <v>25145.625859333639</v>
      </c>
      <c r="K21" s="205">
        <v>81.668189509306259</v>
      </c>
      <c r="L21" s="205">
        <v>0</v>
      </c>
      <c r="M21" s="205">
        <v>0</v>
      </c>
      <c r="N21" s="205">
        <v>0</v>
      </c>
      <c r="O21" s="205">
        <v>76253.72424450668</v>
      </c>
      <c r="P21" s="205">
        <v>69935.004907075345</v>
      </c>
      <c r="Q21" s="205">
        <v>69935.00490707533</v>
      </c>
      <c r="R21" s="205">
        <v>88083.141988365911</v>
      </c>
    </row>
    <row r="22" spans="2:18">
      <c r="B22" s="85">
        <v>2025</v>
      </c>
      <c r="C22" s="205">
        <v>61188.096774193495</v>
      </c>
      <c r="D22" s="205">
        <v>55124.411508282443</v>
      </c>
      <c r="E22" s="205">
        <v>55124.411508282436</v>
      </c>
      <c r="F22" s="205">
        <v>61188.096774193495</v>
      </c>
      <c r="G22" s="205">
        <v>13798.524590163939</v>
      </c>
      <c r="H22" s="205">
        <v>13798.524590163939</v>
      </c>
      <c r="I22" s="205">
        <v>13798.524590163939</v>
      </c>
      <c r="J22" s="205">
        <v>26217.196721311528</v>
      </c>
      <c r="K22" s="205">
        <v>68.898477157360404</v>
      </c>
      <c r="L22" s="205">
        <v>0</v>
      </c>
      <c r="M22" s="205">
        <v>0</v>
      </c>
      <c r="N22" s="205">
        <v>0</v>
      </c>
      <c r="O22" s="205">
        <v>75055.519841514804</v>
      </c>
      <c r="P22" s="205">
        <v>68922.936098446386</v>
      </c>
      <c r="Q22" s="205">
        <v>68922.936098446386</v>
      </c>
      <c r="R22" s="205">
        <v>87405.293495505059</v>
      </c>
    </row>
    <row r="23" spans="2:18">
      <c r="B23" s="85">
        <v>2026</v>
      </c>
      <c r="C23" s="205">
        <v>34205.38709677416</v>
      </c>
      <c r="D23" s="205">
        <v>30815.664051147978</v>
      </c>
      <c r="E23" s="205">
        <v>30815.664051147975</v>
      </c>
      <c r="F23" s="205">
        <v>34205.387096774204</v>
      </c>
      <c r="G23" s="205"/>
      <c r="H23" s="205"/>
      <c r="I23" s="205"/>
      <c r="J23" s="205"/>
      <c r="K23" s="205"/>
      <c r="L23" s="205"/>
      <c r="M23" s="205"/>
      <c r="N23" s="205"/>
      <c r="O23" s="205">
        <v>34205.38709677416</v>
      </c>
      <c r="P23" s="205">
        <v>30815.664051147978</v>
      </c>
      <c r="Q23" s="205">
        <v>30815.664051147975</v>
      </c>
      <c r="R23" s="205">
        <v>34205.387096774204</v>
      </c>
    </row>
    <row r="24" spans="2:18">
      <c r="B24" s="85" t="s">
        <v>86</v>
      </c>
      <c r="C24" s="205">
        <v>956151.0000000021</v>
      </c>
      <c r="D24" s="205">
        <v>861397.2972972967</v>
      </c>
      <c r="E24" s="205">
        <v>861397.29729729646</v>
      </c>
      <c r="F24" s="205">
        <v>956151.0000000021</v>
      </c>
      <c r="G24" s="205">
        <v>161983.00000000035</v>
      </c>
      <c r="H24" s="205">
        <v>161983.00000000035</v>
      </c>
      <c r="I24" s="205">
        <v>161983.00000000035</v>
      </c>
      <c r="J24" s="205">
        <v>307767.70000000019</v>
      </c>
      <c r="K24" s="205">
        <v>470.99999999999989</v>
      </c>
      <c r="L24" s="205">
        <v>0</v>
      </c>
      <c r="M24" s="205">
        <v>0</v>
      </c>
      <c r="N24" s="205">
        <v>0</v>
      </c>
      <c r="O24" s="205">
        <v>1118604.9999999988</v>
      </c>
      <c r="P24" s="205">
        <v>1023380.2972972943</v>
      </c>
      <c r="Q24" s="205">
        <v>1023380.2972972941</v>
      </c>
      <c r="R24" s="205">
        <v>1263918.6999999995</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6"/>
  <dimension ref="A2:BJ240"/>
  <sheetViews>
    <sheetView zoomScale="55" zoomScaleNormal="55" workbookViewId="0">
      <selection activeCell="M49" sqref="M49"/>
    </sheetView>
  </sheetViews>
  <sheetFormatPr baseColWidth="10" defaultColWidth="11.36328125" defaultRowHeight="14.5"/>
  <cols>
    <col min="1" max="1" width="16.08984375" customWidth="1"/>
    <col min="2" max="2" width="9.6328125" customWidth="1"/>
    <col min="3" max="43" width="13.26953125" customWidth="1"/>
  </cols>
  <sheetData>
    <row r="2" spans="1:62" ht="18.5">
      <c r="C2" s="819" t="s">
        <v>98</v>
      </c>
      <c r="D2" s="820"/>
      <c r="E2" s="820"/>
      <c r="F2" s="820"/>
      <c r="G2" s="820"/>
      <c r="H2" s="820"/>
      <c r="I2" s="820"/>
      <c r="J2" s="820"/>
      <c r="K2" s="821"/>
    </row>
    <row r="3" spans="1:62" ht="15" thickBot="1">
      <c r="H3" s="158" t="s">
        <v>99</v>
      </c>
      <c r="N3">
        <v>2021</v>
      </c>
      <c r="X3">
        <v>2022</v>
      </c>
      <c r="AH3">
        <v>2023</v>
      </c>
      <c r="AR3">
        <v>2024</v>
      </c>
      <c r="BB3">
        <v>2025</v>
      </c>
    </row>
    <row r="4" spans="1:62" ht="73" thickBot="1">
      <c r="A4" s="239" t="s">
        <v>502</v>
      </c>
      <c r="C4" s="123" t="s">
        <v>100</v>
      </c>
      <c r="D4" s="124" t="s">
        <v>101</v>
      </c>
      <c r="E4" s="125" t="s">
        <v>102</v>
      </c>
      <c r="F4" s="126" t="s">
        <v>103</v>
      </c>
      <c r="G4" s="127" t="s">
        <v>104</v>
      </c>
      <c r="H4" s="159" t="s">
        <v>105</v>
      </c>
      <c r="I4" s="128" t="s">
        <v>106</v>
      </c>
      <c r="J4" s="128" t="s">
        <v>107</v>
      </c>
      <c r="K4" s="160" t="s">
        <v>108</v>
      </c>
      <c r="L4" s="129" t="s">
        <v>109</v>
      </c>
      <c r="M4" s="130"/>
      <c r="N4" s="124" t="s">
        <v>110</v>
      </c>
      <c r="O4" s="125" t="s">
        <v>102</v>
      </c>
      <c r="P4" s="131" t="s">
        <v>103</v>
      </c>
      <c r="Q4" s="132" t="s">
        <v>104</v>
      </c>
      <c r="R4" s="159" t="s">
        <v>105</v>
      </c>
      <c r="S4" s="128" t="s">
        <v>106</v>
      </c>
      <c r="T4" s="128" t="s">
        <v>107</v>
      </c>
      <c r="U4" s="128" t="s">
        <v>108</v>
      </c>
      <c r="V4" s="129" t="s">
        <v>109</v>
      </c>
      <c r="W4" s="130"/>
      <c r="X4" s="123" t="s">
        <v>111</v>
      </c>
      <c r="Y4" s="125" t="s">
        <v>102</v>
      </c>
      <c r="Z4" s="126" t="s">
        <v>103</v>
      </c>
      <c r="AA4" s="127" t="s">
        <v>104</v>
      </c>
      <c r="AB4" s="159" t="s">
        <v>105</v>
      </c>
      <c r="AC4" s="128" t="s">
        <v>106</v>
      </c>
      <c r="AD4" s="128" t="s">
        <v>107</v>
      </c>
      <c r="AE4" s="128" t="s">
        <v>108</v>
      </c>
      <c r="AF4" s="129" t="s">
        <v>109</v>
      </c>
      <c r="AG4" s="130"/>
      <c r="AH4" s="123" t="s">
        <v>112</v>
      </c>
      <c r="AI4" s="125" t="s">
        <v>102</v>
      </c>
      <c r="AJ4" s="126" t="s">
        <v>103</v>
      </c>
      <c r="AK4" s="127" t="s">
        <v>104</v>
      </c>
      <c r="AL4" s="159" t="s">
        <v>105</v>
      </c>
      <c r="AM4" s="128" t="s">
        <v>106</v>
      </c>
      <c r="AN4" s="128" t="s">
        <v>107</v>
      </c>
      <c r="AO4" s="128" t="s">
        <v>108</v>
      </c>
      <c r="AP4" s="129" t="s">
        <v>109</v>
      </c>
      <c r="AQ4" s="130"/>
      <c r="AR4" s="123" t="s">
        <v>113</v>
      </c>
      <c r="AS4" s="125" t="s">
        <v>102</v>
      </c>
      <c r="AT4" s="126" t="s">
        <v>103</v>
      </c>
      <c r="AU4" s="127" t="s">
        <v>104</v>
      </c>
      <c r="AV4" s="159" t="s">
        <v>105</v>
      </c>
      <c r="AW4" s="128" t="s">
        <v>106</v>
      </c>
      <c r="AX4" s="128" t="s">
        <v>107</v>
      </c>
      <c r="AY4" s="128" t="s">
        <v>108</v>
      </c>
      <c r="AZ4" s="129" t="s">
        <v>109</v>
      </c>
      <c r="BB4" s="123" t="s">
        <v>113</v>
      </c>
      <c r="BC4" s="125" t="s">
        <v>102</v>
      </c>
      <c r="BD4" s="126" t="s">
        <v>103</v>
      </c>
      <c r="BE4" s="127" t="s">
        <v>104</v>
      </c>
      <c r="BF4" s="159" t="s">
        <v>105</v>
      </c>
      <c r="BG4" s="128" t="s">
        <v>106</v>
      </c>
      <c r="BH4" s="128" t="s">
        <v>107</v>
      </c>
      <c r="BI4" s="128" t="s">
        <v>108</v>
      </c>
      <c r="BJ4" s="129" t="s">
        <v>109</v>
      </c>
    </row>
    <row r="5" spans="1:62">
      <c r="C5" t="str">
        <f>'CALCUL DEET'!D11</f>
        <v>Année</v>
      </c>
      <c r="D5" s="121" t="e">
        <f>'CALCUL DEET'!D18</f>
        <v>#N/A</v>
      </c>
      <c r="E5" s="121">
        <f>'CALCUL DEET'!D30</f>
        <v>0</v>
      </c>
      <c r="F5" s="121">
        <f>'CALCUL DEET'!D14</f>
        <v>0</v>
      </c>
      <c r="G5" s="116" t="e">
        <f>GETPIVOTDATA("Somme de Conso_mois_U ",#REF!,"ANNEE",C5,"Type","Consommation","Detail usage","General EF")</f>
        <v>#REF!</v>
      </c>
      <c r="H5" s="161">
        <f>IF('CALCUL DEET'!D30=0,0,SUM('CALCUL DEET'!D36:'CALCUL DEET'!D38))</f>
        <v>0</v>
      </c>
      <c r="I5" s="161">
        <f>'CALCUL DEET'!D35</f>
        <v>0</v>
      </c>
      <c r="J5" s="161">
        <f>IF('CALCUL DEET'!D30=0,0,SUM('CALCUL DEET'!D35:'CALCUL DEET'!D38))</f>
        <v>0</v>
      </c>
      <c r="K5" s="161">
        <f>'CALCUL DEET'!D33</f>
        <v>0</v>
      </c>
      <c r="L5" s="161" t="e">
        <f>(G5/(VLOOKUP(C5,Site!$B$8:$G$23,5,FALSE)+VLOOKUP(C5,Site!$B$8:$G$23,6,FALSE))*1000/(DATE(C5,12,31)-DATE(C5,1,1)+1))</f>
        <v>#REF!</v>
      </c>
      <c r="N5" s="121">
        <f>'CALCUL DEET'!F18</f>
        <v>0</v>
      </c>
      <c r="O5" s="121">
        <f>'CALCUL DEET'!F30</f>
        <v>53613.455390874733</v>
      </c>
      <c r="P5" s="121">
        <f>'CALCUL DEET'!F14</f>
        <v>11671.265795787756</v>
      </c>
      <c r="Q5" s="116" t="e">
        <f>GETPIVOTDATA("Somme de Conso_mois_U ",#REF!,"ANNEE",N3,"Type","Consommation","Detail usage","General EF")</f>
        <v>#REF!</v>
      </c>
      <c r="R5" s="161" t="e">
        <f>IF('CALCUL DEET'!F30=0,0,SUM('CALCUL DEET'!F36:'CALCUL DEET'!F38))</f>
        <v>#DIV/0!</v>
      </c>
      <c r="S5" s="161" t="e">
        <f>'CALCUL DEET'!F35</f>
        <v>#DIV/0!</v>
      </c>
      <c r="T5" s="161" t="e">
        <f>IF('CALCUL DEET'!F30=0,0,SUM('CALCUL DEET'!F35:'CALCUL DEET'!F38))</f>
        <v>#DIV/0!</v>
      </c>
      <c r="U5" s="161" t="e">
        <f>'CALCUL DEET'!F33</f>
        <v>#DIV/0!</v>
      </c>
      <c r="V5" s="161" t="e">
        <f>(Q5/(VLOOKUP(N3,Site!$B$8:$G$23,5,FALSE)+VLOOKUP(N3,Site!$B$8:$G$23,6,FALSE)))*1000/(DATE(N3,12,31)-DATE(N3,1,1)+1)</f>
        <v>#REF!</v>
      </c>
      <c r="X5" s="121">
        <f>'CALCUL DEET'!G18</f>
        <v>0</v>
      </c>
      <c r="Y5" s="121">
        <f>'CALCUL DEET'!G30</f>
        <v>40521.44725370533</v>
      </c>
      <c r="Z5" s="121">
        <f>'CALCUL DEET'!G14</f>
        <v>13221.903225806447</v>
      </c>
      <c r="AA5" s="116" t="e">
        <f>GETPIVOTDATA("Somme de Conso_mois_U ",#REF!,"ANNEE",X3,"Type","Consommation","Detail usage","General EF")</f>
        <v>#REF!</v>
      </c>
      <c r="AB5" s="161" t="e">
        <f>IF('CALCUL DEET'!G30=0,0,SUM('CALCUL DEET'!G36:'CALCUL DEET'!G38))</f>
        <v>#DIV/0!</v>
      </c>
      <c r="AC5" s="161" t="e">
        <f>'CALCUL DEET'!G35</f>
        <v>#DIV/0!</v>
      </c>
      <c r="AD5" s="161" t="e">
        <f>IF('CALCUL DEET'!G30=0,0,SUM('CALCUL DEET'!G35:'CALCUL DEET'!G38))</f>
        <v>#DIV/0!</v>
      </c>
      <c r="AE5" s="161" t="e">
        <f>'CALCUL DEET'!G33</f>
        <v>#DIV/0!</v>
      </c>
      <c r="AF5" s="161" t="e">
        <f>(AA5/(VLOOKUP(X3,Site!$B$8:$G$23,5,FALSE)+VLOOKUP(X3,Site!$B$8:$G$23,6,FALSE)))*1000/(DATE(X3,12,31)-DATE(X3,1,1)+1)</f>
        <v>#REF!</v>
      </c>
      <c r="AH5" s="121">
        <f>'CALCUL DEET'!H18</f>
        <v>0</v>
      </c>
      <c r="AI5" s="121">
        <f>'CALCUL DEET'!H30</f>
        <v>54070.270270270121</v>
      </c>
      <c r="AJ5" s="121">
        <f>'CALCUL DEET'!H14</f>
        <v>12561.419354838688</v>
      </c>
      <c r="AK5" s="116" t="e">
        <f>GETPIVOTDATA("Somme de Conso_mois_U ",#REF!,"ANNEE",AH3,"Type","Consommation","Detail usage","General EF")</f>
        <v>#REF!</v>
      </c>
      <c r="AL5" s="161" t="e">
        <f>IF('CALCUL DEET'!H30=0,0,SUM('CALCUL DEET'!H36:'CALCUL DEET'!H38))</f>
        <v>#DIV/0!</v>
      </c>
      <c r="AM5" s="161" t="e">
        <f>'CALCUL DEET'!H35</f>
        <v>#DIV/0!</v>
      </c>
      <c r="AN5" s="161" t="e">
        <f>IF('CALCUL DEET'!H30=0,0,SUM('CALCUL DEET'!H35:'CALCUL DEET'!H38))</f>
        <v>#DIV/0!</v>
      </c>
      <c r="AO5" s="161" t="e">
        <f>'CALCUL DEET'!H33</f>
        <v>#DIV/0!</v>
      </c>
      <c r="AP5" s="161" t="e">
        <f>(AK5/(VLOOKUP(AH3,Site!$B$8:$G$23,5,FALSE)+VLOOKUP(AH3,Site!$B$8:$G$23,6,FALSE)))*1000/(DATE(AH3,12,31)-DATE(AH3,1,1)+1)</f>
        <v>#REF!</v>
      </c>
      <c r="AR5" s="121">
        <f>'CALCUL DEET'!I18</f>
        <v>0</v>
      </c>
      <c r="AS5" s="121">
        <f>'CALCUL DEET'!I30</f>
        <v>56700.464981110257</v>
      </c>
      <c r="AT5" s="121">
        <f>'CALCUL DEET'!I14</f>
        <v>13234.539925965066</v>
      </c>
      <c r="AU5" s="116" t="e">
        <f>GETPIVOTDATA("Somme de Conso_mois_U ",#REF!,"ANNEE",AR3,"Type","Consommation","Detail usage","General EF")</f>
        <v>#REF!</v>
      </c>
      <c r="AV5" s="161" t="e">
        <f>IF('CALCUL DEET'!I30=0,0,SUM('CALCUL DEET'!I36:'CALCUL DEET'!I38))</f>
        <v>#DIV/0!</v>
      </c>
      <c r="AW5" s="161" t="e">
        <f>'CALCUL DEET'!I35</f>
        <v>#DIV/0!</v>
      </c>
      <c r="AX5" s="161" t="e">
        <f>IF('CALCUL DEET'!I30=0,0,SUM('CALCUL DEET'!I35:'CALCUL DEET'!I38))</f>
        <v>#DIV/0!</v>
      </c>
      <c r="AY5" s="161" t="e">
        <f>'CALCUL DEET'!I33</f>
        <v>#DIV/0!</v>
      </c>
      <c r="AZ5" s="161" t="e">
        <f>(AU5/(VLOOKUP(AR3,Site!$B$8:$G$23,5,FALSE)+VLOOKUP(AR3,Site!$B$8:$G$23,6,FALSE)))*1000/(DATE(AR3,12,31)-DATE(AR3,1,1)+1)</f>
        <v>#REF!</v>
      </c>
      <c r="BB5" s="121">
        <f>'CALCUL DEET'!J18</f>
        <v>0</v>
      </c>
      <c r="BC5" s="121">
        <f>'CALCUL DEET'!J30</f>
        <v>55124.411508282436</v>
      </c>
      <c r="BD5" s="121">
        <f>'CALCUL DEET'!J14</f>
        <v>13798.524590163939</v>
      </c>
      <c r="BE5" s="116" t="e">
        <f>GETPIVOTDATA("Somme de Conso_mois_U ",#REF!,"ANNEE",BB3,"Type","Consommation","Detail usage","General EF")</f>
        <v>#REF!</v>
      </c>
      <c r="BF5" s="161" t="e">
        <f>IF('CALCUL DEET'!J30=0,0,SUM('CALCUL DEET'!J36:'CALCUL DEET'!J38))</f>
        <v>#DIV/0!</v>
      </c>
      <c r="BG5" s="161" t="e">
        <f>'CALCUL DEET'!J35</f>
        <v>#DIV/0!</v>
      </c>
      <c r="BH5" s="161" t="e">
        <f>IF('CALCUL DEET'!J30=0,0,SUM('CALCUL DEET'!J35:'CALCUL DEET'!J38))</f>
        <v>#DIV/0!</v>
      </c>
      <c r="BI5" s="161" t="e">
        <f>'CALCUL DEET'!J33</f>
        <v>#DIV/0!</v>
      </c>
      <c r="BJ5" s="161" t="e">
        <f>(BE5/(VLOOKUP(BB3,Site!$B$8:$G$23,5,FALSE)+VLOOKUP(BB3,Site!$B$8:$G$23,6,FALSE)))*1000/(DATE(BB3,12,31)-DATE(BB3,1,1)+1)</f>
        <v>#REF!</v>
      </c>
    </row>
    <row r="6" spans="1:62">
      <c r="K6" s="162" t="s">
        <v>114</v>
      </c>
    </row>
    <row r="7" spans="1:62" s="227" customFormat="1">
      <c r="F7" s="227">
        <v>2021</v>
      </c>
      <c r="G7" s="227">
        <v>2022</v>
      </c>
      <c r="H7" s="227">
        <v>2023</v>
      </c>
      <c r="I7" s="227">
        <v>2024</v>
      </c>
      <c r="J7" s="227">
        <v>2025</v>
      </c>
      <c r="K7" s="227">
        <v>2026</v>
      </c>
      <c r="N7" s="227">
        <v>2021</v>
      </c>
      <c r="O7" s="227">
        <v>2022</v>
      </c>
      <c r="P7" s="227">
        <v>2023</v>
      </c>
      <c r="Q7" s="227">
        <v>2024</v>
      </c>
      <c r="R7" s="227">
        <v>2025</v>
      </c>
      <c r="S7" s="227">
        <v>2026</v>
      </c>
      <c r="U7" s="227" t="str">
        <f>C10</f>
        <v>Année</v>
      </c>
      <c r="V7" s="227">
        <v>2021</v>
      </c>
      <c r="W7" s="227">
        <v>2022</v>
      </c>
      <c r="X7" s="227">
        <v>2023</v>
      </c>
      <c r="Y7" s="227">
        <v>2024</v>
      </c>
      <c r="Z7" s="227">
        <v>2025</v>
      </c>
      <c r="AA7" s="227">
        <v>2026</v>
      </c>
      <c r="AD7" s="227">
        <v>2021</v>
      </c>
      <c r="AE7" s="227">
        <v>2022</v>
      </c>
      <c r="AF7" s="227">
        <v>2023</v>
      </c>
      <c r="AG7" s="227">
        <v>2024</v>
      </c>
      <c r="AH7" s="227">
        <v>2025</v>
      </c>
      <c r="AI7" s="227">
        <v>2026</v>
      </c>
      <c r="AL7" s="227">
        <v>2021</v>
      </c>
      <c r="AM7" s="227">
        <v>2022</v>
      </c>
      <c r="AN7" s="227">
        <v>2023</v>
      </c>
      <c r="AO7" s="227">
        <v>2024</v>
      </c>
      <c r="AP7" s="227">
        <v>2025</v>
      </c>
      <c r="AQ7" s="227">
        <v>2026</v>
      </c>
    </row>
    <row r="8" spans="1:62" ht="72.5">
      <c r="A8" s="239" t="s">
        <v>501</v>
      </c>
      <c r="C8" s="238" t="s">
        <v>100</v>
      </c>
      <c r="D8" s="237"/>
      <c r="E8" s="469" t="s">
        <v>466</v>
      </c>
      <c r="F8" s="469" t="s">
        <v>467</v>
      </c>
      <c r="G8" s="469" t="s">
        <v>468</v>
      </c>
      <c r="H8" s="469" t="s">
        <v>469</v>
      </c>
      <c r="I8" s="469" t="s">
        <v>470</v>
      </c>
      <c r="J8" s="469" t="s">
        <v>471</v>
      </c>
      <c r="K8" s="469" t="s">
        <v>472</v>
      </c>
      <c r="L8" s="237"/>
      <c r="M8" s="471" t="s">
        <v>473</v>
      </c>
      <c r="N8" s="471" t="s">
        <v>474</v>
      </c>
      <c r="O8" s="471" t="s">
        <v>475</v>
      </c>
      <c r="P8" s="471" t="s">
        <v>476</v>
      </c>
      <c r="Q8" s="471" t="s">
        <v>477</v>
      </c>
      <c r="R8" s="471" t="s">
        <v>478</v>
      </c>
      <c r="S8" s="471" t="s">
        <v>479</v>
      </c>
      <c r="T8" s="237"/>
      <c r="U8" s="473" t="s">
        <v>480</v>
      </c>
      <c r="V8" s="473" t="s">
        <v>481</v>
      </c>
      <c r="W8" s="473" t="s">
        <v>482</v>
      </c>
      <c r="X8" s="473" t="s">
        <v>483</v>
      </c>
      <c r="Y8" s="473" t="s">
        <v>484</v>
      </c>
      <c r="Z8" s="473" t="s">
        <v>485</v>
      </c>
      <c r="AA8" s="473" t="s">
        <v>486</v>
      </c>
      <c r="AB8" s="237"/>
      <c r="AC8" s="474" t="s">
        <v>487</v>
      </c>
      <c r="AD8" s="474" t="s">
        <v>488</v>
      </c>
      <c r="AE8" s="474" t="s">
        <v>489</v>
      </c>
      <c r="AF8" s="474" t="s">
        <v>490</v>
      </c>
      <c r="AG8" s="474" t="s">
        <v>491</v>
      </c>
      <c r="AH8" s="474" t="s">
        <v>492</v>
      </c>
      <c r="AI8" s="474" t="s">
        <v>493</v>
      </c>
      <c r="AJ8" s="237"/>
      <c r="AK8" s="474" t="s">
        <v>494</v>
      </c>
      <c r="AL8" s="474" t="s">
        <v>495</v>
      </c>
      <c r="AM8" s="474" t="s">
        <v>496</v>
      </c>
      <c r="AN8" s="474" t="s">
        <v>497</v>
      </c>
      <c r="AO8" s="474" t="s">
        <v>498</v>
      </c>
      <c r="AP8" s="474" t="s">
        <v>499</v>
      </c>
      <c r="AQ8" s="474" t="s">
        <v>500</v>
      </c>
    </row>
    <row r="9" spans="1:62" s="227" customFormat="1">
      <c r="C9" s="238"/>
      <c r="D9" s="237"/>
      <c r="E9" s="470">
        <f>'CALCUL DEET'!D30</f>
        <v>0</v>
      </c>
      <c r="F9" s="470">
        <f>'CALCUL DEET'!F30</f>
        <v>53613.455390874733</v>
      </c>
      <c r="G9" s="470">
        <f>'CALCUL DEET'!G30</f>
        <v>40521.44725370533</v>
      </c>
      <c r="H9" s="470">
        <f>'CALCUL DEET'!H30</f>
        <v>54070.270270270121</v>
      </c>
      <c r="I9" s="470">
        <f>'CALCUL DEET'!I30</f>
        <v>56700.464981110257</v>
      </c>
      <c r="J9" s="470">
        <f>'CALCUL DEET'!J30</f>
        <v>55124.411508282436</v>
      </c>
      <c r="K9" s="470">
        <f>'CALCUL DEET'!K30</f>
        <v>30815.664051147975</v>
      </c>
      <c r="L9" s="237"/>
      <c r="M9" s="471">
        <f>'CALCUL DEET'!D14</f>
        <v>0</v>
      </c>
      <c r="N9" s="472">
        <f>'CALCUL DEET'!F14</f>
        <v>11671.265795787756</v>
      </c>
      <c r="O9" s="472">
        <f>'CALCUL DEET'!G14</f>
        <v>13221.903225806447</v>
      </c>
      <c r="P9" s="472">
        <f>'CALCUL DEET'!H14</f>
        <v>12561.419354838688</v>
      </c>
      <c r="Q9" s="472">
        <f>'CALCUL DEET'!I14</f>
        <v>13234.539925965066</v>
      </c>
      <c r="R9" s="472">
        <f>'CALCUL DEET'!J14</f>
        <v>13798.524590163939</v>
      </c>
      <c r="S9" s="472">
        <f>'CALCUL DEET'!K14</f>
        <v>0</v>
      </c>
      <c r="T9" s="237"/>
      <c r="U9" s="473">
        <f>HLOOKUP(U7,'CALCUL DEET'!C11:N40,30,0)</f>
        <v>0</v>
      </c>
      <c r="V9" s="473">
        <f>HLOOKUP(V7,'CALCUL DEET'!D11:O40,30,0)</f>
        <v>32.901408450704224</v>
      </c>
      <c r="W9" s="473">
        <f>HLOOKUP(W7,'CALCUL DEET'!E11:P40,30,0)</f>
        <v>44.258366197183101</v>
      </c>
      <c r="X9" s="473">
        <f>HLOOKUP(X7,'CALCUL DEET'!F11:Q40,30,0)</f>
        <v>70.169333333333327</v>
      </c>
      <c r="Y9" s="473">
        <f>HLOOKUP(Y7,'CALCUL DEET'!G11:R40,30,0)</f>
        <v>81.668189509306259</v>
      </c>
      <c r="Z9" s="473">
        <f>HLOOKUP(Z7,'CALCUL DEET'!H11:S40,30,0)</f>
        <v>68.898477157360404</v>
      </c>
      <c r="AA9" s="473">
        <f>HLOOKUP(AA7,'CALCUL DEET'!I11:T40,30,0)</f>
        <v>0</v>
      </c>
      <c r="AB9" s="237"/>
      <c r="AC9" s="474">
        <f>IF('CALCUL DEET'!D30=0,0,SUM('CALCUL DEET'!D36:'CALCUL DEET'!D38))</f>
        <v>0</v>
      </c>
      <c r="AD9" s="474" t="e">
        <f>IF('CALCUL DEET'!F30=0,0,SUM('CALCUL DEET'!F36:'CALCUL DEET'!F38))</f>
        <v>#DIV/0!</v>
      </c>
      <c r="AE9" s="474" t="e">
        <f>IF('CALCUL DEET'!G30=0,0,SUM('CALCUL DEET'!G36:'CALCUL DEET'!G38))</f>
        <v>#DIV/0!</v>
      </c>
      <c r="AF9" s="474" t="e">
        <f>IF('CALCUL DEET'!H30=0,0,SUM('CALCUL DEET'!H36:'CALCUL DEET'!H38))</f>
        <v>#DIV/0!</v>
      </c>
      <c r="AG9" s="474" t="e">
        <f>IF('CALCUL DEET'!I30=0,0,SUM('CALCUL DEET'!I36:'CALCUL DEET'!I38))</f>
        <v>#DIV/0!</v>
      </c>
      <c r="AH9" s="474" t="e">
        <f>IF('CALCUL DEET'!J30=0,0,SUM('CALCUL DEET'!J36:'CALCUL DEET'!J38))</f>
        <v>#DIV/0!</v>
      </c>
      <c r="AI9" s="474">
        <f>IF('CALCUL DEET'!K30=0,0,SUM('CALCUL DEET'!K36:'CALCUL DEET'!K38))</f>
        <v>0</v>
      </c>
      <c r="AJ9" s="237"/>
      <c r="AK9" s="474">
        <f>'CALCUL DEET'!D35</f>
        <v>0</v>
      </c>
      <c r="AL9" s="474" t="e">
        <f>'CALCUL DEET'!F35</f>
        <v>#DIV/0!</v>
      </c>
      <c r="AM9" s="474" t="e">
        <f>'CALCUL DEET'!G35</f>
        <v>#DIV/0!</v>
      </c>
      <c r="AN9" s="474" t="e">
        <f>'CALCUL DEET'!H35</f>
        <v>#DIV/0!</v>
      </c>
      <c r="AO9" s="474" t="e">
        <f>'CALCUL DEET'!I35</f>
        <v>#DIV/0!</v>
      </c>
      <c r="AP9" s="474" t="e">
        <f>'CALCUL DEET'!J35</f>
        <v>#DIV/0!</v>
      </c>
      <c r="AQ9" s="474">
        <f>'CALCUL DEET'!K35</f>
        <v>0</v>
      </c>
    </row>
    <row r="10" spans="1:62" s="227" customFormat="1" ht="29">
      <c r="A10" s="241" t="s">
        <v>503</v>
      </c>
      <c r="C10" s="434" t="str">
        <f>'CALCUL DEET'!D11</f>
        <v>Année</v>
      </c>
      <c r="D10" s="436">
        <f ca="1">TODAY()</f>
        <v>46218</v>
      </c>
      <c r="E10" s="435" t="str">
        <f t="shared" ref="E10:K10" si="0">IF($A$12&lt;E7,"",IF(E9=0,"",E9))</f>
        <v/>
      </c>
      <c r="F10" s="435">
        <f t="shared" si="0"/>
        <v>53613.455390874733</v>
      </c>
      <c r="G10" s="435">
        <f t="shared" si="0"/>
        <v>40521.44725370533</v>
      </c>
      <c r="H10" s="435">
        <f t="shared" si="0"/>
        <v>54070.270270270121</v>
      </c>
      <c r="I10" s="435">
        <f t="shared" si="0"/>
        <v>56700.464981110257</v>
      </c>
      <c r="J10" s="435">
        <f t="shared" si="0"/>
        <v>55124.411508282436</v>
      </c>
      <c r="K10" s="435" t="str">
        <f t="shared" si="0"/>
        <v/>
      </c>
      <c r="L10" s="436">
        <f ca="1">TODAY()</f>
        <v>46218</v>
      </c>
      <c r="M10" s="435" t="str">
        <f t="shared" ref="M10:S10" si="1">IF($A$12&lt;M7,"",IF(M9=0,"",M9))</f>
        <v/>
      </c>
      <c r="N10" s="435">
        <f t="shared" si="1"/>
        <v>11671.265795787756</v>
      </c>
      <c r="O10" s="435">
        <f t="shared" si="1"/>
        <v>13221.903225806447</v>
      </c>
      <c r="P10" s="435">
        <f t="shared" si="1"/>
        <v>12561.419354838688</v>
      </c>
      <c r="Q10" s="435">
        <f t="shared" si="1"/>
        <v>13234.539925965066</v>
      </c>
      <c r="R10" s="435">
        <f t="shared" si="1"/>
        <v>13798.524590163939</v>
      </c>
      <c r="S10" s="435" t="str">
        <f t="shared" si="1"/>
        <v/>
      </c>
      <c r="T10" s="436">
        <f ca="1">TODAY()</f>
        <v>46218</v>
      </c>
      <c r="U10" s="435" t="str">
        <f>IF($A$12&lt;U7,"",IF(U9=0,"",U9))</f>
        <v/>
      </c>
      <c r="V10" s="435">
        <f t="shared" ref="V10:AA10" si="2">IF($A$12&lt;V7,"",IF(V9=0,"",V9))</f>
        <v>32.901408450704224</v>
      </c>
      <c r="W10" s="435">
        <f t="shared" si="2"/>
        <v>44.258366197183101</v>
      </c>
      <c r="X10" s="435">
        <f t="shared" si="2"/>
        <v>70.169333333333327</v>
      </c>
      <c r="Y10" s="435">
        <f t="shared" si="2"/>
        <v>81.668189509306259</v>
      </c>
      <c r="Z10" s="435">
        <f t="shared" si="2"/>
        <v>68.898477157360404</v>
      </c>
      <c r="AA10" s="435" t="str">
        <f t="shared" si="2"/>
        <v/>
      </c>
      <c r="AB10" s="436">
        <f ca="1">TODAY()</f>
        <v>46218</v>
      </c>
      <c r="AC10" s="435" t="str">
        <f t="shared" ref="AC10:AI10" si="3">IF($A$12&lt;AC7,"",IF(AC9=0,"",AC9))</f>
        <v/>
      </c>
      <c r="AD10" s="435" t="e">
        <f t="shared" si="3"/>
        <v>#DIV/0!</v>
      </c>
      <c r="AE10" s="435" t="e">
        <f t="shared" si="3"/>
        <v>#DIV/0!</v>
      </c>
      <c r="AF10" s="435" t="e">
        <f t="shared" si="3"/>
        <v>#DIV/0!</v>
      </c>
      <c r="AG10" s="435" t="e">
        <f t="shared" si="3"/>
        <v>#DIV/0!</v>
      </c>
      <c r="AH10" s="435" t="e">
        <f t="shared" si="3"/>
        <v>#DIV/0!</v>
      </c>
      <c r="AI10" s="435" t="str">
        <f t="shared" si="3"/>
        <v/>
      </c>
      <c r="AJ10" s="436">
        <f ca="1">TODAY()</f>
        <v>46218</v>
      </c>
      <c r="AK10" s="435" t="str">
        <f t="shared" ref="AK10:AQ10" si="4">IF($A$12&lt;AK7,"",IF(AK9=0,"0",AK9))</f>
        <v>0</v>
      </c>
      <c r="AL10" s="435" t="e">
        <f t="shared" si="4"/>
        <v>#DIV/0!</v>
      </c>
      <c r="AM10" s="435" t="e">
        <f t="shared" si="4"/>
        <v>#DIV/0!</v>
      </c>
      <c r="AN10" s="435" t="e">
        <f t="shared" si="4"/>
        <v>#DIV/0!</v>
      </c>
      <c r="AO10" s="435" t="e">
        <f t="shared" si="4"/>
        <v>#DIV/0!</v>
      </c>
      <c r="AP10" s="435" t="e">
        <f t="shared" si="4"/>
        <v>#DIV/0!</v>
      </c>
      <c r="AQ10" s="435" t="str">
        <f t="shared" si="4"/>
        <v/>
      </c>
      <c r="AR10" s="245"/>
    </row>
    <row r="11" spans="1:62">
      <c r="A11" s="241"/>
    </row>
    <row r="12" spans="1:62">
      <c r="A12" s="240">
        <f>'CALCUL DEET'!$R$14</f>
        <v>2025</v>
      </c>
      <c r="R12" s="236"/>
      <c r="S12" s="236"/>
      <c r="T12" s="236"/>
      <c r="U12" s="236"/>
      <c r="V12" s="236"/>
      <c r="W12" s="236"/>
      <c r="X12" s="236"/>
      <c r="Y12" s="236"/>
      <c r="Z12" s="236"/>
      <c r="AA12" s="236"/>
      <c r="AP12" s="191"/>
    </row>
    <row r="13" spans="1:62" s="236" customFormat="1" ht="18.5">
      <c r="A13" s="244"/>
      <c r="C13" s="243"/>
      <c r="D13" s="243"/>
      <c r="E13" s="243"/>
      <c r="F13" s="243"/>
      <c r="G13" s="243"/>
      <c r="H13" s="243"/>
      <c r="I13" s="243"/>
      <c r="J13" s="243"/>
      <c r="K13" s="243"/>
    </row>
    <row r="14" spans="1:62" s="236" customFormat="1" ht="18.5">
      <c r="A14" s="244"/>
      <c r="C14" s="819" t="s">
        <v>115</v>
      </c>
      <c r="D14" s="820"/>
      <c r="E14" s="820"/>
      <c r="F14" s="820"/>
      <c r="G14" s="820"/>
      <c r="H14" s="820"/>
      <c r="I14" s="820"/>
      <c r="J14" s="820"/>
      <c r="K14" s="821"/>
    </row>
    <row r="15" spans="1:62">
      <c r="R15" s="236"/>
      <c r="S15" s="236"/>
      <c r="T15" s="236"/>
      <c r="U15" s="236"/>
      <c r="V15" s="236"/>
      <c r="W15" s="236"/>
      <c r="X15" s="236"/>
      <c r="Y15" s="236"/>
      <c r="Z15" s="236"/>
      <c r="AA15" s="236"/>
    </row>
    <row r="16" spans="1:62">
      <c r="C16" t="s">
        <v>116</v>
      </c>
      <c r="R16" s="236"/>
      <c r="S16" s="236"/>
      <c r="T16" s="236"/>
      <c r="U16" s="236"/>
      <c r="V16" s="236"/>
      <c r="W16" s="236"/>
      <c r="X16" s="236"/>
      <c r="Y16" s="236"/>
      <c r="Z16" s="236"/>
      <c r="AA16" s="236"/>
    </row>
    <row r="17" spans="1:41">
      <c r="R17" s="236"/>
      <c r="S17" s="236"/>
      <c r="T17" s="236"/>
      <c r="U17" s="440"/>
      <c r="V17" s="236"/>
      <c r="W17" s="236"/>
      <c r="X17" s="236"/>
      <c r="Y17" s="236"/>
      <c r="Z17" s="236"/>
      <c r="AA17" s="236"/>
    </row>
    <row r="18" spans="1:41">
      <c r="C18" t="s">
        <v>117</v>
      </c>
      <c r="R18" s="236"/>
      <c r="S18" s="236"/>
      <c r="T18" s="236"/>
      <c r="U18" s="236"/>
      <c r="V18" s="236"/>
      <c r="W18" s="236"/>
      <c r="X18" s="236"/>
      <c r="Y18" s="236"/>
      <c r="Z18" s="236"/>
      <c r="AA18" s="236"/>
    </row>
    <row r="19" spans="1:41">
      <c r="C19" t="s">
        <v>118</v>
      </c>
      <c r="R19" s="236"/>
      <c r="S19" s="236"/>
      <c r="T19" s="236"/>
      <c r="U19" s="236"/>
      <c r="V19" s="236"/>
      <c r="W19" s="236"/>
      <c r="X19" s="236"/>
      <c r="Y19" s="236"/>
      <c r="Z19" s="236"/>
      <c r="AA19" s="236"/>
    </row>
    <row r="20" spans="1:41">
      <c r="C20" t="s">
        <v>119</v>
      </c>
      <c r="R20" s="236"/>
      <c r="S20" s="236"/>
      <c r="T20" s="236"/>
      <c r="U20" s="236"/>
      <c r="V20" s="236"/>
      <c r="W20" s="236"/>
      <c r="X20" s="236"/>
      <c r="Y20" s="236"/>
      <c r="Z20" s="236"/>
      <c r="AA20" s="236"/>
    </row>
    <row r="21" spans="1:41" s="88" customFormat="1">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row>
    <row r="22" spans="1:41" ht="25.5" customHeight="1" thickBot="1">
      <c r="A22" s="88"/>
      <c r="B22" s="88">
        <v>2010</v>
      </c>
      <c r="C22" s="88">
        <v>2011</v>
      </c>
      <c r="D22" s="88">
        <v>2012</v>
      </c>
      <c r="E22" s="88">
        <v>2013</v>
      </c>
      <c r="F22" s="88">
        <v>2014</v>
      </c>
      <c r="G22" s="88">
        <v>2015</v>
      </c>
      <c r="H22" s="88">
        <v>2016</v>
      </c>
      <c r="I22" s="88">
        <v>2017</v>
      </c>
      <c r="J22" s="88">
        <v>2018</v>
      </c>
      <c r="K22" s="88">
        <v>2019</v>
      </c>
      <c r="L22" s="88">
        <v>2020</v>
      </c>
      <c r="M22" s="88">
        <v>2021</v>
      </c>
      <c r="N22" s="88">
        <v>2022</v>
      </c>
      <c r="O22" s="88">
        <v>2023</v>
      </c>
      <c r="P22" s="88">
        <v>2024</v>
      </c>
      <c r="Q22" s="88">
        <v>2025</v>
      </c>
      <c r="R22" s="88">
        <v>2026</v>
      </c>
      <c r="S22" s="88"/>
      <c r="T22" s="88"/>
      <c r="U22" s="88"/>
      <c r="V22" s="88"/>
      <c r="W22" s="88"/>
      <c r="X22" s="88"/>
      <c r="Y22" s="88"/>
      <c r="Z22" s="88"/>
      <c r="AA22" s="88"/>
      <c r="AB22" s="88"/>
      <c r="AC22" s="88"/>
      <c r="AD22" s="88"/>
      <c r="AE22" s="88"/>
      <c r="AF22" s="88"/>
      <c r="AG22" s="88"/>
      <c r="AH22" s="88"/>
      <c r="AI22" s="88"/>
      <c r="AJ22" s="88"/>
      <c r="AK22" s="88"/>
      <c r="AL22" s="88"/>
      <c r="AM22" s="88"/>
      <c r="AN22" s="88"/>
      <c r="AO22" s="88"/>
    </row>
    <row r="23" spans="1:41" ht="24.5">
      <c r="A23" s="155" t="s">
        <v>120</v>
      </c>
      <c r="B23" s="106"/>
      <c r="C23" s="107"/>
      <c r="D23" s="107"/>
      <c r="E23" s="107"/>
      <c r="F23" s="107"/>
      <c r="G23" s="107"/>
      <c r="H23" s="107"/>
      <c r="I23" s="107">
        <v>5383.875</v>
      </c>
      <c r="J23" s="107">
        <v>3459.2083333333335</v>
      </c>
      <c r="K23" s="107">
        <v>3601.6416666666669</v>
      </c>
      <c r="L23" s="107">
        <v>3349.7166666666667</v>
      </c>
      <c r="M23" s="107">
        <v>3335.1</v>
      </c>
      <c r="N23" s="107"/>
      <c r="O23" s="107"/>
      <c r="P23" s="107"/>
      <c r="Q23" s="107"/>
      <c r="R23" s="107"/>
    </row>
    <row r="24" spans="1:41">
      <c r="A24" t="s">
        <v>121</v>
      </c>
      <c r="B24" s="108"/>
      <c r="C24" s="109"/>
      <c r="D24" s="109"/>
      <c r="E24" s="109"/>
      <c r="F24" s="109"/>
      <c r="G24" s="109"/>
      <c r="H24" s="109"/>
      <c r="I24" s="109">
        <v>4085.4916666666668</v>
      </c>
      <c r="J24" s="109">
        <v>4033.5750000000003</v>
      </c>
      <c r="K24" s="109">
        <v>3527.4416666666671</v>
      </c>
      <c r="L24" s="109">
        <v>2934.2416666666668</v>
      </c>
      <c r="M24" s="109">
        <v>2986.75</v>
      </c>
      <c r="N24" s="109"/>
      <c r="O24" s="109"/>
      <c r="P24" s="109"/>
      <c r="Q24" s="109"/>
      <c r="R24" s="109"/>
    </row>
    <row r="25" spans="1:41">
      <c r="A25" t="s">
        <v>122</v>
      </c>
      <c r="B25" s="108"/>
      <c r="C25" s="109"/>
      <c r="D25" s="109"/>
      <c r="E25" s="109"/>
      <c r="F25" s="109"/>
      <c r="G25" s="109"/>
      <c r="H25" s="109"/>
      <c r="I25" s="109">
        <v>3118.25</v>
      </c>
      <c r="J25" s="109">
        <v>3245.3916666666664</v>
      </c>
      <c r="K25" s="109">
        <v>2708.2083333333335</v>
      </c>
      <c r="L25" s="109">
        <v>2598.791666666667</v>
      </c>
      <c r="M25" s="109">
        <v>2633.166666666667</v>
      </c>
      <c r="N25" s="109"/>
      <c r="O25" s="109"/>
      <c r="P25" s="109"/>
      <c r="Q25" s="109"/>
      <c r="R25" s="109"/>
    </row>
    <row r="26" spans="1:41">
      <c r="A26" t="s">
        <v>123</v>
      </c>
      <c r="B26" s="108"/>
      <c r="C26" s="109"/>
      <c r="D26" s="109"/>
      <c r="E26" s="109"/>
      <c r="F26" s="109"/>
      <c r="G26" s="109"/>
      <c r="H26" s="109"/>
      <c r="I26" s="109">
        <v>2833.5</v>
      </c>
      <c r="J26" s="109">
        <v>2444.1416666666664</v>
      </c>
      <c r="K26" s="109">
        <v>2346.916666666667</v>
      </c>
      <c r="L26" s="109">
        <v>1767.3583333333333</v>
      </c>
      <c r="M26" s="109">
        <v>2264.0083333333332</v>
      </c>
      <c r="N26" s="109"/>
      <c r="O26" s="109"/>
      <c r="P26" s="109"/>
      <c r="Q26" s="109"/>
      <c r="R26" s="109"/>
    </row>
    <row r="27" spans="1:41">
      <c r="A27" t="s">
        <v>124</v>
      </c>
      <c r="B27" s="108"/>
      <c r="C27" s="109"/>
      <c r="D27" s="109"/>
      <c r="E27" s="109"/>
      <c r="F27" s="109"/>
      <c r="G27" s="109"/>
      <c r="H27" s="109"/>
      <c r="I27" s="109">
        <v>2020.325</v>
      </c>
      <c r="J27" s="109">
        <v>1914.3916666666667</v>
      </c>
      <c r="K27" s="109">
        <v>1845.0583333333336</v>
      </c>
      <c r="L27" s="109">
        <v>1562.3083333333334</v>
      </c>
      <c r="M27" s="109">
        <v>1760.6333333333337</v>
      </c>
      <c r="N27" s="109"/>
      <c r="O27" s="109"/>
      <c r="P27" s="109"/>
      <c r="Q27" s="109"/>
      <c r="R27" s="109"/>
    </row>
    <row r="28" spans="1:41">
      <c r="A28" t="s">
        <v>125</v>
      </c>
      <c r="B28" s="108"/>
      <c r="C28" s="109"/>
      <c r="D28" s="109"/>
      <c r="E28" s="109"/>
      <c r="F28" s="109"/>
      <c r="G28" s="109"/>
      <c r="H28" s="109"/>
      <c r="I28" s="109">
        <v>1308.6916666666668</v>
      </c>
      <c r="J28" s="109">
        <v>1226.1083333333333</v>
      </c>
      <c r="K28" s="109">
        <v>1352.2666666666667</v>
      </c>
      <c r="L28" s="109">
        <v>1055.2</v>
      </c>
      <c r="M28" s="109">
        <v>1037.175</v>
      </c>
      <c r="N28" s="109"/>
      <c r="O28" s="109"/>
      <c r="P28" s="109"/>
      <c r="Q28" s="109"/>
      <c r="R28" s="109"/>
    </row>
    <row r="29" spans="1:41">
      <c r="A29" t="s">
        <v>126</v>
      </c>
      <c r="B29" s="108"/>
      <c r="C29" s="109"/>
      <c r="D29" s="109"/>
      <c r="E29" s="109"/>
      <c r="F29" s="109"/>
      <c r="G29" s="109"/>
      <c r="H29" s="109"/>
      <c r="I29" s="109">
        <v>1196.3333333333333</v>
      </c>
      <c r="J29" s="109">
        <v>1173.1166666666668</v>
      </c>
      <c r="K29" s="109">
        <v>1064.425</v>
      </c>
      <c r="L29" s="109">
        <v>834.9083333333333</v>
      </c>
      <c r="M29" s="109">
        <v>844.4</v>
      </c>
      <c r="N29" s="109"/>
      <c r="O29" s="109"/>
      <c r="P29" s="109"/>
      <c r="Q29" s="109"/>
      <c r="R29" s="109"/>
    </row>
    <row r="30" spans="1:41">
      <c r="A30" t="s">
        <v>127</v>
      </c>
      <c r="B30" s="108"/>
      <c r="C30" s="109"/>
      <c r="D30" s="109"/>
      <c r="E30" s="109"/>
      <c r="F30" s="109"/>
      <c r="G30" s="109"/>
      <c r="H30" s="109"/>
      <c r="I30" s="109">
        <v>1525.9083333333333</v>
      </c>
      <c r="J30" s="109">
        <v>1204.6500000000001</v>
      </c>
      <c r="K30" s="109">
        <v>941.27499999999998</v>
      </c>
      <c r="L30" s="109">
        <v>824.9083333333333</v>
      </c>
      <c r="M30" s="109">
        <v>911.31666666666661</v>
      </c>
      <c r="N30" s="109"/>
      <c r="O30" s="109"/>
      <c r="P30" s="109"/>
      <c r="Q30" s="109"/>
      <c r="R30" s="109"/>
    </row>
    <row r="31" spans="1:41">
      <c r="A31" t="s">
        <v>128</v>
      </c>
      <c r="B31" s="108"/>
      <c r="C31" s="109"/>
      <c r="D31" s="109"/>
      <c r="E31" s="109"/>
      <c r="F31" s="109"/>
      <c r="G31" s="109"/>
      <c r="H31" s="109"/>
      <c r="I31" s="109">
        <v>1316.3166666666666</v>
      </c>
      <c r="J31" s="109">
        <v>1187.1666666666667</v>
      </c>
      <c r="K31" s="109">
        <v>897.81666666666683</v>
      </c>
      <c r="L31" s="109">
        <v>889.57500000000005</v>
      </c>
      <c r="M31" s="109">
        <v>924.92500000000007</v>
      </c>
      <c r="N31" s="109"/>
      <c r="O31" s="109"/>
      <c r="P31" s="109"/>
      <c r="Q31" s="109"/>
      <c r="R31" s="109"/>
    </row>
    <row r="32" spans="1:41">
      <c r="A32" t="s">
        <v>129</v>
      </c>
      <c r="B32" s="108"/>
      <c r="C32" s="109"/>
      <c r="D32" s="109"/>
      <c r="E32" s="109"/>
      <c r="F32" s="109"/>
      <c r="G32" s="109"/>
      <c r="H32" s="109"/>
      <c r="I32" s="109">
        <v>1781.3333333333333</v>
      </c>
      <c r="J32" s="109">
        <v>1829.4666666666669</v>
      </c>
      <c r="K32" s="109">
        <v>1764.0416666666667</v>
      </c>
      <c r="L32" s="109">
        <v>1661.125</v>
      </c>
      <c r="M32" s="109">
        <v>0</v>
      </c>
      <c r="N32" s="109"/>
      <c r="O32" s="109"/>
      <c r="P32" s="109"/>
      <c r="Q32" s="109"/>
      <c r="R32" s="109"/>
    </row>
    <row r="33" spans="1:18">
      <c r="A33" t="s">
        <v>130</v>
      </c>
      <c r="B33" s="108"/>
      <c r="C33" s="109"/>
      <c r="D33" s="109"/>
      <c r="E33" s="109"/>
      <c r="F33" s="109"/>
      <c r="G33" s="109"/>
      <c r="H33" s="109"/>
      <c r="I33" s="109">
        <v>3564.7333333333336</v>
      </c>
      <c r="J33" s="109">
        <v>2984.2666666666669</v>
      </c>
      <c r="K33" s="109">
        <v>2748.55</v>
      </c>
      <c r="L33" s="109">
        <v>2107.9750000000004</v>
      </c>
      <c r="M33" s="109">
        <v>0</v>
      </c>
      <c r="N33" s="109"/>
      <c r="O33" s="109"/>
      <c r="P33" s="109"/>
      <c r="Q33" s="109"/>
      <c r="R33" s="109"/>
    </row>
    <row r="34" spans="1:18" ht="15" thickBot="1">
      <c r="A34" t="s">
        <v>131</v>
      </c>
      <c r="B34" s="108"/>
      <c r="C34" s="110"/>
      <c r="D34" s="110"/>
      <c r="E34" s="110"/>
      <c r="F34" s="110"/>
      <c r="G34" s="110"/>
      <c r="H34" s="110"/>
      <c r="I34" s="110">
        <v>3760.8166666666666</v>
      </c>
      <c r="J34" s="110">
        <v>3133</v>
      </c>
      <c r="K34" s="110">
        <v>3052.6916666666666</v>
      </c>
      <c r="L34" s="110">
        <v>2677.4250000000002</v>
      </c>
      <c r="M34" s="110">
        <v>0</v>
      </c>
      <c r="N34" s="110"/>
      <c r="O34" s="110"/>
      <c r="P34" s="110"/>
      <c r="Q34" s="110"/>
      <c r="R34" s="110"/>
    </row>
    <row r="36" spans="1:18">
      <c r="B36" t="s">
        <v>132</v>
      </c>
      <c r="F36" t="s">
        <v>133</v>
      </c>
      <c r="I36" t="s">
        <v>134</v>
      </c>
    </row>
    <row r="37" spans="1:18">
      <c r="B37" s="156">
        <f>B23</f>
        <v>0</v>
      </c>
      <c r="C37" s="111">
        <v>1</v>
      </c>
      <c r="D37" s="822">
        <f>B22</f>
        <v>2010</v>
      </c>
      <c r="F37" s="156">
        <f>B23/12</f>
        <v>0</v>
      </c>
      <c r="I37">
        <v>2010</v>
      </c>
      <c r="J37" s="156">
        <f>B23</f>
        <v>0</v>
      </c>
    </row>
    <row r="38" spans="1:18">
      <c r="B38" s="156">
        <f t="shared" ref="B38:B48" si="5">B24</f>
        <v>0</v>
      </c>
      <c r="C38" s="111">
        <v>2</v>
      </c>
      <c r="D38" s="822"/>
      <c r="F38" s="156">
        <f>F37</f>
        <v>0</v>
      </c>
      <c r="J38" s="156">
        <f>B24</f>
        <v>0</v>
      </c>
    </row>
    <row r="39" spans="1:18">
      <c r="B39" s="156">
        <f t="shared" si="5"/>
        <v>0</v>
      </c>
      <c r="C39" s="111">
        <v>3</v>
      </c>
      <c r="D39" s="822"/>
      <c r="F39" s="156">
        <f>F38</f>
        <v>0</v>
      </c>
      <c r="I39">
        <v>2011</v>
      </c>
      <c r="J39" s="156">
        <f>C23</f>
        <v>0</v>
      </c>
    </row>
    <row r="40" spans="1:18">
      <c r="B40" s="156">
        <f t="shared" si="5"/>
        <v>0</v>
      </c>
      <c r="C40" s="111">
        <v>4</v>
      </c>
      <c r="D40" s="822"/>
      <c r="F40" s="156">
        <f t="shared" ref="F40:F48" si="6">F39</f>
        <v>0</v>
      </c>
      <c r="J40" s="156">
        <f>C24</f>
        <v>0</v>
      </c>
    </row>
    <row r="41" spans="1:18">
      <c r="B41" s="156">
        <f t="shared" si="5"/>
        <v>0</v>
      </c>
      <c r="C41" s="111">
        <v>5</v>
      </c>
      <c r="D41" s="822"/>
      <c r="F41" s="156">
        <f t="shared" si="6"/>
        <v>0</v>
      </c>
      <c r="I41">
        <v>2012</v>
      </c>
      <c r="J41" s="156">
        <f>D23</f>
        <v>0</v>
      </c>
    </row>
    <row r="42" spans="1:18">
      <c r="B42" s="156">
        <f t="shared" si="5"/>
        <v>0</v>
      </c>
      <c r="C42" s="111">
        <v>6</v>
      </c>
      <c r="D42" s="822"/>
      <c r="F42" s="156">
        <f t="shared" si="6"/>
        <v>0</v>
      </c>
      <c r="J42" s="156">
        <f>D24</f>
        <v>0</v>
      </c>
    </row>
    <row r="43" spans="1:18">
      <c r="B43" s="156">
        <f t="shared" si="5"/>
        <v>0</v>
      </c>
      <c r="C43" s="111">
        <v>7</v>
      </c>
      <c r="D43" s="822"/>
      <c r="F43" s="156">
        <f t="shared" si="6"/>
        <v>0</v>
      </c>
      <c r="I43">
        <v>2013</v>
      </c>
      <c r="J43" s="156">
        <f>E23</f>
        <v>0</v>
      </c>
    </row>
    <row r="44" spans="1:18">
      <c r="B44" s="156">
        <f t="shared" si="5"/>
        <v>0</v>
      </c>
      <c r="C44" s="111">
        <v>8</v>
      </c>
      <c r="D44" s="822"/>
      <c r="F44" s="156">
        <f t="shared" si="6"/>
        <v>0</v>
      </c>
      <c r="J44" s="156">
        <f>E24</f>
        <v>0</v>
      </c>
    </row>
    <row r="45" spans="1:18">
      <c r="B45" s="156">
        <f t="shared" si="5"/>
        <v>0</v>
      </c>
      <c r="C45" s="111">
        <v>9</v>
      </c>
      <c r="D45" s="822"/>
      <c r="F45" s="156">
        <f t="shared" si="6"/>
        <v>0</v>
      </c>
      <c r="I45">
        <v>2014</v>
      </c>
      <c r="J45" s="156">
        <f>F23</f>
        <v>0</v>
      </c>
    </row>
    <row r="46" spans="1:18">
      <c r="B46" s="156">
        <f t="shared" si="5"/>
        <v>0</v>
      </c>
      <c r="C46" s="111">
        <v>10</v>
      </c>
      <c r="D46" s="822"/>
      <c r="F46" s="156">
        <f t="shared" si="6"/>
        <v>0</v>
      </c>
      <c r="J46" s="156">
        <f>F24</f>
        <v>0</v>
      </c>
    </row>
    <row r="47" spans="1:18">
      <c r="B47" s="156">
        <f t="shared" si="5"/>
        <v>0</v>
      </c>
      <c r="C47" s="111">
        <v>11</v>
      </c>
      <c r="D47" s="822"/>
      <c r="F47" s="156">
        <f t="shared" si="6"/>
        <v>0</v>
      </c>
      <c r="I47">
        <v>2015</v>
      </c>
      <c r="J47" s="156">
        <f>G23</f>
        <v>0</v>
      </c>
    </row>
    <row r="48" spans="1:18">
      <c r="B48" s="156">
        <f t="shared" si="5"/>
        <v>0</v>
      </c>
      <c r="C48" s="111">
        <v>12</v>
      </c>
      <c r="D48" s="822"/>
      <c r="F48" s="156">
        <f t="shared" si="6"/>
        <v>0</v>
      </c>
      <c r="J48" s="156">
        <f>G24</f>
        <v>0</v>
      </c>
    </row>
    <row r="49" spans="2:10">
      <c r="B49" s="156">
        <f>C23</f>
        <v>0</v>
      </c>
      <c r="C49" s="111">
        <v>1</v>
      </c>
      <c r="D49" s="822">
        <f>C22</f>
        <v>2011</v>
      </c>
      <c r="F49" s="156">
        <f>C23/12</f>
        <v>0</v>
      </c>
      <c r="I49">
        <v>2016</v>
      </c>
      <c r="J49" s="156">
        <f>H23</f>
        <v>0</v>
      </c>
    </row>
    <row r="50" spans="2:10">
      <c r="B50" s="156">
        <f t="shared" ref="B50:B60" si="7">C24</f>
        <v>0</v>
      </c>
      <c r="C50" s="111">
        <v>2</v>
      </c>
      <c r="D50" s="822"/>
      <c r="F50" s="156">
        <f t="shared" ref="F50:F113" si="8">F49</f>
        <v>0</v>
      </c>
      <c r="J50" s="156">
        <f>H24</f>
        <v>0</v>
      </c>
    </row>
    <row r="51" spans="2:10">
      <c r="B51" s="156">
        <f t="shared" si="7"/>
        <v>0</v>
      </c>
      <c r="C51" s="111">
        <v>3</v>
      </c>
      <c r="D51" s="822"/>
      <c r="F51" s="156">
        <f t="shared" si="8"/>
        <v>0</v>
      </c>
      <c r="I51">
        <v>2017</v>
      </c>
      <c r="J51" s="156">
        <f>I23</f>
        <v>5383.875</v>
      </c>
    </row>
    <row r="52" spans="2:10">
      <c r="B52" s="156">
        <f t="shared" si="7"/>
        <v>0</v>
      </c>
      <c r="C52" s="111">
        <v>4</v>
      </c>
      <c r="D52" s="822"/>
      <c r="F52" s="156">
        <f t="shared" si="8"/>
        <v>0</v>
      </c>
      <c r="J52" s="156">
        <f>I24</f>
        <v>4085.4916666666668</v>
      </c>
    </row>
    <row r="53" spans="2:10">
      <c r="B53" s="156">
        <f t="shared" si="7"/>
        <v>0</v>
      </c>
      <c r="C53" s="111">
        <v>5</v>
      </c>
      <c r="D53" s="822"/>
      <c r="F53" s="156">
        <f t="shared" si="8"/>
        <v>0</v>
      </c>
      <c r="I53">
        <v>2018</v>
      </c>
      <c r="J53" s="156">
        <f>J23</f>
        <v>3459.2083333333335</v>
      </c>
    </row>
    <row r="54" spans="2:10">
      <c r="B54" s="156">
        <f t="shared" si="7"/>
        <v>0</v>
      </c>
      <c r="C54" s="111">
        <v>6</v>
      </c>
      <c r="D54" s="822"/>
      <c r="F54" s="156">
        <f t="shared" si="8"/>
        <v>0</v>
      </c>
      <c r="J54" s="156">
        <f>J24</f>
        <v>4033.5750000000003</v>
      </c>
    </row>
    <row r="55" spans="2:10">
      <c r="B55" s="156">
        <f t="shared" si="7"/>
        <v>0</v>
      </c>
      <c r="C55" s="111">
        <v>7</v>
      </c>
      <c r="D55" s="822"/>
      <c r="F55" s="156">
        <f t="shared" si="8"/>
        <v>0</v>
      </c>
      <c r="I55">
        <v>2019</v>
      </c>
      <c r="J55" s="156">
        <f>K23</f>
        <v>3601.6416666666669</v>
      </c>
    </row>
    <row r="56" spans="2:10">
      <c r="B56" s="156">
        <f t="shared" si="7"/>
        <v>0</v>
      </c>
      <c r="C56" s="111">
        <v>8</v>
      </c>
      <c r="D56" s="822"/>
      <c r="F56" s="156">
        <f t="shared" si="8"/>
        <v>0</v>
      </c>
      <c r="J56" s="156">
        <f>K24</f>
        <v>3527.4416666666671</v>
      </c>
    </row>
    <row r="57" spans="2:10">
      <c r="B57" s="156">
        <f t="shared" si="7"/>
        <v>0</v>
      </c>
      <c r="C57" s="111">
        <v>9</v>
      </c>
      <c r="D57" s="822"/>
      <c r="F57" s="156">
        <f t="shared" si="8"/>
        <v>0</v>
      </c>
      <c r="I57">
        <v>2020</v>
      </c>
      <c r="J57" s="156">
        <f>L23</f>
        <v>3349.7166666666667</v>
      </c>
    </row>
    <row r="58" spans="2:10">
      <c r="B58" s="156">
        <f t="shared" si="7"/>
        <v>0</v>
      </c>
      <c r="C58" s="111">
        <v>10</v>
      </c>
      <c r="D58" s="822"/>
      <c r="F58" s="156">
        <f t="shared" si="8"/>
        <v>0</v>
      </c>
      <c r="J58" s="156">
        <f>L24</f>
        <v>2934.2416666666668</v>
      </c>
    </row>
    <row r="59" spans="2:10">
      <c r="B59" s="156">
        <f t="shared" si="7"/>
        <v>0</v>
      </c>
      <c r="C59" s="111">
        <v>11</v>
      </c>
      <c r="D59" s="822"/>
      <c r="F59" s="156">
        <f t="shared" si="8"/>
        <v>0</v>
      </c>
      <c r="I59">
        <v>2021</v>
      </c>
      <c r="J59" s="156">
        <f>M23</f>
        <v>3335.1</v>
      </c>
    </row>
    <row r="60" spans="2:10">
      <c r="B60" s="156">
        <f t="shared" si="7"/>
        <v>0</v>
      </c>
      <c r="C60" s="111">
        <v>12</v>
      </c>
      <c r="D60" s="822"/>
      <c r="F60" s="156">
        <f t="shared" si="8"/>
        <v>0</v>
      </c>
      <c r="J60" s="156">
        <f>M24</f>
        <v>2986.75</v>
      </c>
    </row>
    <row r="61" spans="2:10">
      <c r="B61" s="156">
        <f>D23</f>
        <v>0</v>
      </c>
      <c r="C61" s="111">
        <v>1</v>
      </c>
      <c r="D61" s="822">
        <f>D22</f>
        <v>2012</v>
      </c>
      <c r="F61" s="156">
        <f>D23/12</f>
        <v>0</v>
      </c>
      <c r="I61">
        <v>2022</v>
      </c>
      <c r="J61" s="156">
        <f>N23</f>
        <v>0</v>
      </c>
    </row>
    <row r="62" spans="2:10">
      <c r="B62" s="156">
        <f t="shared" ref="B62:B72" si="9">D24</f>
        <v>0</v>
      </c>
      <c r="C62" s="111">
        <v>2</v>
      </c>
      <c r="D62" s="822"/>
      <c r="F62" s="156">
        <f>F61</f>
        <v>0</v>
      </c>
      <c r="J62" s="156">
        <f>N24</f>
        <v>0</v>
      </c>
    </row>
    <row r="63" spans="2:10">
      <c r="B63" s="156">
        <f t="shared" si="9"/>
        <v>0</v>
      </c>
      <c r="C63" s="111">
        <v>3</v>
      </c>
      <c r="D63" s="822"/>
      <c r="F63" s="156">
        <f>F62</f>
        <v>0</v>
      </c>
      <c r="I63">
        <v>2023</v>
      </c>
      <c r="J63" s="156">
        <f>O23</f>
        <v>0</v>
      </c>
    </row>
    <row r="64" spans="2:10">
      <c r="B64" s="156">
        <f t="shared" si="9"/>
        <v>0</v>
      </c>
      <c r="C64" s="111">
        <v>4</v>
      </c>
      <c r="D64" s="822"/>
      <c r="F64" s="156">
        <f t="shared" si="8"/>
        <v>0</v>
      </c>
      <c r="J64" s="156">
        <f>O24</f>
        <v>0</v>
      </c>
    </row>
    <row r="65" spans="2:10">
      <c r="B65" s="156">
        <f t="shared" si="9"/>
        <v>0</v>
      </c>
      <c r="C65" s="111">
        <v>5</v>
      </c>
      <c r="D65" s="822"/>
      <c r="F65" s="156">
        <f t="shared" si="8"/>
        <v>0</v>
      </c>
      <c r="I65">
        <v>2024</v>
      </c>
      <c r="J65" s="156">
        <f>P23</f>
        <v>0</v>
      </c>
    </row>
    <row r="66" spans="2:10">
      <c r="B66" s="156">
        <f t="shared" si="9"/>
        <v>0</v>
      </c>
      <c r="C66" s="111">
        <v>6</v>
      </c>
      <c r="D66" s="822"/>
      <c r="F66" s="156">
        <f t="shared" si="8"/>
        <v>0</v>
      </c>
      <c r="J66" s="156">
        <f>P24</f>
        <v>0</v>
      </c>
    </row>
    <row r="67" spans="2:10">
      <c r="B67" s="156">
        <f t="shared" si="9"/>
        <v>0</v>
      </c>
      <c r="C67" s="111">
        <v>7</v>
      </c>
      <c r="D67" s="822"/>
      <c r="F67" s="156">
        <f t="shared" si="8"/>
        <v>0</v>
      </c>
    </row>
    <row r="68" spans="2:10">
      <c r="B68" s="156">
        <f t="shared" si="9"/>
        <v>0</v>
      </c>
      <c r="C68" s="111">
        <v>8</v>
      </c>
      <c r="D68" s="822"/>
      <c r="F68" s="156">
        <f t="shared" si="8"/>
        <v>0</v>
      </c>
    </row>
    <row r="69" spans="2:10">
      <c r="B69" s="156">
        <f t="shared" si="9"/>
        <v>0</v>
      </c>
      <c r="C69" s="111">
        <v>9</v>
      </c>
      <c r="D69" s="822"/>
      <c r="F69" s="156">
        <f t="shared" si="8"/>
        <v>0</v>
      </c>
    </row>
    <row r="70" spans="2:10">
      <c r="B70" s="156">
        <f t="shared" si="9"/>
        <v>0</v>
      </c>
      <c r="C70" s="111">
        <v>10</v>
      </c>
      <c r="D70" s="822"/>
      <c r="F70" s="156">
        <f t="shared" si="8"/>
        <v>0</v>
      </c>
    </row>
    <row r="71" spans="2:10">
      <c r="B71" s="156">
        <f t="shared" si="9"/>
        <v>0</v>
      </c>
      <c r="C71" s="111">
        <v>11</v>
      </c>
      <c r="D71" s="822"/>
      <c r="F71" s="156">
        <f t="shared" si="8"/>
        <v>0</v>
      </c>
    </row>
    <row r="72" spans="2:10">
      <c r="B72" s="156">
        <f t="shared" si="9"/>
        <v>0</v>
      </c>
      <c r="C72" s="111">
        <v>12</v>
      </c>
      <c r="D72" s="822"/>
      <c r="F72" s="156">
        <f t="shared" si="8"/>
        <v>0</v>
      </c>
    </row>
    <row r="73" spans="2:10">
      <c r="B73" s="156">
        <f>E23</f>
        <v>0</v>
      </c>
      <c r="C73" s="111">
        <v>1</v>
      </c>
      <c r="D73" s="822">
        <f>E22</f>
        <v>2013</v>
      </c>
      <c r="F73" s="156">
        <f>E23/12</f>
        <v>0</v>
      </c>
    </row>
    <row r="74" spans="2:10">
      <c r="B74" s="156">
        <f t="shared" ref="B74:B84" si="10">E24</f>
        <v>0</v>
      </c>
      <c r="C74" s="111">
        <v>2</v>
      </c>
      <c r="D74" s="822"/>
      <c r="F74" s="156">
        <f>F73</f>
        <v>0</v>
      </c>
    </row>
    <row r="75" spans="2:10">
      <c r="B75" s="156">
        <f t="shared" si="10"/>
        <v>0</v>
      </c>
      <c r="C75" s="111">
        <v>3</v>
      </c>
      <c r="D75" s="822"/>
      <c r="F75" s="156">
        <f>F74</f>
        <v>0</v>
      </c>
    </row>
    <row r="76" spans="2:10">
      <c r="B76" s="156">
        <f t="shared" si="10"/>
        <v>0</v>
      </c>
      <c r="C76" s="111">
        <v>4</v>
      </c>
      <c r="D76" s="822"/>
      <c r="F76" s="156">
        <f t="shared" si="8"/>
        <v>0</v>
      </c>
    </row>
    <row r="77" spans="2:10">
      <c r="B77" s="156">
        <f t="shared" si="10"/>
        <v>0</v>
      </c>
      <c r="C77" s="111">
        <v>5</v>
      </c>
      <c r="D77" s="822"/>
      <c r="F77" s="156">
        <f t="shared" si="8"/>
        <v>0</v>
      </c>
    </row>
    <row r="78" spans="2:10">
      <c r="B78" s="156">
        <f t="shared" si="10"/>
        <v>0</v>
      </c>
      <c r="C78" s="111">
        <v>6</v>
      </c>
      <c r="D78" s="822"/>
      <c r="F78" s="156">
        <f t="shared" si="8"/>
        <v>0</v>
      </c>
    </row>
    <row r="79" spans="2:10">
      <c r="B79" s="156">
        <f t="shared" si="10"/>
        <v>0</v>
      </c>
      <c r="C79" s="111">
        <v>7</v>
      </c>
      <c r="D79" s="822"/>
      <c r="F79" s="156">
        <f t="shared" si="8"/>
        <v>0</v>
      </c>
    </row>
    <row r="80" spans="2:10">
      <c r="B80" s="156">
        <f t="shared" si="10"/>
        <v>0</v>
      </c>
      <c r="C80" s="111">
        <v>8</v>
      </c>
      <c r="D80" s="822"/>
      <c r="F80" s="156">
        <f t="shared" si="8"/>
        <v>0</v>
      </c>
    </row>
    <row r="81" spans="2:6">
      <c r="B81" s="156">
        <f t="shared" si="10"/>
        <v>0</v>
      </c>
      <c r="C81" s="111">
        <v>9</v>
      </c>
      <c r="D81" s="822"/>
      <c r="F81" s="156">
        <f t="shared" si="8"/>
        <v>0</v>
      </c>
    </row>
    <row r="82" spans="2:6">
      <c r="B82" s="156">
        <f t="shared" si="10"/>
        <v>0</v>
      </c>
      <c r="C82" s="111">
        <v>10</v>
      </c>
      <c r="D82" s="822"/>
      <c r="F82" s="156">
        <f t="shared" si="8"/>
        <v>0</v>
      </c>
    </row>
    <row r="83" spans="2:6">
      <c r="B83" s="156">
        <f t="shared" si="10"/>
        <v>0</v>
      </c>
      <c r="C83" s="111">
        <v>11</v>
      </c>
      <c r="D83" s="822"/>
      <c r="F83" s="156">
        <f t="shared" si="8"/>
        <v>0</v>
      </c>
    </row>
    <row r="84" spans="2:6">
      <c r="B84" s="156">
        <f t="shared" si="10"/>
        <v>0</v>
      </c>
      <c r="C84" s="111">
        <v>12</v>
      </c>
      <c r="D84" s="822"/>
      <c r="F84" s="156">
        <f t="shared" si="8"/>
        <v>0</v>
      </c>
    </row>
    <row r="85" spans="2:6">
      <c r="B85" s="156">
        <f>F23</f>
        <v>0</v>
      </c>
      <c r="C85" s="111">
        <v>1</v>
      </c>
      <c r="D85" s="822">
        <f>F22</f>
        <v>2014</v>
      </c>
      <c r="F85" s="156">
        <f>F23/12</f>
        <v>0</v>
      </c>
    </row>
    <row r="86" spans="2:6">
      <c r="B86" s="156">
        <f t="shared" ref="B86:B96" si="11">F24</f>
        <v>0</v>
      </c>
      <c r="C86" s="111">
        <v>2</v>
      </c>
      <c r="D86" s="822"/>
      <c r="F86" s="156">
        <f>F85</f>
        <v>0</v>
      </c>
    </row>
    <row r="87" spans="2:6">
      <c r="B87" s="156">
        <f t="shared" si="11"/>
        <v>0</v>
      </c>
      <c r="C87" s="111">
        <v>3</v>
      </c>
      <c r="D87" s="822"/>
      <c r="F87" s="156">
        <f>F86</f>
        <v>0</v>
      </c>
    </row>
    <row r="88" spans="2:6">
      <c r="B88" s="156">
        <f t="shared" si="11"/>
        <v>0</v>
      </c>
      <c r="C88" s="111">
        <v>4</v>
      </c>
      <c r="D88" s="822"/>
      <c r="F88" s="156">
        <f t="shared" si="8"/>
        <v>0</v>
      </c>
    </row>
    <row r="89" spans="2:6">
      <c r="B89" s="156">
        <f t="shared" si="11"/>
        <v>0</v>
      </c>
      <c r="C89" s="111">
        <v>5</v>
      </c>
      <c r="D89" s="822"/>
      <c r="F89" s="156">
        <f t="shared" si="8"/>
        <v>0</v>
      </c>
    </row>
    <row r="90" spans="2:6">
      <c r="B90" s="156">
        <f t="shared" si="11"/>
        <v>0</v>
      </c>
      <c r="C90" s="111">
        <v>6</v>
      </c>
      <c r="D90" s="822"/>
      <c r="F90" s="156">
        <f t="shared" si="8"/>
        <v>0</v>
      </c>
    </row>
    <row r="91" spans="2:6">
      <c r="B91" s="156">
        <f t="shared" si="11"/>
        <v>0</v>
      </c>
      <c r="C91" s="111">
        <v>7</v>
      </c>
      <c r="D91" s="822"/>
      <c r="F91" s="156">
        <f t="shared" si="8"/>
        <v>0</v>
      </c>
    </row>
    <row r="92" spans="2:6">
      <c r="B92" s="156">
        <f t="shared" si="11"/>
        <v>0</v>
      </c>
      <c r="C92" s="111">
        <v>8</v>
      </c>
      <c r="D92" s="822"/>
      <c r="F92" s="156">
        <f t="shared" si="8"/>
        <v>0</v>
      </c>
    </row>
    <row r="93" spans="2:6">
      <c r="B93" s="156">
        <f t="shared" si="11"/>
        <v>0</v>
      </c>
      <c r="C93" s="111">
        <v>9</v>
      </c>
      <c r="D93" s="822"/>
      <c r="F93" s="156">
        <f t="shared" si="8"/>
        <v>0</v>
      </c>
    </row>
    <row r="94" spans="2:6">
      <c r="B94" s="156">
        <f t="shared" si="11"/>
        <v>0</v>
      </c>
      <c r="C94" s="111">
        <v>10</v>
      </c>
      <c r="D94" s="822"/>
      <c r="F94" s="156">
        <f t="shared" si="8"/>
        <v>0</v>
      </c>
    </row>
    <row r="95" spans="2:6">
      <c r="B95" s="156">
        <f t="shared" si="11"/>
        <v>0</v>
      </c>
      <c r="C95" s="111">
        <v>11</v>
      </c>
      <c r="D95" s="822"/>
      <c r="F95" s="156">
        <f t="shared" si="8"/>
        <v>0</v>
      </c>
    </row>
    <row r="96" spans="2:6">
      <c r="B96" s="156">
        <f t="shared" si="11"/>
        <v>0</v>
      </c>
      <c r="C96" s="111">
        <v>12</v>
      </c>
      <c r="D96" s="822"/>
      <c r="F96" s="156">
        <f t="shared" si="8"/>
        <v>0</v>
      </c>
    </row>
    <row r="97" spans="2:6">
      <c r="B97" s="156">
        <f>G23</f>
        <v>0</v>
      </c>
      <c r="C97" s="111">
        <v>1</v>
      </c>
      <c r="D97" s="822">
        <f>G22</f>
        <v>2015</v>
      </c>
      <c r="F97" s="156">
        <f>G23/12</f>
        <v>0</v>
      </c>
    </row>
    <row r="98" spans="2:6">
      <c r="B98" s="156">
        <f t="shared" ref="B98:B108" si="12">G24</f>
        <v>0</v>
      </c>
      <c r="C98" s="111">
        <v>2</v>
      </c>
      <c r="D98" s="822"/>
      <c r="F98" s="156">
        <f>F97</f>
        <v>0</v>
      </c>
    </row>
    <row r="99" spans="2:6">
      <c r="B99" s="156">
        <f t="shared" si="12"/>
        <v>0</v>
      </c>
      <c r="C99" s="111">
        <v>3</v>
      </c>
      <c r="D99" s="822"/>
      <c r="F99" s="156">
        <f>F98</f>
        <v>0</v>
      </c>
    </row>
    <row r="100" spans="2:6">
      <c r="B100" s="156">
        <f t="shared" si="12"/>
        <v>0</v>
      </c>
      <c r="C100" s="111">
        <v>4</v>
      </c>
      <c r="D100" s="822"/>
      <c r="F100" s="156">
        <f t="shared" si="8"/>
        <v>0</v>
      </c>
    </row>
    <row r="101" spans="2:6">
      <c r="B101" s="156">
        <f t="shared" si="12"/>
        <v>0</v>
      </c>
      <c r="C101" s="111">
        <v>5</v>
      </c>
      <c r="D101" s="822"/>
      <c r="F101" s="156">
        <f t="shared" si="8"/>
        <v>0</v>
      </c>
    </row>
    <row r="102" spans="2:6">
      <c r="B102" s="156">
        <f t="shared" si="12"/>
        <v>0</v>
      </c>
      <c r="C102" s="111">
        <v>6</v>
      </c>
      <c r="D102" s="822"/>
      <c r="F102" s="156">
        <f t="shared" si="8"/>
        <v>0</v>
      </c>
    </row>
    <row r="103" spans="2:6">
      <c r="B103" s="156">
        <f t="shared" si="12"/>
        <v>0</v>
      </c>
      <c r="C103" s="111">
        <v>7</v>
      </c>
      <c r="D103" s="822"/>
      <c r="F103" s="156">
        <f t="shared" si="8"/>
        <v>0</v>
      </c>
    </row>
    <row r="104" spans="2:6">
      <c r="B104" s="156">
        <f t="shared" si="12"/>
        <v>0</v>
      </c>
      <c r="C104" s="111">
        <v>8</v>
      </c>
      <c r="D104" s="822"/>
      <c r="F104" s="156">
        <f t="shared" si="8"/>
        <v>0</v>
      </c>
    </row>
    <row r="105" spans="2:6">
      <c r="B105" s="156">
        <f t="shared" si="12"/>
        <v>0</v>
      </c>
      <c r="C105" s="111">
        <v>9</v>
      </c>
      <c r="D105" s="822"/>
      <c r="F105" s="156">
        <f t="shared" si="8"/>
        <v>0</v>
      </c>
    </row>
    <row r="106" spans="2:6">
      <c r="B106" s="156">
        <f t="shared" si="12"/>
        <v>0</v>
      </c>
      <c r="C106" s="111">
        <v>10</v>
      </c>
      <c r="D106" s="822"/>
      <c r="F106" s="156">
        <f t="shared" si="8"/>
        <v>0</v>
      </c>
    </row>
    <row r="107" spans="2:6">
      <c r="B107" s="156">
        <f t="shared" si="12"/>
        <v>0</v>
      </c>
      <c r="C107" s="111">
        <v>11</v>
      </c>
      <c r="D107" s="822"/>
      <c r="F107" s="156">
        <f t="shared" si="8"/>
        <v>0</v>
      </c>
    </row>
    <row r="108" spans="2:6">
      <c r="B108" s="156">
        <f t="shared" si="12"/>
        <v>0</v>
      </c>
      <c r="C108" s="111">
        <v>12</v>
      </c>
      <c r="D108" s="822"/>
      <c r="F108" s="156">
        <f t="shared" si="8"/>
        <v>0</v>
      </c>
    </row>
    <row r="109" spans="2:6">
      <c r="B109" s="156">
        <f>H23</f>
        <v>0</v>
      </c>
      <c r="C109" s="111">
        <v>1</v>
      </c>
      <c r="D109" s="822">
        <f>H22</f>
        <v>2016</v>
      </c>
      <c r="F109" s="156">
        <f>H23/12</f>
        <v>0</v>
      </c>
    </row>
    <row r="110" spans="2:6">
      <c r="B110" s="156">
        <f t="shared" ref="B110:B120" si="13">H24</f>
        <v>0</v>
      </c>
      <c r="C110" s="111">
        <v>2</v>
      </c>
      <c r="D110" s="822"/>
      <c r="F110" s="156">
        <f>F109</f>
        <v>0</v>
      </c>
    </row>
    <row r="111" spans="2:6">
      <c r="B111" s="156">
        <f t="shared" si="13"/>
        <v>0</v>
      </c>
      <c r="C111" s="111">
        <v>3</v>
      </c>
      <c r="D111" s="822"/>
      <c r="F111" s="156">
        <f>F110</f>
        <v>0</v>
      </c>
    </row>
    <row r="112" spans="2:6">
      <c r="B112" s="156">
        <f t="shared" si="13"/>
        <v>0</v>
      </c>
      <c r="C112" s="111">
        <v>4</v>
      </c>
      <c r="D112" s="822"/>
      <c r="F112" s="156">
        <f t="shared" si="8"/>
        <v>0</v>
      </c>
    </row>
    <row r="113" spans="2:6">
      <c r="B113" s="156">
        <f t="shared" si="13"/>
        <v>0</v>
      </c>
      <c r="C113" s="111">
        <v>5</v>
      </c>
      <c r="D113" s="822"/>
      <c r="F113" s="156">
        <f t="shared" si="8"/>
        <v>0</v>
      </c>
    </row>
    <row r="114" spans="2:6">
      <c r="B114" s="156">
        <f t="shared" si="13"/>
        <v>0</v>
      </c>
      <c r="C114" s="111">
        <v>6</v>
      </c>
      <c r="D114" s="822"/>
      <c r="F114" s="156">
        <f t="shared" ref="F114:F177" si="14">F113</f>
        <v>0</v>
      </c>
    </row>
    <row r="115" spans="2:6">
      <c r="B115" s="156">
        <f t="shared" si="13"/>
        <v>0</v>
      </c>
      <c r="C115" s="111">
        <v>7</v>
      </c>
      <c r="D115" s="822"/>
      <c r="F115" s="156">
        <f t="shared" si="14"/>
        <v>0</v>
      </c>
    </row>
    <row r="116" spans="2:6">
      <c r="B116" s="156">
        <f t="shared" si="13"/>
        <v>0</v>
      </c>
      <c r="C116" s="111">
        <v>8</v>
      </c>
      <c r="D116" s="822"/>
      <c r="F116" s="156">
        <f t="shared" si="14"/>
        <v>0</v>
      </c>
    </row>
    <row r="117" spans="2:6">
      <c r="B117" s="156">
        <f t="shared" si="13"/>
        <v>0</v>
      </c>
      <c r="C117" s="111">
        <v>9</v>
      </c>
      <c r="D117" s="822"/>
      <c r="F117" s="156">
        <f t="shared" si="14"/>
        <v>0</v>
      </c>
    </row>
    <row r="118" spans="2:6">
      <c r="B118" s="156">
        <f t="shared" si="13"/>
        <v>0</v>
      </c>
      <c r="C118" s="111">
        <v>10</v>
      </c>
      <c r="D118" s="822"/>
      <c r="F118" s="156">
        <f t="shared" si="14"/>
        <v>0</v>
      </c>
    </row>
    <row r="119" spans="2:6">
      <c r="B119" s="156">
        <f t="shared" si="13"/>
        <v>0</v>
      </c>
      <c r="C119" s="111">
        <v>11</v>
      </c>
      <c r="D119" s="822"/>
      <c r="F119" s="156">
        <f t="shared" si="14"/>
        <v>0</v>
      </c>
    </row>
    <row r="120" spans="2:6">
      <c r="B120" s="156">
        <f t="shared" si="13"/>
        <v>0</v>
      </c>
      <c r="C120" s="111">
        <v>12</v>
      </c>
      <c r="D120" s="822"/>
      <c r="F120" s="156">
        <f t="shared" si="14"/>
        <v>0</v>
      </c>
    </row>
    <row r="121" spans="2:6">
      <c r="B121" s="156">
        <f>I23</f>
        <v>5383.875</v>
      </c>
      <c r="C121" s="111">
        <v>1</v>
      </c>
      <c r="D121" s="822">
        <f>I22</f>
        <v>2017</v>
      </c>
      <c r="F121" s="156">
        <f>I23/12</f>
        <v>448.65625</v>
      </c>
    </row>
    <row r="122" spans="2:6">
      <c r="B122" s="156">
        <f t="shared" ref="B122:B132" si="15">I24</f>
        <v>4085.4916666666668</v>
      </c>
      <c r="C122" s="111">
        <v>2</v>
      </c>
      <c r="D122" s="822"/>
      <c r="F122" s="156">
        <f>F121</f>
        <v>448.65625</v>
      </c>
    </row>
    <row r="123" spans="2:6">
      <c r="B123" s="156">
        <f t="shared" si="15"/>
        <v>3118.25</v>
      </c>
      <c r="C123" s="111">
        <v>3</v>
      </c>
      <c r="D123" s="822"/>
      <c r="F123" s="156">
        <f>F122</f>
        <v>448.65625</v>
      </c>
    </row>
    <row r="124" spans="2:6">
      <c r="B124" s="156">
        <f t="shared" si="15"/>
        <v>2833.5</v>
      </c>
      <c r="C124" s="111">
        <v>4</v>
      </c>
      <c r="D124" s="822"/>
      <c r="F124" s="156">
        <f t="shared" si="14"/>
        <v>448.65625</v>
      </c>
    </row>
    <row r="125" spans="2:6">
      <c r="B125" s="156">
        <f t="shared" si="15"/>
        <v>2020.325</v>
      </c>
      <c r="C125" s="111">
        <v>5</v>
      </c>
      <c r="D125" s="822"/>
      <c r="F125" s="156">
        <f t="shared" si="14"/>
        <v>448.65625</v>
      </c>
    </row>
    <row r="126" spans="2:6">
      <c r="B126" s="156">
        <f t="shared" si="15"/>
        <v>1308.6916666666668</v>
      </c>
      <c r="C126" s="111">
        <v>6</v>
      </c>
      <c r="D126" s="822"/>
      <c r="F126" s="156">
        <f t="shared" si="14"/>
        <v>448.65625</v>
      </c>
    </row>
    <row r="127" spans="2:6">
      <c r="B127" s="156">
        <f t="shared" si="15"/>
        <v>1196.3333333333333</v>
      </c>
      <c r="C127" s="111">
        <v>7</v>
      </c>
      <c r="D127" s="822"/>
      <c r="F127" s="156">
        <f t="shared" si="14"/>
        <v>448.65625</v>
      </c>
    </row>
    <row r="128" spans="2:6">
      <c r="B128" s="156">
        <f t="shared" si="15"/>
        <v>1525.9083333333333</v>
      </c>
      <c r="C128" s="111">
        <v>8</v>
      </c>
      <c r="D128" s="822"/>
      <c r="F128" s="156">
        <f t="shared" si="14"/>
        <v>448.65625</v>
      </c>
    </row>
    <row r="129" spans="2:6">
      <c r="B129" s="156">
        <f t="shared" si="15"/>
        <v>1316.3166666666666</v>
      </c>
      <c r="C129" s="111">
        <v>9</v>
      </c>
      <c r="D129" s="822"/>
      <c r="F129" s="156">
        <f t="shared" si="14"/>
        <v>448.65625</v>
      </c>
    </row>
    <row r="130" spans="2:6">
      <c r="B130" s="156">
        <f t="shared" si="15"/>
        <v>1781.3333333333333</v>
      </c>
      <c r="C130" s="111">
        <v>10</v>
      </c>
      <c r="D130" s="822"/>
      <c r="F130" s="156">
        <f t="shared" si="14"/>
        <v>448.65625</v>
      </c>
    </row>
    <row r="131" spans="2:6">
      <c r="B131" s="156">
        <f t="shared" si="15"/>
        <v>3564.7333333333336</v>
      </c>
      <c r="C131" s="111">
        <v>11</v>
      </c>
      <c r="D131" s="822"/>
      <c r="F131" s="156">
        <f t="shared" si="14"/>
        <v>448.65625</v>
      </c>
    </row>
    <row r="132" spans="2:6">
      <c r="B132" s="156">
        <f t="shared" si="15"/>
        <v>3760.8166666666666</v>
      </c>
      <c r="C132" s="111">
        <v>12</v>
      </c>
      <c r="D132" s="822"/>
      <c r="F132" s="156">
        <f t="shared" si="14"/>
        <v>448.65625</v>
      </c>
    </row>
    <row r="133" spans="2:6">
      <c r="B133" s="156">
        <f>J23</f>
        <v>3459.2083333333335</v>
      </c>
      <c r="C133" s="111">
        <v>1</v>
      </c>
      <c r="D133" s="822">
        <f>J22</f>
        <v>2018</v>
      </c>
      <c r="F133" s="156">
        <f>J23/12</f>
        <v>288.26736111111114</v>
      </c>
    </row>
    <row r="134" spans="2:6">
      <c r="B134" s="156">
        <f t="shared" ref="B134:B144" si="16">J24</f>
        <v>4033.5750000000003</v>
      </c>
      <c r="C134" s="111">
        <v>2</v>
      </c>
      <c r="D134" s="822"/>
      <c r="F134" s="156">
        <f>F133</f>
        <v>288.26736111111114</v>
      </c>
    </row>
    <row r="135" spans="2:6">
      <c r="B135" s="156">
        <f t="shared" si="16"/>
        <v>3245.3916666666664</v>
      </c>
      <c r="C135" s="111">
        <v>3</v>
      </c>
      <c r="D135" s="822"/>
      <c r="F135" s="156">
        <f>F134</f>
        <v>288.26736111111114</v>
      </c>
    </row>
    <row r="136" spans="2:6">
      <c r="B136" s="156">
        <f t="shared" si="16"/>
        <v>2444.1416666666664</v>
      </c>
      <c r="C136" s="111">
        <v>4</v>
      </c>
      <c r="D136" s="822"/>
      <c r="F136" s="156">
        <f t="shared" si="14"/>
        <v>288.26736111111114</v>
      </c>
    </row>
    <row r="137" spans="2:6">
      <c r="B137" s="156">
        <f t="shared" si="16"/>
        <v>1914.3916666666667</v>
      </c>
      <c r="C137" s="111">
        <v>5</v>
      </c>
      <c r="D137" s="822"/>
      <c r="F137" s="156">
        <f t="shared" si="14"/>
        <v>288.26736111111114</v>
      </c>
    </row>
    <row r="138" spans="2:6">
      <c r="B138" s="156">
        <f t="shared" si="16"/>
        <v>1226.1083333333333</v>
      </c>
      <c r="C138" s="111">
        <v>6</v>
      </c>
      <c r="D138" s="822"/>
      <c r="F138" s="156">
        <f t="shared" si="14"/>
        <v>288.26736111111114</v>
      </c>
    </row>
    <row r="139" spans="2:6">
      <c r="B139" s="156">
        <f t="shared" si="16"/>
        <v>1173.1166666666668</v>
      </c>
      <c r="C139" s="111">
        <v>7</v>
      </c>
      <c r="D139" s="822"/>
      <c r="F139" s="156">
        <f t="shared" si="14"/>
        <v>288.26736111111114</v>
      </c>
    </row>
    <row r="140" spans="2:6">
      <c r="B140" s="156">
        <f t="shared" si="16"/>
        <v>1204.6500000000001</v>
      </c>
      <c r="C140" s="111">
        <v>8</v>
      </c>
      <c r="D140" s="822"/>
      <c r="F140" s="156">
        <f t="shared" si="14"/>
        <v>288.26736111111114</v>
      </c>
    </row>
    <row r="141" spans="2:6">
      <c r="B141" s="156">
        <f t="shared" si="16"/>
        <v>1187.1666666666667</v>
      </c>
      <c r="C141" s="111">
        <v>9</v>
      </c>
      <c r="D141" s="822"/>
      <c r="F141" s="156">
        <f t="shared" si="14"/>
        <v>288.26736111111114</v>
      </c>
    </row>
    <row r="142" spans="2:6">
      <c r="B142" s="156">
        <f t="shared" si="16"/>
        <v>1829.4666666666669</v>
      </c>
      <c r="C142" s="111">
        <v>10</v>
      </c>
      <c r="D142" s="822"/>
      <c r="F142" s="156">
        <f t="shared" si="14"/>
        <v>288.26736111111114</v>
      </c>
    </row>
    <row r="143" spans="2:6">
      <c r="B143" s="156">
        <f t="shared" si="16"/>
        <v>2984.2666666666669</v>
      </c>
      <c r="C143" s="111">
        <v>11</v>
      </c>
      <c r="D143" s="822"/>
      <c r="F143" s="156">
        <f t="shared" si="14"/>
        <v>288.26736111111114</v>
      </c>
    </row>
    <row r="144" spans="2:6">
      <c r="B144" s="156">
        <f t="shared" si="16"/>
        <v>3133</v>
      </c>
      <c r="C144" s="111">
        <v>12</v>
      </c>
      <c r="D144" s="822"/>
      <c r="F144" s="156">
        <f t="shared" si="14"/>
        <v>288.26736111111114</v>
      </c>
    </row>
    <row r="145" spans="2:6">
      <c r="B145" s="156">
        <f>K23</f>
        <v>3601.6416666666669</v>
      </c>
      <c r="C145" s="111">
        <v>1</v>
      </c>
      <c r="D145" s="822">
        <f>K22</f>
        <v>2019</v>
      </c>
      <c r="F145" s="156">
        <f>K23/12</f>
        <v>300.13680555555555</v>
      </c>
    </row>
    <row r="146" spans="2:6">
      <c r="B146" s="156">
        <f t="shared" ref="B146:B156" si="17">K24</f>
        <v>3527.4416666666671</v>
      </c>
      <c r="C146" s="111">
        <v>2</v>
      </c>
      <c r="D146" s="822"/>
      <c r="F146" s="156">
        <f>F145</f>
        <v>300.13680555555555</v>
      </c>
    </row>
    <row r="147" spans="2:6">
      <c r="B147" s="156">
        <f t="shared" si="17"/>
        <v>2708.2083333333335</v>
      </c>
      <c r="C147" s="111">
        <v>3</v>
      </c>
      <c r="D147" s="822"/>
      <c r="F147" s="156">
        <f>F146</f>
        <v>300.13680555555555</v>
      </c>
    </row>
    <row r="148" spans="2:6">
      <c r="B148" s="156">
        <f t="shared" si="17"/>
        <v>2346.916666666667</v>
      </c>
      <c r="C148" s="111">
        <v>4</v>
      </c>
      <c r="D148" s="822"/>
      <c r="F148" s="156">
        <f t="shared" si="14"/>
        <v>300.13680555555555</v>
      </c>
    </row>
    <row r="149" spans="2:6">
      <c r="B149" s="156">
        <f t="shared" si="17"/>
        <v>1845.0583333333336</v>
      </c>
      <c r="C149" s="111">
        <v>5</v>
      </c>
      <c r="D149" s="822"/>
      <c r="F149" s="156">
        <f t="shared" si="14"/>
        <v>300.13680555555555</v>
      </c>
    </row>
    <row r="150" spans="2:6">
      <c r="B150" s="156">
        <f t="shared" si="17"/>
        <v>1352.2666666666667</v>
      </c>
      <c r="C150" s="111">
        <v>6</v>
      </c>
      <c r="D150" s="822"/>
      <c r="F150" s="156">
        <f t="shared" si="14"/>
        <v>300.13680555555555</v>
      </c>
    </row>
    <row r="151" spans="2:6">
      <c r="B151" s="156">
        <f t="shared" si="17"/>
        <v>1064.425</v>
      </c>
      <c r="C151" s="111">
        <v>7</v>
      </c>
      <c r="D151" s="822"/>
      <c r="F151" s="156">
        <f t="shared" si="14"/>
        <v>300.13680555555555</v>
      </c>
    </row>
    <row r="152" spans="2:6">
      <c r="B152" s="156">
        <f t="shared" si="17"/>
        <v>941.27499999999998</v>
      </c>
      <c r="C152" s="111">
        <v>8</v>
      </c>
      <c r="D152" s="822"/>
      <c r="F152" s="156">
        <f t="shared" si="14"/>
        <v>300.13680555555555</v>
      </c>
    </row>
    <row r="153" spans="2:6">
      <c r="B153" s="156">
        <f t="shared" si="17"/>
        <v>897.81666666666683</v>
      </c>
      <c r="C153" s="111">
        <v>9</v>
      </c>
      <c r="D153" s="822"/>
      <c r="F153" s="156">
        <f t="shared" si="14"/>
        <v>300.13680555555555</v>
      </c>
    </row>
    <row r="154" spans="2:6">
      <c r="B154" s="156">
        <f t="shared" si="17"/>
        <v>1764.0416666666667</v>
      </c>
      <c r="C154" s="111">
        <v>10</v>
      </c>
      <c r="D154" s="822"/>
      <c r="F154" s="156">
        <f t="shared" si="14"/>
        <v>300.13680555555555</v>
      </c>
    </row>
    <row r="155" spans="2:6">
      <c r="B155" s="156">
        <f t="shared" si="17"/>
        <v>2748.55</v>
      </c>
      <c r="C155" s="111">
        <v>11</v>
      </c>
      <c r="D155" s="822"/>
      <c r="F155" s="156">
        <f t="shared" si="14"/>
        <v>300.13680555555555</v>
      </c>
    </row>
    <row r="156" spans="2:6">
      <c r="B156" s="156">
        <f t="shared" si="17"/>
        <v>3052.6916666666666</v>
      </c>
      <c r="C156" s="111">
        <v>12</v>
      </c>
      <c r="D156" s="822"/>
      <c r="F156" s="156">
        <f t="shared" si="14"/>
        <v>300.13680555555555</v>
      </c>
    </row>
    <row r="157" spans="2:6">
      <c r="B157" s="156">
        <f>L23</f>
        <v>3349.7166666666667</v>
      </c>
      <c r="C157" s="111">
        <v>1</v>
      </c>
      <c r="D157" s="822">
        <f>L22</f>
        <v>2020</v>
      </c>
      <c r="F157" s="156">
        <f>L23/12</f>
        <v>279.14305555555558</v>
      </c>
    </row>
    <row r="158" spans="2:6">
      <c r="B158" s="156">
        <f t="shared" ref="B158:B168" si="18">L24</f>
        <v>2934.2416666666668</v>
      </c>
      <c r="C158" s="111">
        <v>2</v>
      </c>
      <c r="D158" s="822"/>
      <c r="F158" s="156">
        <f>F157</f>
        <v>279.14305555555558</v>
      </c>
    </row>
    <row r="159" spans="2:6">
      <c r="B159" s="156">
        <f t="shared" si="18"/>
        <v>2598.791666666667</v>
      </c>
      <c r="C159" s="111">
        <v>3</v>
      </c>
      <c r="D159" s="822"/>
      <c r="F159" s="156">
        <f>F158</f>
        <v>279.14305555555558</v>
      </c>
    </row>
    <row r="160" spans="2:6">
      <c r="B160" s="156">
        <f t="shared" si="18"/>
        <v>1767.3583333333333</v>
      </c>
      <c r="C160" s="111">
        <v>4</v>
      </c>
      <c r="D160" s="822"/>
      <c r="F160" s="156">
        <f t="shared" si="14"/>
        <v>279.14305555555558</v>
      </c>
    </row>
    <row r="161" spans="2:6">
      <c r="B161" s="156">
        <f t="shared" si="18"/>
        <v>1562.3083333333334</v>
      </c>
      <c r="C161" s="111">
        <v>5</v>
      </c>
      <c r="D161" s="822"/>
      <c r="F161" s="156">
        <f t="shared" si="14"/>
        <v>279.14305555555558</v>
      </c>
    </row>
    <row r="162" spans="2:6">
      <c r="B162" s="156">
        <f t="shared" si="18"/>
        <v>1055.2</v>
      </c>
      <c r="C162" s="111">
        <v>6</v>
      </c>
      <c r="D162" s="822"/>
      <c r="F162" s="156">
        <f t="shared" si="14"/>
        <v>279.14305555555558</v>
      </c>
    </row>
    <row r="163" spans="2:6">
      <c r="B163" s="156">
        <f t="shared" si="18"/>
        <v>834.9083333333333</v>
      </c>
      <c r="C163" s="111">
        <v>7</v>
      </c>
      <c r="D163" s="822"/>
      <c r="F163" s="156">
        <f t="shared" si="14"/>
        <v>279.14305555555558</v>
      </c>
    </row>
    <row r="164" spans="2:6">
      <c r="B164" s="156">
        <f t="shared" si="18"/>
        <v>824.9083333333333</v>
      </c>
      <c r="C164" s="111">
        <v>8</v>
      </c>
      <c r="D164" s="822"/>
      <c r="F164" s="156">
        <f t="shared" si="14"/>
        <v>279.14305555555558</v>
      </c>
    </row>
    <row r="165" spans="2:6">
      <c r="B165" s="156">
        <f t="shared" si="18"/>
        <v>889.57500000000005</v>
      </c>
      <c r="C165" s="111">
        <v>9</v>
      </c>
      <c r="D165" s="822"/>
      <c r="F165" s="156">
        <f t="shared" si="14"/>
        <v>279.14305555555558</v>
      </c>
    </row>
    <row r="166" spans="2:6">
      <c r="B166" s="156">
        <f t="shared" si="18"/>
        <v>1661.125</v>
      </c>
      <c r="C166" s="111">
        <v>10</v>
      </c>
      <c r="D166" s="822"/>
      <c r="F166" s="156">
        <f t="shared" si="14"/>
        <v>279.14305555555558</v>
      </c>
    </row>
    <row r="167" spans="2:6">
      <c r="B167" s="156">
        <f t="shared" si="18"/>
        <v>2107.9750000000004</v>
      </c>
      <c r="C167" s="111">
        <v>11</v>
      </c>
      <c r="D167" s="822"/>
      <c r="F167" s="156">
        <f t="shared" si="14"/>
        <v>279.14305555555558</v>
      </c>
    </row>
    <row r="168" spans="2:6">
      <c r="B168" s="156">
        <f t="shared" si="18"/>
        <v>2677.4250000000002</v>
      </c>
      <c r="C168" s="111">
        <v>12</v>
      </c>
      <c r="D168" s="822"/>
      <c r="F168" s="156">
        <f t="shared" si="14"/>
        <v>279.14305555555558</v>
      </c>
    </row>
    <row r="169" spans="2:6">
      <c r="B169" s="156">
        <f>M23</f>
        <v>3335.1</v>
      </c>
      <c r="C169" s="111">
        <v>1</v>
      </c>
      <c r="D169" s="822">
        <f>M22</f>
        <v>2021</v>
      </c>
      <c r="F169" s="156">
        <f>M23/12</f>
        <v>277.92500000000001</v>
      </c>
    </row>
    <row r="170" spans="2:6">
      <c r="B170" s="156">
        <f t="shared" ref="B170:B180" si="19">M24</f>
        <v>2986.75</v>
      </c>
      <c r="C170" s="111">
        <v>2</v>
      </c>
      <c r="D170" s="822"/>
      <c r="F170" s="156">
        <f>F169</f>
        <v>277.92500000000001</v>
      </c>
    </row>
    <row r="171" spans="2:6">
      <c r="B171" s="156">
        <f t="shared" si="19"/>
        <v>2633.166666666667</v>
      </c>
      <c r="C171" s="111">
        <v>3</v>
      </c>
      <c r="D171" s="822"/>
      <c r="F171" s="156">
        <f>F170</f>
        <v>277.92500000000001</v>
      </c>
    </row>
    <row r="172" spans="2:6">
      <c r="B172" s="156">
        <f t="shared" si="19"/>
        <v>2264.0083333333332</v>
      </c>
      <c r="C172" s="111">
        <v>4</v>
      </c>
      <c r="D172" s="822"/>
      <c r="F172" s="156">
        <f t="shared" si="14"/>
        <v>277.92500000000001</v>
      </c>
    </row>
    <row r="173" spans="2:6">
      <c r="B173" s="156">
        <f t="shared" si="19"/>
        <v>1760.6333333333337</v>
      </c>
      <c r="C173" s="111">
        <v>5</v>
      </c>
      <c r="D173" s="822"/>
      <c r="F173" s="156">
        <f t="shared" si="14"/>
        <v>277.92500000000001</v>
      </c>
    </row>
    <row r="174" spans="2:6">
      <c r="B174" s="156">
        <f t="shared" si="19"/>
        <v>1037.175</v>
      </c>
      <c r="C174" s="111">
        <v>6</v>
      </c>
      <c r="D174" s="822"/>
      <c r="F174" s="156">
        <f t="shared" si="14"/>
        <v>277.92500000000001</v>
      </c>
    </row>
    <row r="175" spans="2:6">
      <c r="B175" s="156">
        <f t="shared" si="19"/>
        <v>844.4</v>
      </c>
      <c r="C175" s="111">
        <v>7</v>
      </c>
      <c r="D175" s="822"/>
      <c r="F175" s="156">
        <f t="shared" si="14"/>
        <v>277.92500000000001</v>
      </c>
    </row>
    <row r="176" spans="2:6">
      <c r="B176" s="156">
        <f t="shared" si="19"/>
        <v>911.31666666666661</v>
      </c>
      <c r="C176" s="111">
        <v>8</v>
      </c>
      <c r="D176" s="822"/>
      <c r="F176" s="156">
        <f t="shared" si="14"/>
        <v>277.92500000000001</v>
      </c>
    </row>
    <row r="177" spans="2:6">
      <c r="B177" s="156">
        <f t="shared" si="19"/>
        <v>924.92500000000007</v>
      </c>
      <c r="C177" s="111">
        <v>9</v>
      </c>
      <c r="D177" s="822"/>
      <c r="F177" s="156">
        <f t="shared" si="14"/>
        <v>277.92500000000001</v>
      </c>
    </row>
    <row r="178" spans="2:6">
      <c r="B178" s="156">
        <f t="shared" si="19"/>
        <v>0</v>
      </c>
      <c r="C178" s="111">
        <v>10</v>
      </c>
      <c r="D178" s="822"/>
      <c r="F178" s="156">
        <f t="shared" ref="F178:F216" si="20">F177</f>
        <v>277.92500000000001</v>
      </c>
    </row>
    <row r="179" spans="2:6">
      <c r="B179" s="156">
        <f t="shared" si="19"/>
        <v>0</v>
      </c>
      <c r="C179" s="111">
        <v>11</v>
      </c>
      <c r="D179" s="822"/>
      <c r="F179" s="156">
        <f t="shared" si="20"/>
        <v>277.92500000000001</v>
      </c>
    </row>
    <row r="180" spans="2:6">
      <c r="B180" s="156">
        <f t="shared" si="19"/>
        <v>0</v>
      </c>
      <c r="C180" s="111">
        <v>12</v>
      </c>
      <c r="D180" s="822"/>
      <c r="F180" s="156">
        <f t="shared" si="20"/>
        <v>277.92500000000001</v>
      </c>
    </row>
    <row r="181" spans="2:6">
      <c r="B181" s="156">
        <f>N23</f>
        <v>0</v>
      </c>
      <c r="C181" s="111">
        <v>1</v>
      </c>
      <c r="D181" s="822">
        <f>N22</f>
        <v>2022</v>
      </c>
      <c r="F181" s="156">
        <f>N23/12</f>
        <v>0</v>
      </c>
    </row>
    <row r="182" spans="2:6">
      <c r="B182" s="156">
        <f t="shared" ref="B182:B192" si="21">N24</f>
        <v>0</v>
      </c>
      <c r="C182" s="111">
        <v>2</v>
      </c>
      <c r="D182" s="822"/>
      <c r="F182" s="156">
        <f>F181</f>
        <v>0</v>
      </c>
    </row>
    <row r="183" spans="2:6">
      <c r="B183" s="156">
        <f t="shared" si="21"/>
        <v>0</v>
      </c>
      <c r="C183" s="111">
        <v>3</v>
      </c>
      <c r="D183" s="822"/>
      <c r="F183" s="156">
        <f>F182</f>
        <v>0</v>
      </c>
    </row>
    <row r="184" spans="2:6">
      <c r="B184" s="156">
        <f t="shared" si="21"/>
        <v>0</v>
      </c>
      <c r="C184" s="111">
        <v>4</v>
      </c>
      <c r="D184" s="822"/>
      <c r="F184" s="156">
        <f t="shared" si="20"/>
        <v>0</v>
      </c>
    </row>
    <row r="185" spans="2:6">
      <c r="B185" s="156">
        <f t="shared" si="21"/>
        <v>0</v>
      </c>
      <c r="C185" s="111">
        <v>5</v>
      </c>
      <c r="D185" s="822"/>
      <c r="F185" s="156">
        <f t="shared" si="20"/>
        <v>0</v>
      </c>
    </row>
    <row r="186" spans="2:6">
      <c r="B186" s="156">
        <f t="shared" si="21"/>
        <v>0</v>
      </c>
      <c r="C186" s="111">
        <v>6</v>
      </c>
      <c r="D186" s="822"/>
      <c r="F186" s="156">
        <f t="shared" si="20"/>
        <v>0</v>
      </c>
    </row>
    <row r="187" spans="2:6">
      <c r="B187" s="156">
        <f t="shared" si="21"/>
        <v>0</v>
      </c>
      <c r="C187" s="111">
        <v>7</v>
      </c>
      <c r="D187" s="822"/>
      <c r="F187" s="156">
        <f t="shared" si="20"/>
        <v>0</v>
      </c>
    </row>
    <row r="188" spans="2:6">
      <c r="B188" s="156">
        <f t="shared" si="21"/>
        <v>0</v>
      </c>
      <c r="C188" s="111">
        <v>8</v>
      </c>
      <c r="D188" s="822"/>
      <c r="F188" s="156">
        <f t="shared" si="20"/>
        <v>0</v>
      </c>
    </row>
    <row r="189" spans="2:6">
      <c r="B189" s="156">
        <f t="shared" si="21"/>
        <v>0</v>
      </c>
      <c r="C189" s="111">
        <v>9</v>
      </c>
      <c r="D189" s="822"/>
      <c r="F189" s="156">
        <f t="shared" si="20"/>
        <v>0</v>
      </c>
    </row>
    <row r="190" spans="2:6">
      <c r="B190" s="156">
        <f t="shared" si="21"/>
        <v>0</v>
      </c>
      <c r="C190" s="111">
        <v>10</v>
      </c>
      <c r="D190" s="822"/>
      <c r="F190" s="156">
        <f t="shared" si="20"/>
        <v>0</v>
      </c>
    </row>
    <row r="191" spans="2:6">
      <c r="B191" s="156">
        <f t="shared" si="21"/>
        <v>0</v>
      </c>
      <c r="C191" s="111">
        <v>11</v>
      </c>
      <c r="D191" s="822"/>
      <c r="F191" s="156">
        <f t="shared" si="20"/>
        <v>0</v>
      </c>
    </row>
    <row r="192" spans="2:6">
      <c r="B192" s="156">
        <f t="shared" si="21"/>
        <v>0</v>
      </c>
      <c r="C192" s="111">
        <v>12</v>
      </c>
      <c r="D192" s="822"/>
      <c r="F192" s="156">
        <f t="shared" si="20"/>
        <v>0</v>
      </c>
    </row>
    <row r="193" spans="2:6">
      <c r="B193" s="156">
        <f>O23</f>
        <v>0</v>
      </c>
      <c r="C193" s="111">
        <v>1</v>
      </c>
      <c r="D193" s="822">
        <f>O22</f>
        <v>2023</v>
      </c>
      <c r="F193" s="156">
        <f>O23/12</f>
        <v>0</v>
      </c>
    </row>
    <row r="194" spans="2:6">
      <c r="B194" s="156">
        <f t="shared" ref="B194:B204" si="22">O24</f>
        <v>0</v>
      </c>
      <c r="C194" s="111">
        <v>2</v>
      </c>
      <c r="D194" s="822"/>
      <c r="F194" s="156">
        <f>F193</f>
        <v>0</v>
      </c>
    </row>
    <row r="195" spans="2:6">
      <c r="B195" s="156">
        <f t="shared" si="22"/>
        <v>0</v>
      </c>
      <c r="C195" s="111">
        <v>3</v>
      </c>
      <c r="D195" s="822"/>
      <c r="F195" s="156">
        <f>F194</f>
        <v>0</v>
      </c>
    </row>
    <row r="196" spans="2:6">
      <c r="B196" s="156">
        <f t="shared" si="22"/>
        <v>0</v>
      </c>
      <c r="C196" s="111">
        <v>4</v>
      </c>
      <c r="D196" s="822"/>
      <c r="F196" s="156">
        <f t="shared" si="20"/>
        <v>0</v>
      </c>
    </row>
    <row r="197" spans="2:6">
      <c r="B197" s="156">
        <f t="shared" si="22"/>
        <v>0</v>
      </c>
      <c r="C197" s="111">
        <v>5</v>
      </c>
      <c r="D197" s="822"/>
      <c r="F197" s="156">
        <f t="shared" si="20"/>
        <v>0</v>
      </c>
    </row>
    <row r="198" spans="2:6">
      <c r="B198" s="156">
        <f t="shared" si="22"/>
        <v>0</v>
      </c>
      <c r="C198" s="111">
        <v>6</v>
      </c>
      <c r="D198" s="822"/>
      <c r="F198" s="156">
        <f t="shared" si="20"/>
        <v>0</v>
      </c>
    </row>
    <row r="199" spans="2:6">
      <c r="B199" s="156">
        <f t="shared" si="22"/>
        <v>0</v>
      </c>
      <c r="C199" s="111">
        <v>7</v>
      </c>
      <c r="D199" s="822"/>
      <c r="F199" s="156">
        <f t="shared" si="20"/>
        <v>0</v>
      </c>
    </row>
    <row r="200" spans="2:6">
      <c r="B200" s="156">
        <f t="shared" si="22"/>
        <v>0</v>
      </c>
      <c r="C200" s="111">
        <v>8</v>
      </c>
      <c r="D200" s="822"/>
      <c r="F200" s="156">
        <f t="shared" si="20"/>
        <v>0</v>
      </c>
    </row>
    <row r="201" spans="2:6">
      <c r="B201" s="156">
        <f t="shared" si="22"/>
        <v>0</v>
      </c>
      <c r="C201" s="111">
        <v>9</v>
      </c>
      <c r="D201" s="822"/>
      <c r="F201" s="156">
        <f t="shared" si="20"/>
        <v>0</v>
      </c>
    </row>
    <row r="202" spans="2:6">
      <c r="B202" s="156">
        <f t="shared" si="22"/>
        <v>0</v>
      </c>
      <c r="C202" s="111">
        <v>10</v>
      </c>
      <c r="D202" s="822"/>
      <c r="F202" s="156">
        <f t="shared" si="20"/>
        <v>0</v>
      </c>
    </row>
    <row r="203" spans="2:6">
      <c r="B203" s="156">
        <f t="shared" si="22"/>
        <v>0</v>
      </c>
      <c r="C203" s="111">
        <v>11</v>
      </c>
      <c r="D203" s="822"/>
      <c r="F203" s="156">
        <f t="shared" si="20"/>
        <v>0</v>
      </c>
    </row>
    <row r="204" spans="2:6">
      <c r="B204" s="156">
        <f t="shared" si="22"/>
        <v>0</v>
      </c>
      <c r="C204" s="111">
        <v>12</v>
      </c>
      <c r="D204" s="822"/>
      <c r="F204" s="156">
        <f t="shared" si="20"/>
        <v>0</v>
      </c>
    </row>
    <row r="205" spans="2:6">
      <c r="B205" s="156">
        <f>'Aide CME'!P23</f>
        <v>0</v>
      </c>
      <c r="C205" s="111">
        <v>1</v>
      </c>
      <c r="D205" s="822">
        <f>P22</f>
        <v>2024</v>
      </c>
      <c r="F205" s="156">
        <f>P23/12</f>
        <v>0</v>
      </c>
    </row>
    <row r="206" spans="2:6">
      <c r="B206" s="156">
        <f>'Aide CME'!P24</f>
        <v>0</v>
      </c>
      <c r="C206" s="111">
        <v>2</v>
      </c>
      <c r="D206" s="822"/>
      <c r="F206" s="156">
        <f>F205</f>
        <v>0</v>
      </c>
    </row>
    <row r="207" spans="2:6">
      <c r="B207" s="156">
        <f>'Aide CME'!P25</f>
        <v>0</v>
      </c>
      <c r="C207" s="111">
        <v>3</v>
      </c>
      <c r="D207" s="822"/>
      <c r="F207" s="156">
        <f>F206</f>
        <v>0</v>
      </c>
    </row>
    <row r="208" spans="2:6">
      <c r="B208" s="156">
        <f>'Aide CME'!P26</f>
        <v>0</v>
      </c>
      <c r="C208" s="111">
        <v>4</v>
      </c>
      <c r="D208" s="822"/>
      <c r="F208" s="156">
        <f t="shared" si="20"/>
        <v>0</v>
      </c>
    </row>
    <row r="209" spans="2:6">
      <c r="B209" s="156">
        <f>'Aide CME'!P27</f>
        <v>0</v>
      </c>
      <c r="C209" s="111">
        <v>5</v>
      </c>
      <c r="D209" s="822"/>
      <c r="F209" s="156">
        <f t="shared" si="20"/>
        <v>0</v>
      </c>
    </row>
    <row r="210" spans="2:6">
      <c r="B210" s="156">
        <f>'Aide CME'!P28</f>
        <v>0</v>
      </c>
      <c r="C210" s="111">
        <v>6</v>
      </c>
      <c r="D210" s="822"/>
      <c r="F210" s="156">
        <f t="shared" si="20"/>
        <v>0</v>
      </c>
    </row>
    <row r="211" spans="2:6">
      <c r="B211" s="156">
        <f>'Aide CME'!P29</f>
        <v>0</v>
      </c>
      <c r="C211" s="111">
        <v>7</v>
      </c>
      <c r="D211" s="822"/>
      <c r="F211" s="156">
        <f t="shared" si="20"/>
        <v>0</v>
      </c>
    </row>
    <row r="212" spans="2:6">
      <c r="B212" s="156">
        <f>'Aide CME'!P30</f>
        <v>0</v>
      </c>
      <c r="C212" s="111">
        <v>8</v>
      </c>
      <c r="D212" s="822"/>
      <c r="F212" s="156">
        <f t="shared" si="20"/>
        <v>0</v>
      </c>
    </row>
    <row r="213" spans="2:6">
      <c r="B213" s="156">
        <f>'Aide CME'!P31</f>
        <v>0</v>
      </c>
      <c r="C213" s="111">
        <v>9</v>
      </c>
      <c r="D213" s="822"/>
      <c r="F213" s="156">
        <f t="shared" si="20"/>
        <v>0</v>
      </c>
    </row>
    <row r="214" spans="2:6">
      <c r="B214" s="156">
        <f>'Aide CME'!P32</f>
        <v>0</v>
      </c>
      <c r="C214" s="111">
        <v>10</v>
      </c>
      <c r="D214" s="822"/>
      <c r="F214" s="156">
        <f t="shared" si="20"/>
        <v>0</v>
      </c>
    </row>
    <row r="215" spans="2:6">
      <c r="B215" s="156">
        <f>'Aide CME'!P33</f>
        <v>0</v>
      </c>
      <c r="C215" s="111">
        <v>11</v>
      </c>
      <c r="D215" s="822"/>
      <c r="F215" s="156">
        <f t="shared" si="20"/>
        <v>0</v>
      </c>
    </row>
    <row r="216" spans="2:6">
      <c r="B216" s="156">
        <f>'Aide CME'!P34</f>
        <v>0</v>
      </c>
      <c r="C216" s="111">
        <v>12</v>
      </c>
      <c r="D216" s="822"/>
      <c r="F216" s="156">
        <f t="shared" si="20"/>
        <v>0</v>
      </c>
    </row>
    <row r="217" spans="2:6">
      <c r="B217" s="156">
        <f>'Aide CME'!Q23</f>
        <v>0</v>
      </c>
      <c r="C217" s="111">
        <v>1</v>
      </c>
      <c r="D217" s="822">
        <f>Q22</f>
        <v>2025</v>
      </c>
      <c r="F217" s="156">
        <f>Q23/12</f>
        <v>0</v>
      </c>
    </row>
    <row r="218" spans="2:6">
      <c r="B218" s="156">
        <f>'Aide CME'!Q24</f>
        <v>0</v>
      </c>
      <c r="C218" s="111">
        <v>2</v>
      </c>
      <c r="D218" s="822"/>
      <c r="F218" s="156">
        <f>F217</f>
        <v>0</v>
      </c>
    </row>
    <row r="219" spans="2:6">
      <c r="B219" s="156">
        <f>'Aide CME'!Q25</f>
        <v>0</v>
      </c>
      <c r="C219" s="111">
        <v>3</v>
      </c>
      <c r="D219" s="822"/>
      <c r="F219" s="156">
        <f t="shared" ref="F219:F228" si="23">F218</f>
        <v>0</v>
      </c>
    </row>
    <row r="220" spans="2:6">
      <c r="B220" s="156">
        <f>'Aide CME'!Q26</f>
        <v>0</v>
      </c>
      <c r="C220" s="111">
        <v>4</v>
      </c>
      <c r="D220" s="822"/>
      <c r="F220" s="156">
        <f t="shared" si="23"/>
        <v>0</v>
      </c>
    </row>
    <row r="221" spans="2:6">
      <c r="B221" s="156">
        <f>'Aide CME'!Q27</f>
        <v>0</v>
      </c>
      <c r="C221" s="111">
        <v>5</v>
      </c>
      <c r="D221" s="822"/>
      <c r="F221" s="156">
        <f t="shared" si="23"/>
        <v>0</v>
      </c>
    </row>
    <row r="222" spans="2:6">
      <c r="B222" s="156">
        <f>'Aide CME'!Q28</f>
        <v>0</v>
      </c>
      <c r="C222" s="111">
        <v>6</v>
      </c>
      <c r="D222" s="822"/>
      <c r="F222" s="156">
        <f t="shared" si="23"/>
        <v>0</v>
      </c>
    </row>
    <row r="223" spans="2:6">
      <c r="B223" s="156">
        <f>'Aide CME'!Q29</f>
        <v>0</v>
      </c>
      <c r="C223" s="111">
        <v>7</v>
      </c>
      <c r="D223" s="822"/>
      <c r="F223" s="156">
        <f t="shared" si="23"/>
        <v>0</v>
      </c>
    </row>
    <row r="224" spans="2:6">
      <c r="B224" s="156">
        <f>'Aide CME'!Q30</f>
        <v>0</v>
      </c>
      <c r="C224" s="111">
        <v>8</v>
      </c>
      <c r="D224" s="822"/>
      <c r="F224" s="156">
        <f t="shared" si="23"/>
        <v>0</v>
      </c>
    </row>
    <row r="225" spans="2:6">
      <c r="B225" s="156">
        <f>'Aide CME'!Q31</f>
        <v>0</v>
      </c>
      <c r="C225" s="111">
        <v>9</v>
      </c>
      <c r="D225" s="822"/>
      <c r="F225" s="156">
        <f t="shared" si="23"/>
        <v>0</v>
      </c>
    </row>
    <row r="226" spans="2:6">
      <c r="B226" s="156">
        <f>'Aide CME'!Q32</f>
        <v>0</v>
      </c>
      <c r="C226" s="111">
        <v>10</v>
      </c>
      <c r="D226" s="822"/>
      <c r="F226" s="156">
        <f t="shared" si="23"/>
        <v>0</v>
      </c>
    </row>
    <row r="227" spans="2:6">
      <c r="B227" s="156">
        <f>'Aide CME'!Q33</f>
        <v>0</v>
      </c>
      <c r="C227" s="111">
        <v>11</v>
      </c>
      <c r="D227" s="822"/>
      <c r="F227" s="156">
        <f t="shared" si="23"/>
        <v>0</v>
      </c>
    </row>
    <row r="228" spans="2:6">
      <c r="B228" s="156">
        <f>'Aide CME'!Q34</f>
        <v>0</v>
      </c>
      <c r="C228" s="111">
        <v>12</v>
      </c>
      <c r="D228" s="822"/>
      <c r="F228" s="156">
        <f t="shared" si="23"/>
        <v>0</v>
      </c>
    </row>
    <row r="229" spans="2:6">
      <c r="B229" s="156">
        <f>'Aide CME'!R23</f>
        <v>0</v>
      </c>
      <c r="C229" s="111">
        <v>1</v>
      </c>
      <c r="D229" s="822">
        <f>R22</f>
        <v>2026</v>
      </c>
      <c r="F229" s="156">
        <f>R23/12</f>
        <v>0</v>
      </c>
    </row>
    <row r="230" spans="2:6">
      <c r="B230" s="156">
        <f>'Aide CME'!R24</f>
        <v>0</v>
      </c>
      <c r="C230" s="111">
        <v>2</v>
      </c>
      <c r="D230" s="822"/>
      <c r="F230" s="156">
        <f>F229</f>
        <v>0</v>
      </c>
    </row>
    <row r="231" spans="2:6">
      <c r="B231" s="156">
        <f>'Aide CME'!R25</f>
        <v>0</v>
      </c>
      <c r="C231" s="111">
        <v>3</v>
      </c>
      <c r="D231" s="822"/>
      <c r="F231" s="156">
        <f t="shared" ref="F231:F240" si="24">F230</f>
        <v>0</v>
      </c>
    </row>
    <row r="232" spans="2:6">
      <c r="B232" s="156">
        <f>'Aide CME'!R26</f>
        <v>0</v>
      </c>
      <c r="C232" s="111">
        <v>4</v>
      </c>
      <c r="D232" s="822"/>
      <c r="F232" s="156">
        <f t="shared" si="24"/>
        <v>0</v>
      </c>
    </row>
    <row r="233" spans="2:6">
      <c r="B233" s="156">
        <f>'Aide CME'!R27</f>
        <v>0</v>
      </c>
      <c r="C233" s="111">
        <v>5</v>
      </c>
      <c r="D233" s="822"/>
      <c r="F233" s="156">
        <f t="shared" si="24"/>
        <v>0</v>
      </c>
    </row>
    <row r="234" spans="2:6">
      <c r="B234" s="156">
        <f>'Aide CME'!R28</f>
        <v>0</v>
      </c>
      <c r="C234" s="111">
        <v>6</v>
      </c>
      <c r="D234" s="822"/>
      <c r="F234" s="156">
        <f t="shared" si="24"/>
        <v>0</v>
      </c>
    </row>
    <row r="235" spans="2:6">
      <c r="B235" s="156">
        <f>'Aide CME'!R29</f>
        <v>0</v>
      </c>
      <c r="C235" s="111">
        <v>7</v>
      </c>
      <c r="D235" s="822"/>
      <c r="F235" s="156">
        <f t="shared" si="24"/>
        <v>0</v>
      </c>
    </row>
    <row r="236" spans="2:6">
      <c r="B236" s="156">
        <f>'Aide CME'!R30</f>
        <v>0</v>
      </c>
      <c r="C236" s="111">
        <v>8</v>
      </c>
      <c r="D236" s="822"/>
      <c r="F236" s="156">
        <f t="shared" si="24"/>
        <v>0</v>
      </c>
    </row>
    <row r="237" spans="2:6">
      <c r="B237" s="156">
        <f>'Aide CME'!R31</f>
        <v>0</v>
      </c>
      <c r="C237" s="111">
        <v>9</v>
      </c>
      <c r="D237" s="822"/>
      <c r="F237" s="156">
        <f t="shared" si="24"/>
        <v>0</v>
      </c>
    </row>
    <row r="238" spans="2:6">
      <c r="B238" s="156">
        <f>'Aide CME'!R32</f>
        <v>0</v>
      </c>
      <c r="C238" s="111">
        <v>10</v>
      </c>
      <c r="D238" s="822"/>
      <c r="F238" s="156">
        <f t="shared" si="24"/>
        <v>0</v>
      </c>
    </row>
    <row r="239" spans="2:6">
      <c r="B239" s="156">
        <f>'Aide CME'!R33</f>
        <v>0</v>
      </c>
      <c r="C239" s="111">
        <v>11</v>
      </c>
      <c r="D239" s="822"/>
      <c r="F239" s="156">
        <f t="shared" si="24"/>
        <v>0</v>
      </c>
    </row>
    <row r="240" spans="2:6">
      <c r="B240" s="156">
        <f>'Aide CME'!R34</f>
        <v>0</v>
      </c>
      <c r="C240" s="111">
        <v>12</v>
      </c>
      <c r="D240" s="822"/>
      <c r="F240" s="156">
        <f t="shared" si="24"/>
        <v>0</v>
      </c>
    </row>
  </sheetData>
  <mergeCells count="19">
    <mergeCell ref="D109:D120"/>
    <mergeCell ref="D217:D228"/>
    <mergeCell ref="D229:D240"/>
    <mergeCell ref="C2:K2"/>
    <mergeCell ref="D205:D216"/>
    <mergeCell ref="D145:D156"/>
    <mergeCell ref="D157:D168"/>
    <mergeCell ref="D169:D180"/>
    <mergeCell ref="D181:D192"/>
    <mergeCell ref="D193:D204"/>
    <mergeCell ref="D121:D132"/>
    <mergeCell ref="D133:D144"/>
    <mergeCell ref="C14:K14"/>
    <mergeCell ref="D37:D48"/>
    <mergeCell ref="D49:D60"/>
    <mergeCell ref="D61:D72"/>
    <mergeCell ref="D73:D84"/>
    <mergeCell ref="D85:D96"/>
    <mergeCell ref="D97:D108"/>
  </mergeCells>
  <pageMargins left="0.7" right="0.7" top="0.75" bottom="0.75" header="0.3" footer="0.3"/>
  <pageSetup paperSize="9" orientation="portrait" horizontalDpi="4294967293"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dimension ref="A2:T242"/>
  <sheetViews>
    <sheetView workbookViewId="0"/>
  </sheetViews>
  <sheetFormatPr baseColWidth="10" defaultColWidth="11.36328125" defaultRowHeight="14.5"/>
  <cols>
    <col min="1" max="1" width="11.36328125" style="250"/>
    <col min="2" max="2" width="13.81640625" style="250" customWidth="1"/>
    <col min="3" max="3" width="16.08984375" style="250" customWidth="1"/>
    <col min="4" max="5" width="11.36328125" style="250"/>
    <col min="6" max="6" width="21" style="250" bestFit="1" customWidth="1"/>
    <col min="7" max="7" width="22.26953125" style="250" bestFit="1" customWidth="1"/>
    <col min="8" max="8" width="7.26953125" style="250" bestFit="1" customWidth="1"/>
    <col min="9" max="10" width="4" style="250" bestFit="1" customWidth="1"/>
    <col min="11" max="11" width="3.81640625" style="250" bestFit="1" customWidth="1"/>
    <col min="12" max="13" width="4" style="250" bestFit="1" customWidth="1"/>
    <col min="14" max="14" width="3.81640625" style="250" bestFit="1" customWidth="1"/>
    <col min="15" max="15" width="4" style="250" bestFit="1" customWidth="1"/>
    <col min="16" max="16" width="3" style="250" bestFit="1" customWidth="1"/>
    <col min="17" max="17" width="10.08984375" style="250" bestFit="1" customWidth="1"/>
    <col min="18" max="18" width="8" style="250" bestFit="1" customWidth="1"/>
    <col min="19" max="19" width="7.81640625" style="250" bestFit="1" customWidth="1"/>
    <col min="20" max="20" width="11.7265625" style="250" bestFit="1" customWidth="1"/>
    <col min="21" max="16384" width="11.36328125" style="250"/>
  </cols>
  <sheetData>
    <row r="2" spans="2:13">
      <c r="B2" s="250" t="s">
        <v>135</v>
      </c>
      <c r="C2" s="250" t="s">
        <v>136</v>
      </c>
      <c r="F2" s="250" t="s">
        <v>697</v>
      </c>
      <c r="G2" s="250" t="s">
        <v>698</v>
      </c>
      <c r="H2" s="250" t="s">
        <v>699</v>
      </c>
      <c r="I2" s="250" t="s">
        <v>700</v>
      </c>
      <c r="J2" s="250" t="s">
        <v>701</v>
      </c>
      <c r="K2" s="250" t="s">
        <v>702</v>
      </c>
      <c r="L2" s="250" t="s">
        <v>703</v>
      </c>
      <c r="M2" s="250" t="s">
        <v>704</v>
      </c>
    </row>
    <row r="3" spans="2:13">
      <c r="B3" s="86" t="s">
        <v>143</v>
      </c>
      <c r="C3" s="87" t="s">
        <v>144</v>
      </c>
      <c r="F3" s="250" t="s">
        <v>698</v>
      </c>
      <c r="G3" s="30" t="s">
        <v>582</v>
      </c>
      <c r="H3" s="30" t="s">
        <v>622</v>
      </c>
      <c r="I3" s="250" t="s">
        <v>639</v>
      </c>
      <c r="J3" s="250" t="s">
        <v>645</v>
      </c>
      <c r="K3" s="250" t="s">
        <v>652</v>
      </c>
      <c r="L3" s="250" t="s">
        <v>658</v>
      </c>
      <c r="M3" s="250" t="s">
        <v>647</v>
      </c>
    </row>
    <row r="4" spans="2:13" ht="26">
      <c r="B4" s="86" t="s">
        <v>160</v>
      </c>
      <c r="C4" s="87" t="s">
        <v>161</v>
      </c>
      <c r="F4" s="250" t="s">
        <v>699</v>
      </c>
      <c r="G4" s="30" t="s">
        <v>586</v>
      </c>
      <c r="H4" s="30" t="s">
        <v>621</v>
      </c>
      <c r="I4" s="250" t="s">
        <v>643</v>
      </c>
      <c r="J4" s="250" t="s">
        <v>646</v>
      </c>
      <c r="K4" s="250" t="s">
        <v>653</v>
      </c>
      <c r="L4" s="250" t="s">
        <v>661</v>
      </c>
      <c r="M4" s="250" t="s">
        <v>651</v>
      </c>
    </row>
    <row r="5" spans="2:13" ht="26">
      <c r="B5" s="86" t="s">
        <v>172</v>
      </c>
      <c r="C5" s="87" t="s">
        <v>173</v>
      </c>
      <c r="F5" s="250" t="s">
        <v>700</v>
      </c>
      <c r="G5" s="30" t="s">
        <v>588</v>
      </c>
      <c r="H5" s="30" t="s">
        <v>619</v>
      </c>
      <c r="K5" s="250" t="s">
        <v>654</v>
      </c>
      <c r="L5" s="250" t="s">
        <v>662</v>
      </c>
    </row>
    <row r="6" spans="2:13" ht="26">
      <c r="B6" s="86" t="s">
        <v>178</v>
      </c>
      <c r="C6" s="87" t="s">
        <v>179</v>
      </c>
      <c r="F6" s="250" t="s">
        <v>701</v>
      </c>
      <c r="G6" s="30" t="s">
        <v>608</v>
      </c>
      <c r="H6" s="30" t="s">
        <v>623</v>
      </c>
      <c r="K6" s="250" t="s">
        <v>656</v>
      </c>
      <c r="L6" s="250" t="s">
        <v>663</v>
      </c>
    </row>
    <row r="7" spans="2:13">
      <c r="B7" s="86" t="s">
        <v>183</v>
      </c>
      <c r="C7" s="87" t="s">
        <v>184</v>
      </c>
      <c r="F7" s="250" t="s">
        <v>702</v>
      </c>
      <c r="G7" s="30" t="s">
        <v>589</v>
      </c>
      <c r="H7" s="30" t="s">
        <v>624</v>
      </c>
      <c r="L7" s="250" t="s">
        <v>664</v>
      </c>
    </row>
    <row r="8" spans="2:13">
      <c r="B8" s="86" t="s">
        <v>188</v>
      </c>
      <c r="F8" s="250" t="s">
        <v>703</v>
      </c>
      <c r="G8" s="30" t="s">
        <v>592</v>
      </c>
      <c r="H8" s="30" t="s">
        <v>610</v>
      </c>
      <c r="L8" s="250" t="s">
        <v>665</v>
      </c>
    </row>
    <row r="9" spans="2:13">
      <c r="B9" s="86" t="s">
        <v>191</v>
      </c>
      <c r="F9" s="250" t="s">
        <v>704</v>
      </c>
      <c r="G9" s="30" t="s">
        <v>593</v>
      </c>
      <c r="H9" s="30" t="s">
        <v>613</v>
      </c>
      <c r="L9" s="250" t="s">
        <v>666</v>
      </c>
    </row>
    <row r="10" spans="2:13">
      <c r="B10" s="86" t="s">
        <v>193</v>
      </c>
      <c r="G10" s="30" t="s">
        <v>609</v>
      </c>
      <c r="H10" s="30" t="s">
        <v>625</v>
      </c>
      <c r="L10" s="250" t="s">
        <v>667</v>
      </c>
    </row>
    <row r="11" spans="2:13">
      <c r="B11" s="86" t="s">
        <v>690</v>
      </c>
      <c r="G11" s="30" t="s">
        <v>596</v>
      </c>
      <c r="H11" s="30" t="s">
        <v>616</v>
      </c>
      <c r="L11" s="250" t="s">
        <v>684</v>
      </c>
    </row>
    <row r="12" spans="2:13">
      <c r="B12" s="86" t="s">
        <v>688</v>
      </c>
      <c r="G12" s="30" t="s">
        <v>599</v>
      </c>
      <c r="H12" s="343" t="s">
        <v>668</v>
      </c>
      <c r="L12" s="250" t="s">
        <v>685</v>
      </c>
    </row>
    <row r="13" spans="2:13">
      <c r="B13" s="86" t="s">
        <v>689</v>
      </c>
      <c r="H13" s="30" t="s">
        <v>628</v>
      </c>
    </row>
    <row r="14" spans="2:13">
      <c r="B14" s="86" t="s">
        <v>692</v>
      </c>
      <c r="H14" s="250" t="s">
        <v>632</v>
      </c>
    </row>
    <row r="15" spans="2:13">
      <c r="B15" s="86" t="s">
        <v>691</v>
      </c>
      <c r="G15" s="30"/>
      <c r="H15" s="250" t="s">
        <v>638</v>
      </c>
    </row>
    <row r="16" spans="2:13">
      <c r="H16" s="250" t="s">
        <v>635</v>
      </c>
    </row>
    <row r="17" spans="1:20">
      <c r="H17" s="250" t="s">
        <v>670</v>
      </c>
    </row>
    <row r="18" spans="1:20">
      <c r="H18" s="250" t="s">
        <v>679</v>
      </c>
    </row>
    <row r="19" spans="1:20">
      <c r="H19" s="250" t="s">
        <v>680</v>
      </c>
    </row>
    <row r="20" spans="1:20">
      <c r="C20" s="696" t="s">
        <v>705</v>
      </c>
      <c r="D20" s="696"/>
      <c r="E20" s="696"/>
      <c r="F20" s="696"/>
      <c r="H20" s="250" t="s">
        <v>683</v>
      </c>
    </row>
    <row r="21" spans="1:20">
      <c r="C21" s="696"/>
      <c r="D21" s="696"/>
      <c r="E21" s="696"/>
      <c r="F21" s="696"/>
    </row>
    <row r="22" spans="1:20">
      <c r="C22" s="696"/>
      <c r="D22" s="696"/>
      <c r="E22" s="696"/>
      <c r="F22" s="696"/>
    </row>
    <row r="23" spans="1:20">
      <c r="C23" s="696"/>
      <c r="D23" s="696"/>
      <c r="E23" s="696"/>
      <c r="F23" s="696"/>
    </row>
    <row r="24" spans="1:20">
      <c r="C24" s="696"/>
      <c r="D24" s="696"/>
      <c r="E24" s="696"/>
      <c r="F24" s="696"/>
    </row>
    <row r="25" spans="1:20">
      <c r="C25" s="696"/>
      <c r="D25" s="696"/>
      <c r="E25" s="696"/>
      <c r="F25" s="696"/>
    </row>
    <row r="27" spans="1:20">
      <c r="A27" s="350" t="s">
        <v>710</v>
      </c>
      <c r="B27" s="350" t="s">
        <v>711</v>
      </c>
      <c r="C27" s="350" t="s">
        <v>135</v>
      </c>
      <c r="D27" s="350" t="s">
        <v>820</v>
      </c>
      <c r="F27" s="166" t="s">
        <v>64</v>
      </c>
      <c r="G27"/>
      <c r="H27"/>
      <c r="I27"/>
      <c r="J27"/>
      <c r="K27"/>
      <c r="L27"/>
      <c r="M27"/>
      <c r="N27"/>
      <c r="O27"/>
      <c r="P27"/>
      <c r="Q27"/>
      <c r="R27"/>
      <c r="S27"/>
      <c r="T27"/>
    </row>
    <row r="28" spans="1:20">
      <c r="A28" s="351">
        <v>1</v>
      </c>
      <c r="B28" s="351" t="s">
        <v>712</v>
      </c>
      <c r="C28" s="351" t="s">
        <v>172</v>
      </c>
      <c r="D28" s="250" t="s">
        <v>807</v>
      </c>
      <c r="F28" s="85" t="s">
        <v>816</v>
      </c>
      <c r="G28"/>
      <c r="H28"/>
      <c r="I28"/>
      <c r="J28"/>
      <c r="K28"/>
      <c r="L28"/>
      <c r="M28"/>
      <c r="N28"/>
      <c r="O28"/>
      <c r="P28"/>
      <c r="Q28"/>
      <c r="R28"/>
      <c r="S28"/>
      <c r="T28"/>
    </row>
    <row r="29" spans="1:20">
      <c r="A29" s="351">
        <v>2</v>
      </c>
      <c r="B29" s="351" t="s">
        <v>713</v>
      </c>
      <c r="C29" s="351" t="s">
        <v>143</v>
      </c>
      <c r="D29" s="250" t="s">
        <v>808</v>
      </c>
      <c r="F29" s="167" t="s">
        <v>733</v>
      </c>
      <c r="G29"/>
      <c r="H29"/>
      <c r="I29"/>
      <c r="J29"/>
      <c r="K29"/>
      <c r="L29"/>
      <c r="M29"/>
      <c r="N29"/>
      <c r="O29"/>
      <c r="P29"/>
      <c r="Q29"/>
      <c r="R29"/>
      <c r="S29"/>
      <c r="T29"/>
    </row>
    <row r="30" spans="1:20">
      <c r="A30" s="351">
        <v>3</v>
      </c>
      <c r="B30" s="351" t="s">
        <v>714</v>
      </c>
      <c r="C30" s="351" t="s">
        <v>172</v>
      </c>
      <c r="D30" s="250" t="s">
        <v>807</v>
      </c>
      <c r="F30" s="353" t="s">
        <v>178</v>
      </c>
      <c r="G30"/>
      <c r="H30"/>
      <c r="I30"/>
      <c r="J30"/>
      <c r="K30"/>
      <c r="L30"/>
      <c r="M30"/>
      <c r="N30"/>
      <c r="O30"/>
      <c r="P30"/>
      <c r="Q30"/>
      <c r="R30"/>
      <c r="S30"/>
      <c r="T30"/>
    </row>
    <row r="31" spans="1:20" ht="29">
      <c r="A31" s="351">
        <v>4</v>
      </c>
      <c r="B31" s="351" t="s">
        <v>715</v>
      </c>
      <c r="C31" s="351" t="s">
        <v>191</v>
      </c>
      <c r="D31" s="250" t="s">
        <v>809</v>
      </c>
      <c r="F31"/>
      <c r="G31"/>
      <c r="H31"/>
      <c r="I31"/>
      <c r="J31"/>
      <c r="K31"/>
      <c r="L31"/>
      <c r="M31"/>
      <c r="N31"/>
      <c r="O31"/>
      <c r="P31"/>
      <c r="Q31"/>
      <c r="R31"/>
      <c r="S31"/>
      <c r="T31"/>
    </row>
    <row r="32" spans="1:20">
      <c r="A32" s="351">
        <v>5</v>
      </c>
      <c r="B32" s="351" t="s">
        <v>716</v>
      </c>
      <c r="C32" s="351" t="s">
        <v>172</v>
      </c>
      <c r="D32" s="250" t="s">
        <v>809</v>
      </c>
      <c r="F32"/>
      <c r="G32"/>
      <c r="H32"/>
      <c r="I32"/>
      <c r="J32"/>
      <c r="K32"/>
      <c r="L32"/>
      <c r="M32"/>
      <c r="N32"/>
      <c r="O32"/>
      <c r="P32"/>
      <c r="Q32"/>
      <c r="R32"/>
      <c r="S32"/>
      <c r="T32"/>
    </row>
    <row r="33" spans="1:20" ht="29">
      <c r="A33" s="351">
        <v>6</v>
      </c>
      <c r="B33" s="351" t="s">
        <v>717</v>
      </c>
      <c r="C33" s="351" t="s">
        <v>193</v>
      </c>
      <c r="D33" s="250" t="s">
        <v>809</v>
      </c>
      <c r="F33"/>
      <c r="G33"/>
      <c r="H33"/>
      <c r="I33"/>
      <c r="J33"/>
      <c r="K33"/>
      <c r="L33"/>
      <c r="M33"/>
      <c r="N33"/>
      <c r="O33"/>
      <c r="P33"/>
      <c r="Q33"/>
      <c r="R33"/>
      <c r="S33"/>
      <c r="T33"/>
    </row>
    <row r="34" spans="1:20">
      <c r="A34" s="351">
        <v>7</v>
      </c>
      <c r="B34" s="351" t="s">
        <v>718</v>
      </c>
      <c r="C34" s="351" t="s">
        <v>191</v>
      </c>
      <c r="D34" s="250" t="s">
        <v>807</v>
      </c>
      <c r="F34"/>
      <c r="G34"/>
      <c r="H34"/>
      <c r="I34"/>
      <c r="J34"/>
      <c r="K34"/>
      <c r="L34"/>
      <c r="M34"/>
      <c r="N34"/>
      <c r="O34"/>
      <c r="P34"/>
      <c r="Q34"/>
      <c r="R34"/>
      <c r="S34"/>
      <c r="T34"/>
    </row>
    <row r="35" spans="1:20">
      <c r="A35" s="351">
        <v>8</v>
      </c>
      <c r="B35" s="351" t="s">
        <v>719</v>
      </c>
      <c r="C35" s="351" t="s">
        <v>160</v>
      </c>
      <c r="D35" s="250" t="s">
        <v>810</v>
      </c>
      <c r="F35"/>
      <c r="G35"/>
      <c r="H35"/>
      <c r="I35"/>
      <c r="J35"/>
      <c r="K35"/>
      <c r="L35"/>
      <c r="M35"/>
      <c r="N35"/>
      <c r="O35"/>
      <c r="P35"/>
      <c r="Q35"/>
      <c r="R35"/>
      <c r="S35"/>
      <c r="T35"/>
    </row>
    <row r="36" spans="1:20">
      <c r="A36" s="351">
        <v>9</v>
      </c>
      <c r="B36" s="351" t="s">
        <v>720</v>
      </c>
      <c r="C36" s="351" t="s">
        <v>188</v>
      </c>
      <c r="D36" s="250" t="s">
        <v>811</v>
      </c>
      <c r="F36"/>
      <c r="G36"/>
      <c r="H36"/>
      <c r="I36"/>
      <c r="J36"/>
      <c r="K36"/>
      <c r="L36"/>
      <c r="M36"/>
      <c r="N36"/>
      <c r="O36"/>
      <c r="P36"/>
      <c r="Q36"/>
      <c r="R36"/>
      <c r="S36"/>
      <c r="T36"/>
    </row>
    <row r="37" spans="1:20">
      <c r="A37" s="351">
        <v>10</v>
      </c>
      <c r="B37" s="351" t="s">
        <v>721</v>
      </c>
      <c r="C37" s="351" t="s">
        <v>160</v>
      </c>
      <c r="D37" s="250" t="s">
        <v>810</v>
      </c>
      <c r="F37"/>
      <c r="G37"/>
      <c r="H37"/>
      <c r="I37"/>
      <c r="J37"/>
      <c r="K37"/>
      <c r="L37"/>
      <c r="M37"/>
      <c r="N37"/>
      <c r="O37"/>
      <c r="P37"/>
      <c r="Q37"/>
      <c r="R37"/>
      <c r="S37"/>
      <c r="T37"/>
    </row>
    <row r="38" spans="1:20">
      <c r="A38" s="351">
        <v>11</v>
      </c>
      <c r="B38" s="351" t="s">
        <v>722</v>
      </c>
      <c r="C38" s="351" t="s">
        <v>193</v>
      </c>
      <c r="D38" s="250" t="s">
        <v>811</v>
      </c>
      <c r="F38"/>
      <c r="G38"/>
      <c r="H38"/>
      <c r="I38"/>
      <c r="J38"/>
      <c r="K38"/>
      <c r="L38"/>
      <c r="M38"/>
      <c r="N38"/>
      <c r="O38"/>
      <c r="P38"/>
      <c r="Q38"/>
      <c r="R38"/>
      <c r="S38"/>
      <c r="T38"/>
    </row>
    <row r="39" spans="1:20">
      <c r="A39" s="351">
        <v>12</v>
      </c>
      <c r="B39" s="351" t="s">
        <v>723</v>
      </c>
      <c r="C39" s="351" t="s">
        <v>188</v>
      </c>
      <c r="D39" s="250" t="s">
        <v>811</v>
      </c>
      <c r="F39"/>
      <c r="G39"/>
      <c r="H39"/>
      <c r="I39"/>
      <c r="J39"/>
      <c r="K39"/>
      <c r="L39"/>
      <c r="M39"/>
      <c r="N39"/>
      <c r="O39"/>
      <c r="P39"/>
      <c r="Q39"/>
      <c r="R39"/>
      <c r="S39"/>
      <c r="T39"/>
    </row>
    <row r="40" spans="1:20" ht="29">
      <c r="A40" s="351">
        <v>13</v>
      </c>
      <c r="B40" s="351" t="s">
        <v>724</v>
      </c>
      <c r="C40" s="351" t="s">
        <v>193</v>
      </c>
      <c r="D40" s="250" t="s">
        <v>809</v>
      </c>
      <c r="F40"/>
      <c r="G40"/>
      <c r="H40"/>
      <c r="I40"/>
      <c r="J40"/>
      <c r="K40"/>
      <c r="L40"/>
      <c r="M40"/>
      <c r="N40"/>
      <c r="O40"/>
      <c r="P40"/>
      <c r="Q40"/>
      <c r="R40"/>
      <c r="S40"/>
      <c r="T40"/>
    </row>
    <row r="41" spans="1:20">
      <c r="A41" s="351">
        <v>14</v>
      </c>
      <c r="B41" s="351" t="s">
        <v>725</v>
      </c>
      <c r="C41" s="351" t="s">
        <v>143</v>
      </c>
      <c r="D41" s="250" t="s">
        <v>812</v>
      </c>
      <c r="F41"/>
      <c r="G41"/>
      <c r="H41"/>
      <c r="I41"/>
      <c r="J41"/>
      <c r="K41"/>
      <c r="L41"/>
      <c r="M41"/>
      <c r="N41"/>
      <c r="O41"/>
      <c r="P41"/>
      <c r="Q41"/>
      <c r="R41"/>
      <c r="S41"/>
      <c r="T41"/>
    </row>
    <row r="42" spans="1:20">
      <c r="A42" s="351">
        <v>15</v>
      </c>
      <c r="B42" s="351" t="s">
        <v>726</v>
      </c>
      <c r="C42" s="351" t="s">
        <v>172</v>
      </c>
      <c r="D42" s="250" t="s">
        <v>807</v>
      </c>
      <c r="F42"/>
      <c r="G42"/>
      <c r="H42"/>
      <c r="I42"/>
      <c r="J42"/>
      <c r="K42"/>
      <c r="L42"/>
      <c r="M42"/>
      <c r="N42"/>
      <c r="O42"/>
      <c r="P42"/>
      <c r="Q42"/>
      <c r="R42"/>
      <c r="S42"/>
      <c r="T42"/>
    </row>
    <row r="43" spans="1:20">
      <c r="A43" s="351">
        <v>16</v>
      </c>
      <c r="B43" s="351" t="s">
        <v>727</v>
      </c>
      <c r="C43" s="351" t="s">
        <v>183</v>
      </c>
      <c r="D43" s="250" t="s">
        <v>813</v>
      </c>
      <c r="F43"/>
      <c r="G43"/>
      <c r="H43"/>
      <c r="I43"/>
      <c r="J43"/>
      <c r="K43"/>
      <c r="L43"/>
      <c r="M43"/>
      <c r="N43"/>
      <c r="O43"/>
      <c r="P43"/>
      <c r="Q43"/>
      <c r="R43"/>
      <c r="S43"/>
      <c r="T43"/>
    </row>
    <row r="44" spans="1:20" ht="29">
      <c r="A44" s="351">
        <v>17</v>
      </c>
      <c r="B44" s="351" t="s">
        <v>728</v>
      </c>
      <c r="C44" s="351" t="s">
        <v>183</v>
      </c>
      <c r="D44" s="250" t="s">
        <v>813</v>
      </c>
      <c r="F44"/>
      <c r="G44"/>
      <c r="H44"/>
      <c r="I44"/>
      <c r="J44"/>
      <c r="K44"/>
      <c r="L44"/>
      <c r="M44"/>
      <c r="N44"/>
      <c r="O44"/>
      <c r="P44"/>
      <c r="Q44"/>
      <c r="R44"/>
      <c r="S44"/>
      <c r="T44"/>
    </row>
    <row r="45" spans="1:20">
      <c r="A45" s="351">
        <v>18</v>
      </c>
      <c r="B45" s="351" t="s">
        <v>729</v>
      </c>
      <c r="C45" s="351" t="s">
        <v>183</v>
      </c>
      <c r="D45" s="250" t="s">
        <v>814</v>
      </c>
      <c r="F45"/>
      <c r="G45"/>
      <c r="H45"/>
      <c r="I45"/>
      <c r="J45"/>
      <c r="K45"/>
      <c r="L45"/>
      <c r="M45"/>
      <c r="N45"/>
      <c r="O45"/>
      <c r="P45"/>
      <c r="Q45"/>
      <c r="R45"/>
      <c r="S45"/>
      <c r="T45"/>
    </row>
    <row r="46" spans="1:20">
      <c r="A46" s="351">
        <v>19</v>
      </c>
      <c r="B46" s="351" t="s">
        <v>730</v>
      </c>
      <c r="C46" s="351" t="s">
        <v>172</v>
      </c>
      <c r="D46" s="250" t="s">
        <v>813</v>
      </c>
      <c r="F46"/>
      <c r="G46"/>
      <c r="H46"/>
      <c r="I46"/>
      <c r="J46"/>
      <c r="K46"/>
      <c r="L46"/>
      <c r="M46"/>
      <c r="N46"/>
      <c r="O46"/>
      <c r="P46"/>
      <c r="Q46"/>
      <c r="R46"/>
      <c r="S46"/>
      <c r="T46"/>
    </row>
    <row r="47" spans="1:20" ht="29">
      <c r="A47" s="351">
        <v>20</v>
      </c>
      <c r="B47" s="351" t="s">
        <v>731</v>
      </c>
      <c r="C47" s="351" t="s">
        <v>193</v>
      </c>
      <c r="D47" s="250" t="s">
        <v>819</v>
      </c>
      <c r="F47"/>
      <c r="G47"/>
      <c r="H47"/>
      <c r="I47"/>
      <c r="J47"/>
      <c r="K47"/>
      <c r="L47"/>
      <c r="M47"/>
      <c r="N47"/>
      <c r="O47"/>
      <c r="P47"/>
      <c r="Q47"/>
      <c r="R47"/>
      <c r="S47"/>
      <c r="T47"/>
    </row>
    <row r="48" spans="1:20">
      <c r="A48" s="351">
        <v>21</v>
      </c>
      <c r="B48" s="351" t="s">
        <v>732</v>
      </c>
      <c r="C48" s="351" t="s">
        <v>172</v>
      </c>
      <c r="D48" s="348" t="s">
        <v>815</v>
      </c>
      <c r="F48"/>
      <c r="G48"/>
      <c r="H48"/>
      <c r="I48"/>
      <c r="J48"/>
      <c r="K48"/>
      <c r="L48"/>
      <c r="M48"/>
      <c r="N48"/>
      <c r="O48"/>
      <c r="P48"/>
      <c r="Q48"/>
      <c r="R48"/>
      <c r="S48"/>
      <c r="T48"/>
    </row>
    <row r="49" spans="1:20">
      <c r="A49" s="351">
        <v>22</v>
      </c>
      <c r="B49" s="351" t="s">
        <v>733</v>
      </c>
      <c r="C49" s="351" t="s">
        <v>178</v>
      </c>
      <c r="D49" s="348" t="s">
        <v>816</v>
      </c>
      <c r="F49"/>
      <c r="G49"/>
      <c r="H49"/>
      <c r="I49"/>
      <c r="J49"/>
      <c r="K49"/>
      <c r="L49"/>
      <c r="M49"/>
      <c r="N49"/>
      <c r="O49"/>
      <c r="P49"/>
      <c r="Q49"/>
      <c r="R49"/>
      <c r="S49"/>
      <c r="T49"/>
    </row>
    <row r="50" spans="1:20">
      <c r="A50" s="351">
        <v>23</v>
      </c>
      <c r="B50" s="351" t="s">
        <v>734</v>
      </c>
      <c r="C50" s="351" t="s">
        <v>172</v>
      </c>
      <c r="D50" s="250" t="s">
        <v>813</v>
      </c>
      <c r="F50"/>
      <c r="G50"/>
      <c r="H50"/>
      <c r="I50"/>
      <c r="J50"/>
      <c r="K50"/>
      <c r="L50"/>
      <c r="M50"/>
      <c r="N50"/>
      <c r="O50"/>
      <c r="P50"/>
      <c r="Q50"/>
      <c r="R50"/>
      <c r="S50"/>
      <c r="T50"/>
    </row>
    <row r="51" spans="1:20">
      <c r="A51" s="351">
        <v>24</v>
      </c>
      <c r="B51" s="351" t="s">
        <v>735</v>
      </c>
      <c r="C51" s="351" t="s">
        <v>188</v>
      </c>
      <c r="D51" s="250" t="s">
        <v>813</v>
      </c>
      <c r="F51"/>
      <c r="G51"/>
      <c r="H51"/>
      <c r="I51"/>
      <c r="J51"/>
      <c r="K51"/>
      <c r="L51"/>
      <c r="M51"/>
      <c r="N51"/>
      <c r="O51"/>
      <c r="P51"/>
      <c r="Q51"/>
      <c r="R51"/>
      <c r="S51"/>
      <c r="T51"/>
    </row>
    <row r="52" spans="1:20">
      <c r="A52" s="351">
        <v>25</v>
      </c>
      <c r="B52" s="351" t="s">
        <v>736</v>
      </c>
      <c r="C52" s="351" t="s">
        <v>172</v>
      </c>
      <c r="D52" s="250" t="s">
        <v>815</v>
      </c>
      <c r="F52"/>
      <c r="G52"/>
      <c r="H52"/>
      <c r="I52"/>
      <c r="J52"/>
      <c r="K52"/>
      <c r="L52"/>
      <c r="M52"/>
      <c r="N52"/>
      <c r="O52"/>
      <c r="P52"/>
      <c r="Q52"/>
      <c r="R52"/>
      <c r="S52"/>
      <c r="T52"/>
    </row>
    <row r="53" spans="1:20">
      <c r="A53" s="351">
        <v>26</v>
      </c>
      <c r="B53" s="351" t="s">
        <v>737</v>
      </c>
      <c r="C53" s="351" t="s">
        <v>191</v>
      </c>
      <c r="D53" s="250" t="s">
        <v>807</v>
      </c>
      <c r="F53"/>
      <c r="G53"/>
      <c r="H53"/>
      <c r="I53"/>
      <c r="J53"/>
      <c r="K53"/>
      <c r="L53"/>
      <c r="M53"/>
      <c r="N53"/>
      <c r="O53"/>
      <c r="P53"/>
      <c r="Q53"/>
      <c r="R53"/>
      <c r="S53"/>
      <c r="T53"/>
    </row>
    <row r="54" spans="1:20">
      <c r="A54" s="351">
        <v>27</v>
      </c>
      <c r="B54" s="351" t="s">
        <v>738</v>
      </c>
      <c r="C54" s="351" t="s">
        <v>143</v>
      </c>
      <c r="D54" s="250" t="s">
        <v>812</v>
      </c>
      <c r="F54"/>
      <c r="G54"/>
      <c r="H54"/>
      <c r="I54"/>
      <c r="J54"/>
      <c r="K54"/>
      <c r="L54"/>
      <c r="M54"/>
      <c r="N54"/>
      <c r="O54"/>
      <c r="P54"/>
      <c r="Q54"/>
      <c r="R54"/>
      <c r="S54"/>
      <c r="T54"/>
    </row>
    <row r="55" spans="1:20">
      <c r="A55" s="351">
        <v>28</v>
      </c>
      <c r="B55" s="351" t="s">
        <v>739</v>
      </c>
      <c r="C55" s="351" t="s">
        <v>143</v>
      </c>
      <c r="D55" s="250" t="s">
        <v>814</v>
      </c>
      <c r="F55"/>
      <c r="G55"/>
      <c r="H55"/>
      <c r="I55"/>
      <c r="J55"/>
      <c r="K55"/>
      <c r="L55"/>
      <c r="M55"/>
      <c r="N55"/>
      <c r="O55"/>
      <c r="P55"/>
      <c r="Q55"/>
      <c r="R55"/>
      <c r="S55"/>
      <c r="T55"/>
    </row>
    <row r="56" spans="1:20">
      <c r="A56" s="351">
        <v>29</v>
      </c>
      <c r="B56" s="351" t="s">
        <v>740</v>
      </c>
      <c r="C56" s="351" t="s">
        <v>178</v>
      </c>
      <c r="D56" s="250" t="s">
        <v>816</v>
      </c>
      <c r="F56"/>
      <c r="G56"/>
      <c r="H56"/>
      <c r="I56"/>
      <c r="J56"/>
      <c r="K56"/>
      <c r="L56"/>
      <c r="M56"/>
      <c r="N56"/>
      <c r="O56"/>
      <c r="P56"/>
      <c r="Q56"/>
      <c r="R56"/>
      <c r="S56"/>
      <c r="T56"/>
    </row>
    <row r="57" spans="1:20">
      <c r="A57" s="351">
        <v>30</v>
      </c>
      <c r="B57" s="351" t="s">
        <v>741</v>
      </c>
      <c r="C57" s="351" t="s">
        <v>193</v>
      </c>
      <c r="D57" s="250" t="s">
        <v>811</v>
      </c>
      <c r="F57"/>
      <c r="G57"/>
      <c r="H57"/>
      <c r="I57"/>
      <c r="J57"/>
      <c r="K57"/>
      <c r="L57"/>
      <c r="M57"/>
      <c r="N57"/>
      <c r="O57"/>
      <c r="P57"/>
      <c r="Q57"/>
      <c r="R57"/>
      <c r="S57"/>
      <c r="T57"/>
    </row>
    <row r="58" spans="1:20">
      <c r="A58" s="351">
        <v>31</v>
      </c>
      <c r="B58" s="351" t="s">
        <v>742</v>
      </c>
      <c r="C58" s="351" t="s">
        <v>188</v>
      </c>
      <c r="D58" s="250" t="s">
        <v>811</v>
      </c>
      <c r="F58"/>
      <c r="G58"/>
      <c r="H58"/>
      <c r="I58"/>
      <c r="J58"/>
      <c r="K58"/>
      <c r="L58"/>
      <c r="M58"/>
      <c r="N58"/>
      <c r="O58"/>
      <c r="P58"/>
      <c r="Q58"/>
      <c r="R58"/>
      <c r="S58"/>
      <c r="T58"/>
    </row>
    <row r="59" spans="1:20">
      <c r="A59" s="351">
        <v>32</v>
      </c>
      <c r="B59" s="351" t="s">
        <v>743</v>
      </c>
      <c r="C59" s="351" t="s">
        <v>188</v>
      </c>
      <c r="D59" s="250" t="s">
        <v>811</v>
      </c>
      <c r="F59"/>
      <c r="G59"/>
      <c r="H59"/>
      <c r="I59"/>
      <c r="J59"/>
      <c r="K59"/>
      <c r="L59"/>
      <c r="M59"/>
      <c r="N59"/>
      <c r="O59"/>
      <c r="P59"/>
      <c r="Q59"/>
      <c r="R59"/>
      <c r="S59"/>
      <c r="T59"/>
    </row>
    <row r="60" spans="1:20">
      <c r="A60" s="351">
        <v>33</v>
      </c>
      <c r="B60" s="351" t="s">
        <v>744</v>
      </c>
      <c r="C60" s="351" t="s">
        <v>188</v>
      </c>
      <c r="D60" s="250" t="s">
        <v>813</v>
      </c>
      <c r="F60"/>
      <c r="G60"/>
      <c r="H60"/>
      <c r="I60"/>
      <c r="J60"/>
      <c r="K60"/>
      <c r="L60"/>
      <c r="M60"/>
      <c r="N60"/>
      <c r="O60"/>
      <c r="P60"/>
      <c r="Q60"/>
      <c r="R60"/>
      <c r="S60"/>
      <c r="T60"/>
    </row>
    <row r="61" spans="1:20">
      <c r="A61" s="351">
        <v>34</v>
      </c>
      <c r="B61" s="351" t="s">
        <v>745</v>
      </c>
      <c r="C61" s="351" t="s">
        <v>193</v>
      </c>
      <c r="D61" s="250" t="s">
        <v>811</v>
      </c>
      <c r="F61"/>
      <c r="G61"/>
      <c r="H61"/>
      <c r="I61"/>
      <c r="J61"/>
      <c r="K61"/>
      <c r="L61"/>
      <c r="M61"/>
      <c r="N61"/>
      <c r="O61"/>
      <c r="P61"/>
      <c r="Q61"/>
      <c r="R61"/>
      <c r="S61"/>
      <c r="T61"/>
    </row>
    <row r="62" spans="1:20">
      <c r="A62" s="351">
        <v>35</v>
      </c>
      <c r="B62" s="351" t="s">
        <v>746</v>
      </c>
      <c r="C62" s="351" t="s">
        <v>178</v>
      </c>
      <c r="D62" s="250" t="s">
        <v>816</v>
      </c>
      <c r="F62"/>
      <c r="G62"/>
      <c r="H62"/>
      <c r="I62"/>
      <c r="J62"/>
      <c r="K62"/>
      <c r="L62"/>
      <c r="M62"/>
      <c r="N62"/>
      <c r="O62"/>
      <c r="P62"/>
      <c r="Q62"/>
      <c r="R62"/>
      <c r="S62"/>
      <c r="T62"/>
    </row>
    <row r="63" spans="1:20">
      <c r="A63" s="351">
        <v>36</v>
      </c>
      <c r="B63" s="351" t="s">
        <v>747</v>
      </c>
      <c r="C63" s="351" t="s">
        <v>183</v>
      </c>
      <c r="D63" s="250" t="s">
        <v>814</v>
      </c>
      <c r="F63"/>
      <c r="G63"/>
      <c r="H63"/>
      <c r="I63"/>
      <c r="J63"/>
      <c r="K63"/>
      <c r="L63"/>
      <c r="M63"/>
      <c r="N63"/>
      <c r="O63"/>
      <c r="P63"/>
      <c r="Q63"/>
      <c r="R63"/>
      <c r="S63"/>
      <c r="T63"/>
    </row>
    <row r="64" spans="1:20">
      <c r="A64" s="351">
        <v>37</v>
      </c>
      <c r="B64" s="351" t="s">
        <v>748</v>
      </c>
      <c r="C64" s="351" t="s">
        <v>183</v>
      </c>
      <c r="D64" s="250" t="s">
        <v>814</v>
      </c>
      <c r="F64"/>
      <c r="G64"/>
      <c r="H64"/>
      <c r="I64"/>
      <c r="J64"/>
      <c r="K64"/>
      <c r="L64"/>
      <c r="M64"/>
      <c r="N64"/>
      <c r="O64"/>
      <c r="P64"/>
      <c r="Q64"/>
      <c r="R64"/>
      <c r="S64"/>
      <c r="T64"/>
    </row>
    <row r="65" spans="1:20">
      <c r="A65" s="351">
        <v>38</v>
      </c>
      <c r="B65" s="351" t="s">
        <v>749</v>
      </c>
      <c r="C65" s="351" t="s">
        <v>172</v>
      </c>
      <c r="D65" s="250" t="s">
        <v>807</v>
      </c>
      <c r="F65"/>
      <c r="G65"/>
      <c r="H65"/>
      <c r="I65"/>
      <c r="J65"/>
      <c r="K65"/>
      <c r="L65"/>
      <c r="M65"/>
      <c r="N65"/>
      <c r="O65"/>
      <c r="P65"/>
      <c r="Q65"/>
      <c r="R65"/>
      <c r="S65"/>
      <c r="T65"/>
    </row>
    <row r="66" spans="1:20">
      <c r="A66" s="351">
        <v>39</v>
      </c>
      <c r="B66" s="351" t="s">
        <v>750</v>
      </c>
      <c r="C66" s="351" t="s">
        <v>172</v>
      </c>
      <c r="D66" s="250" t="s">
        <v>815</v>
      </c>
      <c r="F66"/>
      <c r="G66"/>
      <c r="H66"/>
      <c r="I66"/>
      <c r="J66"/>
      <c r="K66"/>
      <c r="L66"/>
      <c r="M66"/>
      <c r="N66"/>
      <c r="O66"/>
      <c r="P66"/>
      <c r="Q66"/>
      <c r="R66"/>
      <c r="S66"/>
      <c r="T66"/>
    </row>
    <row r="67" spans="1:20">
      <c r="A67" s="351">
        <v>40</v>
      </c>
      <c r="B67" s="351" t="s">
        <v>751</v>
      </c>
      <c r="C67" s="351" t="s">
        <v>188</v>
      </c>
      <c r="D67" s="250" t="s">
        <v>813</v>
      </c>
      <c r="F67"/>
      <c r="G67"/>
      <c r="H67"/>
      <c r="I67"/>
      <c r="J67"/>
      <c r="K67"/>
      <c r="L67"/>
      <c r="M67"/>
      <c r="N67"/>
      <c r="O67"/>
      <c r="P67"/>
      <c r="Q67"/>
      <c r="R67"/>
      <c r="S67"/>
      <c r="T67"/>
    </row>
    <row r="68" spans="1:20">
      <c r="A68" s="351">
        <v>41</v>
      </c>
      <c r="B68" s="351" t="s">
        <v>752</v>
      </c>
      <c r="C68" s="351" t="s">
        <v>183</v>
      </c>
      <c r="D68" s="250" t="s">
        <v>814</v>
      </c>
      <c r="F68"/>
      <c r="G68"/>
      <c r="H68"/>
      <c r="I68"/>
      <c r="J68"/>
      <c r="K68"/>
      <c r="L68"/>
      <c r="M68"/>
      <c r="N68"/>
      <c r="O68"/>
      <c r="P68"/>
      <c r="Q68"/>
      <c r="R68"/>
      <c r="S68"/>
      <c r="T68"/>
    </row>
    <row r="69" spans="1:20">
      <c r="A69" s="351">
        <v>42</v>
      </c>
      <c r="B69" s="351" t="s">
        <v>753</v>
      </c>
      <c r="C69" s="351" t="s">
        <v>172</v>
      </c>
      <c r="D69" s="250" t="s">
        <v>807</v>
      </c>
      <c r="F69"/>
      <c r="G69"/>
      <c r="H69"/>
      <c r="I69"/>
      <c r="J69"/>
      <c r="K69"/>
      <c r="L69"/>
      <c r="M69"/>
      <c r="N69"/>
      <c r="O69"/>
      <c r="P69"/>
      <c r="Q69"/>
      <c r="R69"/>
      <c r="S69"/>
      <c r="T69"/>
    </row>
    <row r="70" spans="1:20">
      <c r="A70" s="351">
        <v>43</v>
      </c>
      <c r="B70" s="351" t="s">
        <v>754</v>
      </c>
      <c r="C70" s="351" t="s">
        <v>172</v>
      </c>
      <c r="D70" s="250" t="s">
        <v>807</v>
      </c>
      <c r="F70"/>
      <c r="G70"/>
      <c r="H70"/>
      <c r="I70"/>
      <c r="J70"/>
      <c r="K70"/>
      <c r="L70"/>
      <c r="M70"/>
      <c r="N70"/>
      <c r="O70"/>
      <c r="P70"/>
      <c r="Q70"/>
      <c r="R70"/>
      <c r="S70"/>
      <c r="T70"/>
    </row>
    <row r="71" spans="1:20" ht="29">
      <c r="A71" s="351">
        <v>44</v>
      </c>
      <c r="B71" s="351" t="s">
        <v>755</v>
      </c>
      <c r="C71" s="351" t="s">
        <v>183</v>
      </c>
      <c r="D71" s="250" t="s">
        <v>817</v>
      </c>
      <c r="F71"/>
      <c r="G71"/>
      <c r="H71"/>
      <c r="I71"/>
      <c r="J71"/>
      <c r="K71"/>
      <c r="L71"/>
      <c r="M71"/>
      <c r="N71"/>
      <c r="O71"/>
      <c r="P71"/>
      <c r="Q71"/>
      <c r="R71"/>
      <c r="S71"/>
      <c r="T71"/>
    </row>
    <row r="72" spans="1:20">
      <c r="A72" s="351">
        <v>45</v>
      </c>
      <c r="B72" s="351" t="s">
        <v>756</v>
      </c>
      <c r="C72" s="351" t="s">
        <v>160</v>
      </c>
      <c r="D72" s="250" t="s">
        <v>814</v>
      </c>
      <c r="F72"/>
      <c r="G72"/>
      <c r="H72"/>
      <c r="I72"/>
      <c r="J72"/>
      <c r="K72"/>
      <c r="L72"/>
      <c r="M72"/>
      <c r="N72"/>
      <c r="O72"/>
      <c r="P72"/>
      <c r="Q72"/>
      <c r="R72"/>
      <c r="S72"/>
      <c r="T72"/>
    </row>
    <row r="73" spans="1:20">
      <c r="A73" s="351">
        <v>46</v>
      </c>
      <c r="B73" s="351" t="s">
        <v>757</v>
      </c>
      <c r="C73" s="351" t="s">
        <v>188</v>
      </c>
      <c r="D73" s="250" t="s">
        <v>811</v>
      </c>
      <c r="F73"/>
      <c r="G73"/>
      <c r="H73"/>
      <c r="I73"/>
      <c r="J73"/>
      <c r="K73"/>
      <c r="L73"/>
      <c r="M73"/>
      <c r="N73"/>
      <c r="O73"/>
      <c r="P73"/>
      <c r="Q73"/>
      <c r="R73"/>
      <c r="S73"/>
      <c r="T73"/>
    </row>
    <row r="74" spans="1:20">
      <c r="A74" s="351">
        <v>47</v>
      </c>
      <c r="B74" s="351" t="s">
        <v>758</v>
      </c>
      <c r="C74" s="351" t="s">
        <v>188</v>
      </c>
      <c r="D74" s="250" t="s">
        <v>813</v>
      </c>
      <c r="F74"/>
      <c r="G74"/>
      <c r="H74"/>
      <c r="I74"/>
      <c r="J74"/>
      <c r="K74"/>
      <c r="L74"/>
      <c r="M74"/>
      <c r="N74"/>
      <c r="O74"/>
      <c r="P74"/>
      <c r="Q74"/>
      <c r="R74"/>
      <c r="S74"/>
      <c r="T74"/>
    </row>
    <row r="75" spans="1:20">
      <c r="A75" s="351">
        <v>48</v>
      </c>
      <c r="B75" s="351" t="s">
        <v>759</v>
      </c>
      <c r="C75" s="351" t="s">
        <v>191</v>
      </c>
      <c r="D75" s="250" t="s">
        <v>811</v>
      </c>
      <c r="F75"/>
      <c r="G75"/>
      <c r="H75"/>
      <c r="I75"/>
      <c r="J75"/>
      <c r="K75"/>
      <c r="L75"/>
      <c r="M75"/>
      <c r="N75"/>
      <c r="O75"/>
      <c r="P75"/>
      <c r="Q75"/>
      <c r="R75"/>
      <c r="S75"/>
      <c r="T75"/>
    </row>
    <row r="76" spans="1:20">
      <c r="A76" s="351">
        <v>49</v>
      </c>
      <c r="B76" s="351" t="s">
        <v>760</v>
      </c>
      <c r="C76" s="351" t="s">
        <v>183</v>
      </c>
      <c r="D76" s="250" t="s">
        <v>817</v>
      </c>
      <c r="F76"/>
      <c r="G76"/>
      <c r="H76"/>
      <c r="I76"/>
      <c r="J76"/>
      <c r="K76"/>
      <c r="L76"/>
      <c r="M76"/>
      <c r="N76"/>
      <c r="O76"/>
      <c r="P76"/>
      <c r="Q76"/>
      <c r="R76"/>
      <c r="S76"/>
      <c r="T76"/>
    </row>
    <row r="77" spans="1:20">
      <c r="A77" s="351">
        <v>50</v>
      </c>
      <c r="B77" s="351" t="s">
        <v>761</v>
      </c>
      <c r="C77" s="351" t="s">
        <v>178</v>
      </c>
      <c r="D77" s="250" t="s">
        <v>812</v>
      </c>
      <c r="F77"/>
      <c r="G77"/>
      <c r="H77"/>
      <c r="I77"/>
      <c r="J77"/>
      <c r="K77"/>
      <c r="L77"/>
      <c r="M77"/>
      <c r="N77"/>
      <c r="O77"/>
      <c r="P77"/>
      <c r="Q77"/>
      <c r="R77"/>
      <c r="S77"/>
      <c r="T77"/>
    </row>
    <row r="78" spans="1:20">
      <c r="A78" s="351">
        <v>51</v>
      </c>
      <c r="B78" s="351" t="s">
        <v>762</v>
      </c>
      <c r="C78" s="351" t="s">
        <v>160</v>
      </c>
      <c r="D78" s="250" t="s">
        <v>810</v>
      </c>
      <c r="F78"/>
      <c r="G78"/>
      <c r="H78"/>
      <c r="I78"/>
      <c r="J78"/>
      <c r="K78"/>
      <c r="L78"/>
      <c r="M78"/>
      <c r="N78"/>
      <c r="O78"/>
      <c r="P78"/>
      <c r="Q78"/>
      <c r="R78"/>
      <c r="S78"/>
      <c r="T78"/>
    </row>
    <row r="79" spans="1:20">
      <c r="A79" s="351">
        <v>52</v>
      </c>
      <c r="B79" s="351" t="s">
        <v>763</v>
      </c>
      <c r="C79" s="351" t="s">
        <v>160</v>
      </c>
      <c r="D79" s="250" t="s">
        <v>810</v>
      </c>
      <c r="F79"/>
      <c r="G79"/>
      <c r="H79"/>
      <c r="I79"/>
      <c r="J79"/>
      <c r="K79"/>
      <c r="L79"/>
      <c r="M79"/>
      <c r="N79"/>
      <c r="O79"/>
      <c r="P79"/>
      <c r="Q79"/>
      <c r="R79"/>
      <c r="S79"/>
      <c r="T79"/>
    </row>
    <row r="80" spans="1:20">
      <c r="A80" s="351">
        <v>53</v>
      </c>
      <c r="B80" s="351" t="s">
        <v>764</v>
      </c>
      <c r="C80" s="351" t="s">
        <v>183</v>
      </c>
      <c r="D80" s="250" t="s">
        <v>817</v>
      </c>
      <c r="F80"/>
      <c r="G80"/>
      <c r="H80"/>
      <c r="I80"/>
      <c r="J80"/>
      <c r="K80"/>
      <c r="L80"/>
      <c r="M80"/>
      <c r="N80"/>
      <c r="O80"/>
      <c r="P80"/>
      <c r="Q80"/>
      <c r="R80"/>
      <c r="S80"/>
      <c r="T80"/>
    </row>
    <row r="81" spans="1:20" ht="29">
      <c r="A81" s="351">
        <v>54</v>
      </c>
      <c r="B81" s="351" t="s">
        <v>765</v>
      </c>
      <c r="C81" s="351" t="s">
        <v>160</v>
      </c>
      <c r="D81" s="250" t="s">
        <v>810</v>
      </c>
      <c r="F81"/>
      <c r="G81"/>
      <c r="H81"/>
      <c r="I81"/>
      <c r="J81"/>
      <c r="K81"/>
      <c r="L81"/>
      <c r="M81"/>
      <c r="N81"/>
      <c r="O81"/>
      <c r="P81"/>
      <c r="Q81"/>
      <c r="R81"/>
      <c r="S81"/>
      <c r="T81"/>
    </row>
    <row r="82" spans="1:20">
      <c r="A82" s="351">
        <v>55</v>
      </c>
      <c r="B82" s="351" t="s">
        <v>766</v>
      </c>
      <c r="C82" s="351" t="s">
        <v>160</v>
      </c>
      <c r="D82" s="250" t="s">
        <v>810</v>
      </c>
      <c r="F82"/>
      <c r="G82"/>
      <c r="H82"/>
      <c r="I82"/>
      <c r="J82"/>
      <c r="K82"/>
      <c r="L82"/>
      <c r="M82"/>
      <c r="N82"/>
      <c r="O82"/>
      <c r="P82"/>
      <c r="Q82"/>
      <c r="R82"/>
      <c r="S82"/>
      <c r="T82"/>
    </row>
    <row r="83" spans="1:20">
      <c r="A83" s="351">
        <v>56</v>
      </c>
      <c r="B83" s="351" t="s">
        <v>767</v>
      </c>
      <c r="C83" s="351" t="s">
        <v>178</v>
      </c>
      <c r="D83" s="250" t="s">
        <v>816</v>
      </c>
      <c r="F83"/>
      <c r="G83"/>
      <c r="H83"/>
      <c r="I83"/>
      <c r="J83"/>
      <c r="K83"/>
      <c r="L83"/>
      <c r="M83"/>
      <c r="N83"/>
      <c r="O83"/>
      <c r="P83"/>
      <c r="Q83"/>
      <c r="R83"/>
      <c r="S83"/>
      <c r="T83"/>
    </row>
    <row r="84" spans="1:20">
      <c r="A84" s="351">
        <v>57</v>
      </c>
      <c r="B84" s="351" t="s">
        <v>768</v>
      </c>
      <c r="C84" s="351" t="s">
        <v>160</v>
      </c>
      <c r="D84" s="250" t="s">
        <v>810</v>
      </c>
      <c r="F84"/>
      <c r="G84"/>
      <c r="H84"/>
      <c r="I84"/>
      <c r="J84"/>
      <c r="K84"/>
      <c r="L84"/>
      <c r="M84"/>
      <c r="N84"/>
      <c r="O84"/>
      <c r="P84"/>
      <c r="Q84"/>
      <c r="R84"/>
      <c r="S84"/>
      <c r="T84"/>
    </row>
    <row r="85" spans="1:20">
      <c r="A85" s="351">
        <v>58</v>
      </c>
      <c r="B85" s="351" t="s">
        <v>769</v>
      </c>
      <c r="C85" s="351" t="s">
        <v>160</v>
      </c>
      <c r="D85" s="250" t="s">
        <v>815</v>
      </c>
      <c r="F85"/>
      <c r="G85"/>
      <c r="H85"/>
      <c r="I85"/>
      <c r="J85"/>
      <c r="K85"/>
      <c r="L85"/>
      <c r="M85"/>
      <c r="N85"/>
      <c r="O85"/>
      <c r="P85"/>
      <c r="Q85"/>
      <c r="R85"/>
      <c r="S85"/>
      <c r="T85"/>
    </row>
    <row r="86" spans="1:20">
      <c r="A86" s="351">
        <v>59</v>
      </c>
      <c r="B86" s="351" t="s">
        <v>770</v>
      </c>
      <c r="C86" s="351" t="s">
        <v>143</v>
      </c>
      <c r="D86" s="250" t="s">
        <v>808</v>
      </c>
      <c r="F86"/>
      <c r="G86"/>
      <c r="H86"/>
      <c r="I86"/>
      <c r="J86"/>
      <c r="K86"/>
      <c r="L86"/>
      <c r="M86"/>
      <c r="N86"/>
      <c r="O86"/>
      <c r="P86"/>
      <c r="Q86"/>
      <c r="R86"/>
      <c r="S86"/>
      <c r="T86"/>
    </row>
    <row r="87" spans="1:20">
      <c r="A87" s="351">
        <v>60</v>
      </c>
      <c r="B87" s="351" t="s">
        <v>771</v>
      </c>
      <c r="C87" s="351" t="s">
        <v>143</v>
      </c>
      <c r="D87" s="250" t="s">
        <v>808</v>
      </c>
      <c r="F87"/>
      <c r="G87"/>
      <c r="H87"/>
      <c r="I87"/>
      <c r="J87"/>
      <c r="K87"/>
      <c r="L87"/>
      <c r="M87"/>
      <c r="N87"/>
      <c r="O87"/>
      <c r="P87"/>
      <c r="Q87"/>
      <c r="R87"/>
      <c r="S87"/>
      <c r="T87"/>
    </row>
    <row r="88" spans="1:20">
      <c r="A88" s="351">
        <v>61</v>
      </c>
      <c r="B88" s="351" t="s">
        <v>772</v>
      </c>
      <c r="C88" s="351" t="s">
        <v>143</v>
      </c>
      <c r="D88" s="250" t="s">
        <v>812</v>
      </c>
      <c r="F88"/>
      <c r="G88"/>
      <c r="H88"/>
      <c r="I88"/>
      <c r="J88"/>
      <c r="K88"/>
      <c r="L88"/>
      <c r="M88"/>
      <c r="N88"/>
      <c r="O88"/>
      <c r="P88"/>
      <c r="Q88"/>
      <c r="R88"/>
      <c r="S88"/>
      <c r="T88"/>
    </row>
    <row r="89" spans="1:20">
      <c r="A89" s="351">
        <v>62</v>
      </c>
      <c r="B89" s="351" t="s">
        <v>773</v>
      </c>
      <c r="C89" s="351" t="s">
        <v>143</v>
      </c>
      <c r="D89" s="250" t="s">
        <v>808</v>
      </c>
      <c r="F89"/>
      <c r="G89"/>
      <c r="H89"/>
      <c r="I89"/>
      <c r="J89"/>
      <c r="K89"/>
      <c r="L89"/>
      <c r="M89"/>
      <c r="N89"/>
      <c r="O89"/>
      <c r="P89"/>
      <c r="Q89"/>
      <c r="R89"/>
      <c r="S89"/>
      <c r="T89"/>
    </row>
    <row r="90" spans="1:20">
      <c r="A90" s="351">
        <v>63</v>
      </c>
      <c r="B90" s="351" t="s">
        <v>774</v>
      </c>
      <c r="C90" s="351" t="s">
        <v>172</v>
      </c>
      <c r="D90" s="250" t="s">
        <v>807</v>
      </c>
      <c r="F90"/>
      <c r="G90"/>
      <c r="H90"/>
      <c r="I90"/>
      <c r="J90"/>
      <c r="K90"/>
      <c r="L90"/>
      <c r="M90"/>
      <c r="N90"/>
      <c r="O90"/>
      <c r="P90"/>
      <c r="Q90"/>
      <c r="R90"/>
      <c r="S90"/>
      <c r="T90"/>
    </row>
    <row r="91" spans="1:20" ht="29">
      <c r="A91" s="351">
        <v>64</v>
      </c>
      <c r="B91" s="351" t="s">
        <v>775</v>
      </c>
      <c r="C91" s="351" t="s">
        <v>188</v>
      </c>
      <c r="D91" s="250" t="s">
        <v>813</v>
      </c>
      <c r="F91"/>
      <c r="G91"/>
      <c r="H91"/>
      <c r="I91"/>
      <c r="J91"/>
      <c r="K91"/>
      <c r="L91"/>
      <c r="M91"/>
      <c r="N91"/>
      <c r="O91"/>
      <c r="P91"/>
      <c r="Q91"/>
      <c r="R91"/>
      <c r="S91"/>
      <c r="T91"/>
    </row>
    <row r="92" spans="1:20" ht="29">
      <c r="A92" s="351">
        <v>65</v>
      </c>
      <c r="B92" s="351" t="s">
        <v>776</v>
      </c>
      <c r="C92" s="351" t="s">
        <v>188</v>
      </c>
      <c r="D92" s="250" t="s">
        <v>811</v>
      </c>
      <c r="F92"/>
      <c r="G92"/>
      <c r="H92"/>
      <c r="I92"/>
      <c r="J92"/>
      <c r="K92"/>
      <c r="L92"/>
      <c r="M92"/>
      <c r="N92"/>
      <c r="O92"/>
      <c r="P92"/>
      <c r="Q92"/>
      <c r="R92"/>
      <c r="S92"/>
      <c r="T92"/>
    </row>
    <row r="93" spans="1:20" ht="29">
      <c r="A93" s="351">
        <v>66</v>
      </c>
      <c r="B93" s="351" t="s">
        <v>777</v>
      </c>
      <c r="C93" s="351" t="s">
        <v>193</v>
      </c>
      <c r="D93" s="250" t="s">
        <v>811</v>
      </c>
      <c r="F93"/>
      <c r="G93"/>
      <c r="H93"/>
      <c r="I93"/>
      <c r="J93"/>
      <c r="K93"/>
      <c r="L93"/>
      <c r="M93"/>
      <c r="N93"/>
      <c r="O93"/>
      <c r="P93"/>
      <c r="Q93"/>
      <c r="R93"/>
      <c r="S93"/>
      <c r="T93"/>
    </row>
    <row r="94" spans="1:20">
      <c r="A94" s="351">
        <v>67</v>
      </c>
      <c r="B94" s="351" t="s">
        <v>778</v>
      </c>
      <c r="C94" s="351" t="s">
        <v>160</v>
      </c>
      <c r="D94" s="250" t="s">
        <v>810</v>
      </c>
      <c r="F94"/>
      <c r="G94"/>
      <c r="H94"/>
      <c r="I94"/>
      <c r="J94"/>
      <c r="K94"/>
      <c r="L94"/>
      <c r="M94"/>
      <c r="N94"/>
      <c r="O94"/>
      <c r="P94"/>
      <c r="Q94"/>
      <c r="R94"/>
      <c r="S94"/>
      <c r="T94"/>
    </row>
    <row r="95" spans="1:20">
      <c r="A95" s="351">
        <v>68</v>
      </c>
      <c r="B95" s="351" t="s">
        <v>779</v>
      </c>
      <c r="C95" s="351" t="s">
        <v>160</v>
      </c>
      <c r="D95" s="250" t="s">
        <v>810</v>
      </c>
      <c r="F95"/>
      <c r="G95"/>
      <c r="H95"/>
      <c r="I95"/>
      <c r="J95"/>
      <c r="K95"/>
      <c r="L95"/>
      <c r="M95"/>
      <c r="N95"/>
      <c r="O95"/>
      <c r="P95"/>
      <c r="Q95"/>
      <c r="R95"/>
      <c r="S95"/>
      <c r="T95"/>
    </row>
    <row r="96" spans="1:20">
      <c r="A96" s="351">
        <v>69</v>
      </c>
      <c r="B96" s="351" t="s">
        <v>780</v>
      </c>
      <c r="C96" s="351" t="s">
        <v>172</v>
      </c>
      <c r="D96" s="250" t="s">
        <v>807</v>
      </c>
      <c r="F96"/>
      <c r="G96"/>
      <c r="H96"/>
      <c r="I96"/>
      <c r="J96"/>
      <c r="K96"/>
      <c r="L96"/>
      <c r="M96"/>
      <c r="N96"/>
      <c r="O96"/>
      <c r="P96"/>
      <c r="Q96"/>
      <c r="R96"/>
      <c r="S96"/>
      <c r="T96"/>
    </row>
    <row r="97" spans="1:20">
      <c r="A97" s="351">
        <v>70</v>
      </c>
      <c r="B97" s="351" t="s">
        <v>781</v>
      </c>
      <c r="C97" s="351" t="s">
        <v>160</v>
      </c>
      <c r="D97" s="250" t="s">
        <v>815</v>
      </c>
      <c r="F97"/>
      <c r="G97"/>
      <c r="H97"/>
      <c r="I97"/>
      <c r="J97"/>
      <c r="K97"/>
      <c r="L97"/>
      <c r="M97"/>
      <c r="N97"/>
      <c r="O97"/>
      <c r="P97"/>
      <c r="Q97"/>
      <c r="R97"/>
      <c r="S97"/>
      <c r="T97"/>
    </row>
    <row r="98" spans="1:20">
      <c r="A98" s="351">
        <v>71</v>
      </c>
      <c r="B98" s="351" t="s">
        <v>782</v>
      </c>
      <c r="C98" s="351" t="s">
        <v>172</v>
      </c>
      <c r="D98" s="250" t="s">
        <v>815</v>
      </c>
      <c r="F98"/>
      <c r="G98"/>
      <c r="H98"/>
      <c r="I98"/>
      <c r="J98"/>
      <c r="K98"/>
      <c r="L98"/>
      <c r="M98"/>
      <c r="N98"/>
      <c r="O98"/>
      <c r="P98"/>
      <c r="Q98"/>
      <c r="R98"/>
      <c r="S98"/>
      <c r="T98"/>
    </row>
    <row r="99" spans="1:20">
      <c r="A99" s="351">
        <v>72</v>
      </c>
      <c r="B99" s="351" t="s">
        <v>783</v>
      </c>
      <c r="C99" s="351" t="s">
        <v>183</v>
      </c>
      <c r="D99" s="250" t="s">
        <v>817</v>
      </c>
      <c r="F99"/>
      <c r="G99"/>
      <c r="H99"/>
      <c r="I99"/>
      <c r="J99"/>
      <c r="K99"/>
      <c r="L99"/>
      <c r="M99"/>
      <c r="N99"/>
      <c r="O99"/>
      <c r="P99"/>
      <c r="Q99"/>
      <c r="R99"/>
      <c r="S99"/>
      <c r="T99"/>
    </row>
    <row r="100" spans="1:20">
      <c r="A100" s="351">
        <v>73</v>
      </c>
      <c r="B100" s="351" t="s">
        <v>784</v>
      </c>
      <c r="C100" s="351" t="s">
        <v>172</v>
      </c>
      <c r="D100" s="250" t="s">
        <v>807</v>
      </c>
      <c r="F100"/>
      <c r="G100"/>
      <c r="H100"/>
      <c r="I100"/>
      <c r="J100"/>
      <c r="K100"/>
      <c r="L100"/>
      <c r="M100"/>
      <c r="N100"/>
      <c r="O100"/>
      <c r="P100"/>
      <c r="Q100"/>
      <c r="R100"/>
      <c r="S100"/>
      <c r="T100"/>
    </row>
    <row r="101" spans="1:20">
      <c r="A101" s="351">
        <v>74</v>
      </c>
      <c r="B101" s="351" t="s">
        <v>785</v>
      </c>
      <c r="C101" s="351" t="s">
        <v>172</v>
      </c>
      <c r="D101" s="250" t="s">
        <v>807</v>
      </c>
      <c r="F101"/>
      <c r="G101"/>
      <c r="H101"/>
      <c r="I101"/>
      <c r="J101"/>
      <c r="K101"/>
      <c r="L101"/>
      <c r="M101"/>
      <c r="N101"/>
      <c r="O101"/>
      <c r="P101"/>
      <c r="Q101"/>
      <c r="R101"/>
      <c r="S101"/>
      <c r="T101"/>
    </row>
    <row r="102" spans="1:20">
      <c r="A102" s="351">
        <v>75</v>
      </c>
      <c r="B102" s="351" t="s">
        <v>786</v>
      </c>
      <c r="C102" s="351" t="s">
        <v>160</v>
      </c>
      <c r="D102" s="250" t="s">
        <v>818</v>
      </c>
      <c r="F102"/>
      <c r="G102"/>
      <c r="H102"/>
      <c r="I102"/>
      <c r="J102"/>
      <c r="K102"/>
      <c r="L102"/>
      <c r="M102"/>
      <c r="N102"/>
      <c r="O102"/>
      <c r="P102"/>
      <c r="Q102"/>
      <c r="R102"/>
      <c r="S102"/>
      <c r="T102"/>
    </row>
    <row r="103" spans="1:20">
      <c r="A103" s="351">
        <v>76</v>
      </c>
      <c r="B103" s="351" t="s">
        <v>787</v>
      </c>
      <c r="C103" s="351" t="s">
        <v>143</v>
      </c>
      <c r="D103" s="250" t="s">
        <v>812</v>
      </c>
      <c r="F103"/>
      <c r="G103"/>
      <c r="H103"/>
      <c r="I103"/>
      <c r="J103"/>
      <c r="K103"/>
      <c r="L103"/>
      <c r="M103"/>
      <c r="N103"/>
      <c r="O103"/>
      <c r="P103"/>
      <c r="Q103"/>
      <c r="R103"/>
      <c r="S103"/>
      <c r="T103"/>
    </row>
    <row r="104" spans="1:20">
      <c r="A104" s="351">
        <v>77</v>
      </c>
      <c r="B104" s="351" t="s">
        <v>788</v>
      </c>
      <c r="C104" s="351" t="s">
        <v>143</v>
      </c>
      <c r="D104" s="250" t="s">
        <v>818</v>
      </c>
      <c r="F104"/>
      <c r="G104"/>
      <c r="H104"/>
      <c r="I104"/>
      <c r="J104"/>
      <c r="K104"/>
      <c r="L104"/>
      <c r="M104"/>
      <c r="N104"/>
      <c r="O104"/>
      <c r="P104"/>
      <c r="Q104"/>
      <c r="R104"/>
      <c r="S104"/>
      <c r="T104"/>
    </row>
    <row r="105" spans="1:20">
      <c r="A105" s="351">
        <v>78</v>
      </c>
      <c r="B105" s="351" t="s">
        <v>789</v>
      </c>
      <c r="C105" s="351" t="s">
        <v>143</v>
      </c>
      <c r="D105" s="250" t="s">
        <v>818</v>
      </c>
      <c r="F105"/>
      <c r="G105"/>
      <c r="H105"/>
      <c r="I105"/>
      <c r="J105"/>
      <c r="K105"/>
      <c r="L105"/>
      <c r="M105"/>
      <c r="N105"/>
      <c r="O105"/>
      <c r="P105"/>
      <c r="Q105"/>
      <c r="R105"/>
      <c r="S105"/>
      <c r="T105"/>
    </row>
    <row r="106" spans="1:20">
      <c r="A106" s="351">
        <v>79</v>
      </c>
      <c r="B106" s="351" t="s">
        <v>790</v>
      </c>
      <c r="C106" s="351" t="s">
        <v>183</v>
      </c>
      <c r="D106" s="250" t="s">
        <v>813</v>
      </c>
      <c r="F106"/>
      <c r="G106"/>
      <c r="H106"/>
      <c r="I106"/>
      <c r="J106"/>
      <c r="K106"/>
      <c r="L106"/>
      <c r="M106"/>
      <c r="N106"/>
      <c r="O106"/>
      <c r="P106"/>
      <c r="Q106"/>
      <c r="R106"/>
      <c r="S106"/>
      <c r="T106"/>
    </row>
    <row r="107" spans="1:20">
      <c r="A107" s="351">
        <v>80</v>
      </c>
      <c r="B107" s="351" t="s">
        <v>791</v>
      </c>
      <c r="C107" s="351" t="s">
        <v>143</v>
      </c>
      <c r="D107" s="250" t="s">
        <v>808</v>
      </c>
      <c r="F107"/>
      <c r="G107"/>
      <c r="H107"/>
      <c r="I107"/>
      <c r="J107"/>
      <c r="K107"/>
      <c r="L107"/>
      <c r="M107"/>
      <c r="N107"/>
      <c r="O107"/>
      <c r="P107"/>
      <c r="Q107"/>
      <c r="R107"/>
      <c r="S107"/>
      <c r="T107"/>
    </row>
    <row r="108" spans="1:20">
      <c r="A108" s="351">
        <v>81</v>
      </c>
      <c r="B108" s="351" t="s">
        <v>792</v>
      </c>
      <c r="C108" s="351" t="s">
        <v>188</v>
      </c>
      <c r="D108" s="250" t="s">
        <v>811</v>
      </c>
      <c r="F108"/>
      <c r="G108"/>
      <c r="H108"/>
      <c r="I108"/>
      <c r="J108"/>
      <c r="K108"/>
      <c r="L108"/>
      <c r="M108"/>
      <c r="N108"/>
      <c r="O108"/>
      <c r="P108"/>
      <c r="Q108"/>
      <c r="R108"/>
      <c r="S108"/>
      <c r="T108"/>
    </row>
    <row r="109" spans="1:20" ht="29">
      <c r="A109" s="351">
        <v>82</v>
      </c>
      <c r="B109" s="351" t="s">
        <v>793</v>
      </c>
      <c r="C109" s="351" t="s">
        <v>188</v>
      </c>
      <c r="D109" s="250" t="s">
        <v>811</v>
      </c>
      <c r="F109"/>
      <c r="G109"/>
      <c r="H109"/>
      <c r="I109"/>
      <c r="J109"/>
      <c r="K109"/>
      <c r="L109"/>
      <c r="M109"/>
      <c r="N109"/>
      <c r="O109"/>
      <c r="P109"/>
      <c r="Q109"/>
      <c r="R109"/>
      <c r="S109"/>
      <c r="T109"/>
    </row>
    <row r="110" spans="1:20">
      <c r="A110" s="351">
        <v>83</v>
      </c>
      <c r="B110" s="351" t="s">
        <v>794</v>
      </c>
      <c r="C110" s="351" t="s">
        <v>193</v>
      </c>
      <c r="D110" s="250" t="s">
        <v>809</v>
      </c>
      <c r="F110"/>
      <c r="G110"/>
      <c r="H110"/>
      <c r="I110"/>
      <c r="J110"/>
      <c r="K110"/>
      <c r="L110"/>
      <c r="M110"/>
      <c r="N110"/>
      <c r="O110"/>
      <c r="P110"/>
      <c r="Q110"/>
      <c r="R110"/>
      <c r="S110"/>
      <c r="T110"/>
    </row>
    <row r="111" spans="1:20">
      <c r="A111" s="351">
        <v>84</v>
      </c>
      <c r="B111" s="351" t="s">
        <v>795</v>
      </c>
      <c r="C111" s="351" t="s">
        <v>191</v>
      </c>
      <c r="D111" s="250" t="s">
        <v>809</v>
      </c>
      <c r="F111"/>
      <c r="G111"/>
      <c r="H111"/>
      <c r="I111"/>
      <c r="J111"/>
      <c r="K111"/>
      <c r="L111"/>
      <c r="M111"/>
      <c r="N111"/>
      <c r="O111"/>
      <c r="P111"/>
      <c r="Q111"/>
      <c r="R111"/>
      <c r="S111"/>
      <c r="T111"/>
    </row>
    <row r="112" spans="1:20">
      <c r="A112" s="351">
        <v>85</v>
      </c>
      <c r="B112" s="351" t="s">
        <v>796</v>
      </c>
      <c r="C112" s="351" t="s">
        <v>183</v>
      </c>
      <c r="D112" s="250" t="s">
        <v>817</v>
      </c>
      <c r="F112"/>
      <c r="G112"/>
      <c r="H112"/>
      <c r="I112"/>
      <c r="J112"/>
      <c r="K112"/>
      <c r="L112"/>
      <c r="M112"/>
      <c r="N112"/>
      <c r="O112"/>
      <c r="P112"/>
      <c r="Q112"/>
      <c r="R112"/>
      <c r="S112"/>
      <c r="T112"/>
    </row>
    <row r="113" spans="1:20">
      <c r="A113" s="351">
        <v>86</v>
      </c>
      <c r="B113" s="351" t="s">
        <v>797</v>
      </c>
      <c r="C113" s="351" t="s">
        <v>183</v>
      </c>
      <c r="D113" s="250" t="s">
        <v>813</v>
      </c>
      <c r="F113"/>
      <c r="G113"/>
      <c r="H113"/>
      <c r="I113"/>
      <c r="J113"/>
      <c r="K113"/>
      <c r="L113"/>
      <c r="M113"/>
      <c r="N113"/>
      <c r="O113"/>
      <c r="P113"/>
      <c r="Q113"/>
      <c r="R113"/>
      <c r="S113"/>
      <c r="T113"/>
    </row>
    <row r="114" spans="1:20">
      <c r="A114" s="351">
        <v>87</v>
      </c>
      <c r="B114" s="351" t="s">
        <v>798</v>
      </c>
      <c r="C114" s="351" t="s">
        <v>172</v>
      </c>
      <c r="D114" s="250" t="s">
        <v>813</v>
      </c>
      <c r="F114"/>
      <c r="G114"/>
      <c r="H114"/>
      <c r="I114"/>
      <c r="J114"/>
      <c r="K114"/>
      <c r="L114"/>
      <c r="M114"/>
      <c r="N114"/>
      <c r="O114"/>
      <c r="P114"/>
      <c r="Q114"/>
      <c r="R114"/>
      <c r="S114"/>
      <c r="T114"/>
    </row>
    <row r="115" spans="1:20">
      <c r="A115" s="351">
        <v>88</v>
      </c>
      <c r="B115" s="351" t="s">
        <v>799</v>
      </c>
      <c r="C115" s="351" t="s">
        <v>160</v>
      </c>
      <c r="D115" s="250" t="s">
        <v>810</v>
      </c>
      <c r="F115"/>
      <c r="G115"/>
      <c r="H115"/>
      <c r="I115"/>
      <c r="J115"/>
      <c r="K115"/>
      <c r="L115"/>
      <c r="M115"/>
      <c r="N115"/>
      <c r="O115"/>
      <c r="P115"/>
      <c r="Q115"/>
      <c r="R115"/>
      <c r="S115"/>
      <c r="T115"/>
    </row>
    <row r="116" spans="1:20">
      <c r="A116" s="351">
        <v>89</v>
      </c>
      <c r="B116" s="351" t="s">
        <v>800</v>
      </c>
      <c r="C116" s="351" t="s">
        <v>160</v>
      </c>
      <c r="D116" s="250" t="s">
        <v>815</v>
      </c>
      <c r="F116"/>
      <c r="G116"/>
      <c r="H116"/>
      <c r="I116"/>
      <c r="J116"/>
      <c r="K116"/>
      <c r="L116"/>
      <c r="M116"/>
      <c r="N116"/>
      <c r="O116"/>
      <c r="P116"/>
      <c r="Q116"/>
      <c r="R116"/>
      <c r="S116"/>
      <c r="T116"/>
    </row>
    <row r="117" spans="1:20" ht="29">
      <c r="A117" s="351">
        <v>90</v>
      </c>
      <c r="B117" s="351" t="s">
        <v>801</v>
      </c>
      <c r="C117" s="351" t="s">
        <v>160</v>
      </c>
      <c r="D117" s="250" t="s">
        <v>815</v>
      </c>
      <c r="F117"/>
      <c r="G117"/>
      <c r="H117"/>
      <c r="I117"/>
      <c r="J117"/>
      <c r="K117"/>
      <c r="L117"/>
      <c r="M117"/>
      <c r="N117"/>
      <c r="O117"/>
      <c r="P117"/>
      <c r="Q117"/>
      <c r="R117"/>
      <c r="S117"/>
      <c r="T117"/>
    </row>
    <row r="118" spans="1:20">
      <c r="A118" s="351">
        <v>91</v>
      </c>
      <c r="B118" s="351" t="s">
        <v>802</v>
      </c>
      <c r="C118" s="351" t="s">
        <v>143</v>
      </c>
      <c r="D118" s="250" t="s">
        <v>818</v>
      </c>
      <c r="F118"/>
      <c r="G118"/>
      <c r="H118"/>
      <c r="I118"/>
      <c r="J118"/>
      <c r="K118"/>
      <c r="L118"/>
      <c r="M118"/>
      <c r="N118"/>
      <c r="O118"/>
      <c r="P118"/>
      <c r="Q118"/>
      <c r="R118"/>
      <c r="S118"/>
      <c r="T118"/>
    </row>
    <row r="119" spans="1:20">
      <c r="A119" s="351">
        <v>92</v>
      </c>
      <c r="B119" s="351" t="s">
        <v>803</v>
      </c>
      <c r="C119" s="351" t="s">
        <v>160</v>
      </c>
      <c r="D119" s="250" t="s">
        <v>818</v>
      </c>
      <c r="F119"/>
      <c r="G119"/>
      <c r="H119"/>
      <c r="I119"/>
      <c r="J119"/>
      <c r="K119"/>
      <c r="L119"/>
      <c r="M119"/>
      <c r="N119"/>
      <c r="O119"/>
      <c r="P119"/>
      <c r="Q119"/>
      <c r="R119"/>
      <c r="S119"/>
      <c r="T119"/>
    </row>
    <row r="120" spans="1:20" ht="29">
      <c r="A120" s="351">
        <v>93</v>
      </c>
      <c r="B120" s="351" t="s">
        <v>804</v>
      </c>
      <c r="C120" s="351" t="s">
        <v>160</v>
      </c>
      <c r="D120" s="348" t="s">
        <v>818</v>
      </c>
      <c r="F120"/>
      <c r="G120"/>
      <c r="H120"/>
      <c r="I120"/>
      <c r="J120"/>
      <c r="K120"/>
      <c r="L120"/>
      <c r="M120"/>
      <c r="N120"/>
      <c r="O120"/>
      <c r="P120"/>
      <c r="Q120"/>
      <c r="R120"/>
      <c r="S120"/>
      <c r="T120"/>
    </row>
    <row r="121" spans="1:20">
      <c r="A121" s="351">
        <v>94</v>
      </c>
      <c r="B121" s="351" t="s">
        <v>805</v>
      </c>
      <c r="C121" s="351" t="s">
        <v>160</v>
      </c>
      <c r="D121" s="348" t="s">
        <v>818</v>
      </c>
      <c r="F121"/>
      <c r="G121"/>
      <c r="H121"/>
      <c r="I121"/>
      <c r="J121"/>
      <c r="K121"/>
      <c r="L121"/>
      <c r="M121"/>
      <c r="N121"/>
      <c r="O121"/>
      <c r="P121"/>
      <c r="Q121"/>
      <c r="R121"/>
      <c r="S121"/>
      <c r="T121"/>
    </row>
    <row r="122" spans="1:20">
      <c r="A122" s="351">
        <v>95</v>
      </c>
      <c r="B122" s="351" t="s">
        <v>806</v>
      </c>
      <c r="C122" s="351" t="s">
        <v>143</v>
      </c>
      <c r="D122" s="348" t="s">
        <v>818</v>
      </c>
      <c r="F122"/>
      <c r="G122"/>
      <c r="H122"/>
      <c r="I122"/>
      <c r="J122"/>
      <c r="K122"/>
      <c r="L122"/>
      <c r="M122"/>
      <c r="N122"/>
      <c r="O122"/>
      <c r="P122"/>
      <c r="Q122"/>
      <c r="R122"/>
      <c r="S122"/>
      <c r="T122"/>
    </row>
    <row r="123" spans="1:20">
      <c r="A123" s="351">
        <v>971</v>
      </c>
      <c r="B123" s="351" t="s">
        <v>688</v>
      </c>
      <c r="C123" s="348" t="s">
        <v>688</v>
      </c>
      <c r="D123" s="348" t="s">
        <v>822</v>
      </c>
      <c r="F123"/>
      <c r="G123"/>
      <c r="H123"/>
      <c r="I123"/>
      <c r="J123"/>
      <c r="K123"/>
      <c r="L123"/>
      <c r="M123"/>
      <c r="N123"/>
      <c r="O123"/>
      <c r="P123"/>
      <c r="Q123"/>
      <c r="R123"/>
      <c r="S123"/>
      <c r="T123"/>
    </row>
    <row r="124" spans="1:20">
      <c r="A124" s="351">
        <v>973</v>
      </c>
      <c r="B124" s="351" t="s">
        <v>690</v>
      </c>
      <c r="C124" s="348" t="s">
        <v>690</v>
      </c>
      <c r="D124" s="348" t="s">
        <v>822</v>
      </c>
      <c r="F124"/>
      <c r="G124"/>
      <c r="H124"/>
      <c r="I124"/>
      <c r="J124"/>
      <c r="K124"/>
      <c r="L124"/>
      <c r="M124"/>
      <c r="N124"/>
      <c r="O124"/>
      <c r="P124"/>
      <c r="Q124"/>
      <c r="R124"/>
      <c r="S124"/>
      <c r="T124"/>
    </row>
    <row r="125" spans="1:20">
      <c r="A125" s="351">
        <v>974</v>
      </c>
      <c r="B125" s="351" t="s">
        <v>821</v>
      </c>
      <c r="C125" s="348" t="s">
        <v>691</v>
      </c>
      <c r="D125" s="348" t="s">
        <v>822</v>
      </c>
      <c r="F125"/>
      <c r="G125"/>
      <c r="H125"/>
      <c r="I125"/>
      <c r="J125"/>
      <c r="K125"/>
      <c r="L125"/>
      <c r="M125"/>
      <c r="N125"/>
      <c r="O125"/>
      <c r="P125"/>
      <c r="Q125"/>
      <c r="R125"/>
      <c r="S125"/>
      <c r="T125"/>
    </row>
    <row r="126" spans="1:20">
      <c r="A126" s="351">
        <v>972</v>
      </c>
      <c r="B126" s="351" t="s">
        <v>689</v>
      </c>
      <c r="C126" s="348" t="s">
        <v>689</v>
      </c>
      <c r="D126" s="348" t="s">
        <v>822</v>
      </c>
      <c r="F126"/>
      <c r="G126"/>
      <c r="H126"/>
      <c r="I126"/>
      <c r="J126"/>
      <c r="K126"/>
      <c r="L126"/>
      <c r="M126"/>
      <c r="N126"/>
      <c r="O126"/>
      <c r="P126"/>
      <c r="Q126"/>
      <c r="R126"/>
      <c r="S126"/>
      <c r="T126"/>
    </row>
    <row r="127" spans="1:20">
      <c r="A127" s="351"/>
      <c r="B127" s="351" t="s">
        <v>692</v>
      </c>
      <c r="C127" s="351" t="s">
        <v>692</v>
      </c>
      <c r="D127" s="348" t="s">
        <v>822</v>
      </c>
      <c r="F127"/>
      <c r="G127"/>
      <c r="H127"/>
      <c r="I127"/>
      <c r="J127"/>
      <c r="K127"/>
      <c r="L127"/>
      <c r="M127"/>
      <c r="N127"/>
      <c r="O127"/>
      <c r="P127"/>
      <c r="Q127"/>
      <c r="R127"/>
      <c r="S127"/>
      <c r="T127"/>
    </row>
    <row r="128" spans="1:20">
      <c r="F128"/>
      <c r="G128"/>
      <c r="H128"/>
      <c r="I128"/>
      <c r="J128"/>
      <c r="K128"/>
      <c r="L128"/>
      <c r="M128"/>
      <c r="N128"/>
      <c r="O128"/>
      <c r="P128"/>
      <c r="Q128"/>
      <c r="R128"/>
      <c r="S128"/>
      <c r="T128"/>
    </row>
    <row r="129" spans="6:20">
      <c r="F129"/>
      <c r="G129"/>
      <c r="H129"/>
      <c r="I129"/>
      <c r="J129"/>
      <c r="K129"/>
      <c r="L129"/>
      <c r="M129"/>
      <c r="N129"/>
      <c r="O129"/>
      <c r="P129"/>
      <c r="Q129"/>
      <c r="R129"/>
      <c r="S129"/>
      <c r="T129"/>
    </row>
    <row r="130" spans="6:20">
      <c r="F130"/>
      <c r="G130"/>
      <c r="H130"/>
      <c r="I130"/>
      <c r="J130"/>
      <c r="K130"/>
      <c r="L130"/>
      <c r="M130"/>
      <c r="N130"/>
      <c r="O130"/>
      <c r="P130"/>
      <c r="Q130"/>
      <c r="R130"/>
      <c r="S130"/>
      <c r="T130"/>
    </row>
    <row r="131" spans="6:20">
      <c r="F131"/>
      <c r="G131"/>
      <c r="H131"/>
      <c r="I131"/>
      <c r="J131"/>
      <c r="K131"/>
      <c r="L131"/>
      <c r="M131"/>
      <c r="N131"/>
      <c r="O131"/>
      <c r="P131"/>
      <c r="Q131"/>
      <c r="R131"/>
      <c r="S131"/>
      <c r="T131"/>
    </row>
    <row r="132" spans="6:20">
      <c r="F132"/>
      <c r="G132"/>
      <c r="H132"/>
      <c r="I132"/>
      <c r="J132"/>
      <c r="K132"/>
      <c r="L132"/>
      <c r="M132"/>
      <c r="N132"/>
      <c r="O132"/>
      <c r="P132"/>
      <c r="Q132"/>
      <c r="R132"/>
      <c r="S132"/>
      <c r="T132"/>
    </row>
    <row r="133" spans="6:20">
      <c r="F133"/>
      <c r="G133"/>
      <c r="H133"/>
      <c r="I133"/>
      <c r="J133"/>
      <c r="K133"/>
      <c r="L133"/>
      <c r="M133"/>
      <c r="N133"/>
      <c r="O133"/>
      <c r="P133"/>
      <c r="Q133"/>
      <c r="R133"/>
      <c r="S133"/>
      <c r="T133"/>
    </row>
    <row r="134" spans="6:20">
      <c r="F134"/>
      <c r="G134"/>
      <c r="H134"/>
      <c r="I134"/>
      <c r="J134"/>
      <c r="K134"/>
      <c r="L134"/>
      <c r="M134"/>
      <c r="N134"/>
      <c r="O134"/>
      <c r="P134"/>
      <c r="Q134"/>
      <c r="R134"/>
      <c r="S134"/>
      <c r="T134"/>
    </row>
    <row r="135" spans="6:20">
      <c r="F135"/>
      <c r="G135"/>
      <c r="H135"/>
      <c r="I135"/>
      <c r="J135"/>
      <c r="K135"/>
      <c r="L135"/>
      <c r="M135"/>
      <c r="N135"/>
      <c r="O135"/>
      <c r="P135"/>
      <c r="Q135"/>
      <c r="R135"/>
      <c r="S135"/>
      <c r="T135"/>
    </row>
    <row r="136" spans="6:20">
      <c r="F136"/>
      <c r="G136"/>
      <c r="H136"/>
      <c r="I136"/>
      <c r="J136"/>
      <c r="K136"/>
      <c r="L136"/>
      <c r="M136"/>
      <c r="N136"/>
      <c r="O136"/>
      <c r="P136"/>
      <c r="Q136"/>
      <c r="R136"/>
      <c r="S136"/>
      <c r="T136"/>
    </row>
    <row r="137" spans="6:20">
      <c r="F137"/>
      <c r="G137"/>
      <c r="H137"/>
      <c r="I137"/>
      <c r="J137"/>
      <c r="K137"/>
      <c r="L137"/>
      <c r="M137"/>
      <c r="N137"/>
      <c r="O137"/>
      <c r="P137"/>
      <c r="Q137"/>
      <c r="R137"/>
      <c r="S137"/>
      <c r="T137"/>
    </row>
    <row r="138" spans="6:20">
      <c r="F138"/>
      <c r="G138"/>
      <c r="H138"/>
      <c r="I138"/>
      <c r="J138"/>
      <c r="K138"/>
      <c r="L138"/>
      <c r="M138"/>
      <c r="N138"/>
      <c r="O138"/>
      <c r="P138"/>
      <c r="Q138"/>
      <c r="R138"/>
      <c r="S138"/>
      <c r="T138"/>
    </row>
    <row r="139" spans="6:20">
      <c r="F139"/>
      <c r="G139"/>
      <c r="H139"/>
      <c r="I139"/>
      <c r="J139"/>
      <c r="K139"/>
      <c r="L139"/>
      <c r="M139"/>
      <c r="N139"/>
      <c r="O139"/>
      <c r="P139"/>
      <c r="Q139"/>
      <c r="R139"/>
      <c r="S139"/>
      <c r="T139"/>
    </row>
    <row r="140" spans="6:20">
      <c r="F140"/>
      <c r="G140"/>
      <c r="H140"/>
      <c r="I140"/>
      <c r="J140"/>
      <c r="K140"/>
      <c r="L140"/>
      <c r="M140"/>
      <c r="N140"/>
      <c r="O140"/>
      <c r="P140"/>
      <c r="Q140"/>
      <c r="R140"/>
      <c r="S140"/>
      <c r="T140"/>
    </row>
    <row r="141" spans="6:20">
      <c r="F141"/>
      <c r="G141"/>
      <c r="H141"/>
      <c r="I141"/>
      <c r="J141"/>
      <c r="K141"/>
      <c r="L141"/>
      <c r="M141"/>
      <c r="N141"/>
      <c r="O141"/>
      <c r="P141"/>
      <c r="Q141"/>
      <c r="R141"/>
      <c r="S141"/>
      <c r="T141"/>
    </row>
    <row r="142" spans="6:20">
      <c r="F142"/>
      <c r="G142"/>
      <c r="H142"/>
      <c r="I142"/>
      <c r="J142"/>
      <c r="K142"/>
      <c r="L142"/>
      <c r="M142"/>
      <c r="N142"/>
      <c r="O142"/>
      <c r="P142"/>
      <c r="Q142"/>
      <c r="R142"/>
      <c r="S142"/>
      <c r="T142"/>
    </row>
    <row r="143" spans="6:20">
      <c r="F143"/>
      <c r="G143"/>
      <c r="H143"/>
      <c r="I143"/>
      <c r="J143"/>
      <c r="K143"/>
      <c r="L143"/>
      <c r="M143"/>
      <c r="N143"/>
      <c r="O143"/>
      <c r="P143"/>
      <c r="Q143"/>
      <c r="R143"/>
      <c r="S143"/>
      <c r="T143"/>
    </row>
    <row r="144" spans="6:20">
      <c r="F144"/>
      <c r="G144"/>
      <c r="H144"/>
    </row>
    <row r="145" spans="6:8">
      <c r="F145"/>
      <c r="G145"/>
      <c r="H145"/>
    </row>
    <row r="146" spans="6:8">
      <c r="F146"/>
      <c r="G146"/>
      <c r="H146"/>
    </row>
    <row r="147" spans="6:8">
      <c r="F147"/>
    </row>
    <row r="148" spans="6:8">
      <c r="F148"/>
    </row>
    <row r="149" spans="6:8">
      <c r="F149"/>
    </row>
    <row r="150" spans="6:8">
      <c r="F150"/>
    </row>
    <row r="151" spans="6:8">
      <c r="F151"/>
    </row>
    <row r="152" spans="6:8">
      <c r="F152"/>
    </row>
    <row r="153" spans="6:8">
      <c r="F153"/>
    </row>
    <row r="154" spans="6:8">
      <c r="F154"/>
    </row>
    <row r="155" spans="6:8">
      <c r="F155"/>
    </row>
    <row r="156" spans="6:8">
      <c r="F156"/>
    </row>
    <row r="157" spans="6:8">
      <c r="F157"/>
    </row>
    <row r="158" spans="6:8">
      <c r="F158"/>
    </row>
    <row r="159" spans="6:8">
      <c r="F159"/>
    </row>
    <row r="160" spans="6:8">
      <c r="F160"/>
    </row>
    <row r="161" spans="6:6">
      <c r="F161"/>
    </row>
    <row r="162" spans="6:6">
      <c r="F162"/>
    </row>
    <row r="163" spans="6:6">
      <c r="F163"/>
    </row>
    <row r="164" spans="6:6">
      <c r="F164"/>
    </row>
    <row r="165" spans="6:6">
      <c r="F165"/>
    </row>
    <row r="166" spans="6:6">
      <c r="F166"/>
    </row>
    <row r="167" spans="6:6">
      <c r="F167"/>
    </row>
    <row r="168" spans="6:6">
      <c r="F168"/>
    </row>
    <row r="169" spans="6:6">
      <c r="F169"/>
    </row>
    <row r="170" spans="6:6">
      <c r="F170"/>
    </row>
    <row r="171" spans="6:6">
      <c r="F171"/>
    </row>
    <row r="172" spans="6:6">
      <c r="F172"/>
    </row>
    <row r="173" spans="6:6">
      <c r="F173"/>
    </row>
    <row r="174" spans="6:6">
      <c r="F174"/>
    </row>
    <row r="175" spans="6:6">
      <c r="F175"/>
    </row>
    <row r="176" spans="6:6">
      <c r="F176"/>
    </row>
    <row r="177" spans="6:6">
      <c r="F177"/>
    </row>
    <row r="178" spans="6:6">
      <c r="F178"/>
    </row>
    <row r="179" spans="6:6">
      <c r="F179"/>
    </row>
    <row r="180" spans="6:6">
      <c r="F180"/>
    </row>
    <row r="181" spans="6:6">
      <c r="F181"/>
    </row>
    <row r="182" spans="6:6">
      <c r="F182"/>
    </row>
    <row r="183" spans="6:6">
      <c r="F183"/>
    </row>
    <row r="184" spans="6:6">
      <c r="F184"/>
    </row>
    <row r="185" spans="6:6">
      <c r="F185"/>
    </row>
    <row r="186" spans="6:6">
      <c r="F186"/>
    </row>
    <row r="187" spans="6:6">
      <c r="F187"/>
    </row>
    <row r="188" spans="6:6">
      <c r="F188"/>
    </row>
    <row r="189" spans="6:6">
      <c r="F189"/>
    </row>
    <row r="190" spans="6:6">
      <c r="F190"/>
    </row>
    <row r="191" spans="6:6">
      <c r="F191"/>
    </row>
    <row r="192" spans="6:6">
      <c r="F192"/>
    </row>
    <row r="193" spans="6:6">
      <c r="F193"/>
    </row>
    <row r="194" spans="6:6">
      <c r="F194"/>
    </row>
    <row r="195" spans="6:6">
      <c r="F195"/>
    </row>
    <row r="196" spans="6:6">
      <c r="F196"/>
    </row>
    <row r="197" spans="6:6">
      <c r="F197"/>
    </row>
    <row r="198" spans="6:6">
      <c r="F198"/>
    </row>
    <row r="199" spans="6:6">
      <c r="F199"/>
    </row>
    <row r="200" spans="6:6">
      <c r="F200"/>
    </row>
    <row r="201" spans="6:6">
      <c r="F201"/>
    </row>
    <row r="202" spans="6:6">
      <c r="F202"/>
    </row>
    <row r="203" spans="6:6">
      <c r="F203"/>
    </row>
    <row r="204" spans="6:6">
      <c r="F204"/>
    </row>
    <row r="205" spans="6:6">
      <c r="F205"/>
    </row>
    <row r="206" spans="6:6">
      <c r="F206"/>
    </row>
    <row r="207" spans="6:6">
      <c r="F207"/>
    </row>
    <row r="208" spans="6:6">
      <c r="F208"/>
    </row>
    <row r="209" spans="6:6">
      <c r="F209"/>
    </row>
    <row r="210" spans="6:6">
      <c r="F210"/>
    </row>
    <row r="211" spans="6:6">
      <c r="F211"/>
    </row>
    <row r="212" spans="6:6">
      <c r="F212"/>
    </row>
    <row r="213" spans="6:6">
      <c r="F213"/>
    </row>
    <row r="214" spans="6:6">
      <c r="F214"/>
    </row>
    <row r="215" spans="6:6">
      <c r="F215"/>
    </row>
    <row r="216" spans="6:6">
      <c r="F216"/>
    </row>
    <row r="217" spans="6:6">
      <c r="F217"/>
    </row>
    <row r="218" spans="6:6">
      <c r="F218"/>
    </row>
    <row r="219" spans="6:6">
      <c r="F219"/>
    </row>
    <row r="220" spans="6:6">
      <c r="F220"/>
    </row>
    <row r="221" spans="6:6">
      <c r="F221"/>
    </row>
    <row r="222" spans="6:6">
      <c r="F222"/>
    </row>
    <row r="223" spans="6:6">
      <c r="F223"/>
    </row>
    <row r="224" spans="6:6">
      <c r="F224"/>
    </row>
    <row r="225" spans="6:6">
      <c r="F225"/>
    </row>
    <row r="226" spans="6:6">
      <c r="F226"/>
    </row>
    <row r="227" spans="6:6">
      <c r="F227"/>
    </row>
    <row r="228" spans="6:6">
      <c r="F228"/>
    </row>
    <row r="229" spans="6:6">
      <c r="F229"/>
    </row>
    <row r="230" spans="6:6">
      <c r="F230"/>
    </row>
    <row r="231" spans="6:6">
      <c r="F231"/>
    </row>
    <row r="232" spans="6:6">
      <c r="F232"/>
    </row>
    <row r="233" spans="6:6">
      <c r="F233"/>
    </row>
    <row r="234" spans="6:6">
      <c r="F234"/>
    </row>
    <row r="235" spans="6:6">
      <c r="F235"/>
    </row>
    <row r="236" spans="6:6">
      <c r="F236"/>
    </row>
    <row r="237" spans="6:6">
      <c r="F237"/>
    </row>
    <row r="238" spans="6:6">
      <c r="F238"/>
    </row>
    <row r="239" spans="6:6">
      <c r="F239"/>
    </row>
    <row r="240" spans="6:6">
      <c r="F240"/>
    </row>
    <row r="241" spans="6:6">
      <c r="F241"/>
    </row>
    <row r="242" spans="6:6">
      <c r="F242"/>
    </row>
  </sheetData>
  <mergeCells count="1">
    <mergeCell ref="C20:F25"/>
  </mergeCells>
  <pageMargins left="0.7" right="0.7" top="0.75" bottom="0.75" header="0.3" footer="0.3"/>
  <pageSetup paperSize="9" orientation="portrait" r:id="rId2"/>
  <drawing r:id="rId3"/>
  <tableParts count="1">
    <tablePart r:id="rId4"/>
  </tableParts>
  <extLst>
    <ext xmlns:x14="http://schemas.microsoft.com/office/spreadsheetml/2009/9/main" uri="{A8765BA9-456A-4dab-B4F3-ACF838C121DE}">
      <x14:slicerList>
        <x14:slicer r:id="rId5"/>
      </x14:slicerList>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4"/>
  <dimension ref="A1:O243"/>
  <sheetViews>
    <sheetView zoomScaleNormal="100" workbookViewId="0">
      <pane ySplit="3" topLeftCell="A4" activePane="bottomLeft" state="frozen"/>
      <selection pane="bottomLeft" activeCell="B4" sqref="B4"/>
    </sheetView>
  </sheetViews>
  <sheetFormatPr baseColWidth="10" defaultColWidth="0" defaultRowHeight="14.5" zeroHeight="1"/>
  <cols>
    <col min="1" max="1" width="16.6328125" customWidth="1"/>
    <col min="2" max="2" width="15" style="201" customWidth="1"/>
    <col min="3" max="3" width="11.6328125" style="196" customWidth="1"/>
    <col min="4" max="4" width="13.81640625" style="492" customWidth="1"/>
    <col min="5" max="5" width="11.26953125" style="514" customWidth="1"/>
    <col min="6" max="6" width="11.6328125" hidden="1" customWidth="1"/>
    <col min="7" max="8" width="11.36328125" hidden="1" customWidth="1"/>
    <col min="9" max="9" width="10.81640625" customWidth="1"/>
    <col min="10" max="10" width="25.6328125" style="194" customWidth="1"/>
    <col min="11" max="11" width="26.81640625" customWidth="1"/>
    <col min="12" max="12" width="17.08984375" customWidth="1"/>
    <col min="13" max="13" width="11.36328125" customWidth="1"/>
    <col min="14" max="14" width="21.6328125" customWidth="1"/>
    <col min="15" max="15" width="11.6328125" style="36" customWidth="1"/>
    <col min="16" max="16384" width="11.36328125" hidden="1"/>
  </cols>
  <sheetData>
    <row r="1" spans="1:15" ht="33.75" customHeight="1">
      <c r="A1" s="55" t="s">
        <v>393</v>
      </c>
      <c r="B1" s="199" t="s">
        <v>394</v>
      </c>
      <c r="C1" s="122" t="s">
        <v>395</v>
      </c>
      <c r="D1" s="489" t="str">
        <f>CONCATENATE("Montant ",Controle_des_données!$A$40)</f>
        <v>Montant 0</v>
      </c>
      <c r="E1" s="513" t="s">
        <v>214</v>
      </c>
      <c r="F1" s="27" t="s">
        <v>396</v>
      </c>
      <c r="G1" s="28" t="s">
        <v>397</v>
      </c>
      <c r="H1" s="28" t="s">
        <v>398</v>
      </c>
      <c r="I1" s="28" t="s">
        <v>399</v>
      </c>
      <c r="J1" s="172" t="s">
        <v>400</v>
      </c>
      <c r="K1" s="164" t="s">
        <v>19</v>
      </c>
      <c r="L1" s="170" t="str">
        <f>IF(Site!C38="", "Compteur 1",Site!C38)</f>
        <v>Compteur 1</v>
      </c>
      <c r="N1" s="36"/>
      <c r="O1"/>
    </row>
    <row r="2" spans="1:15" ht="20.25" hidden="1" customHeight="1">
      <c r="A2" s="55" t="s">
        <v>393</v>
      </c>
      <c r="B2" s="199" t="s">
        <v>394</v>
      </c>
      <c r="C2" s="122" t="s">
        <v>395</v>
      </c>
      <c r="D2" s="489" t="s">
        <v>428</v>
      </c>
      <c r="E2" s="513" t="s">
        <v>214</v>
      </c>
      <c r="F2" s="27" t="s">
        <v>396</v>
      </c>
      <c r="G2" s="28" t="s">
        <v>397</v>
      </c>
      <c r="H2" s="28" t="s">
        <v>398</v>
      </c>
      <c r="I2" s="184" t="s">
        <v>399</v>
      </c>
      <c r="J2" s="28" t="s">
        <v>92</v>
      </c>
      <c r="K2" s="164"/>
      <c r="L2" s="170"/>
      <c r="M2" s="171"/>
      <c r="N2" s="36"/>
      <c r="O2"/>
    </row>
    <row r="3" spans="1:15" hidden="1">
      <c r="A3" s="2"/>
      <c r="B3" s="401">
        <f t="shared" ref="B3" si="0">A4-1</f>
        <v>-1</v>
      </c>
      <c r="C3" s="402"/>
      <c r="D3" s="490"/>
      <c r="E3" s="520"/>
      <c r="F3">
        <f t="shared" ref="F3:F66" si="1">IFERROR(B3-A3+1,"")</f>
        <v>0</v>
      </c>
      <c r="G3">
        <f>IFERROR(IF(Str_TypeDonneesCpt=Cpt_Index,Tab_Compteur_1[[#This Row],[Index]],Tab_Compteur_1[[#This Row],[Quantité]])/Tab_Compteur_1[[#This Row],[Delta Jour]],0)</f>
        <v>0</v>
      </c>
      <c r="H3" t="str">
        <f>IFERROR(Tab_Compteur_1[[#This Row],[Montant]]/Tab_Compteur_1[[#This Row],[Delta Jour]],"")</f>
        <v/>
      </c>
      <c r="I3" s="184" t="str">
        <f>IF(SUM(Tab_Compteur_1[[#This Row],[Quantité]],Tab_Compteur_1[[#This Row],[Index]])&lt;=0,"",G3)</f>
        <v/>
      </c>
      <c r="J3" s="674"/>
      <c r="K3" s="36"/>
      <c r="L3" s="36"/>
      <c r="M3" s="36"/>
      <c r="N3" s="36"/>
      <c r="O3"/>
    </row>
    <row r="4" spans="1:15">
      <c r="A4" s="404">
        <f>Site!I38</f>
        <v>0</v>
      </c>
      <c r="B4" s="2"/>
      <c r="C4" s="681"/>
      <c r="D4" s="681"/>
      <c r="E4" s="519"/>
      <c r="F4">
        <f t="shared" si="1"/>
        <v>1</v>
      </c>
      <c r="G4" s="193">
        <f>IF(IFERROR(IF(Str_TypeDonneesCpt1=Cpt_Index,Tab_Compteur_1[[#This Row],[Index]]-L4,Tab_Compteur_1[[#This Row],[Quantité]])/Tab_Compteur_1[[#This Row],[Delta Jour]],"")&lt;0,"",IFERROR(IF(Str_TypeDonneesCpt1=Cpt_Index,Tab_Compteur_1[[#This Row],[Index]]-L4,Tab_Compteur_1[[#This Row],[Quantité]])/Tab_Compteur_1[[#This Row],[Delta Jour]],""))</f>
        <v>0</v>
      </c>
      <c r="H4">
        <f>IFERROR(Tab_Compteur_1[[#This Row],[Montant]]/Tab_Compteur_1[[#This Row],[Delta Jour]],"")</f>
        <v>0</v>
      </c>
      <c r="I4" s="184" t="str">
        <f>IF(SUM(Tab_Compteur_1[[#This Row],[Quantité]],Tab_Compteur_1[[#This Row],[Index]])&lt;=0,"",G4)</f>
        <v/>
      </c>
      <c r="J4" s="675"/>
      <c r="K4" s="192" t="s">
        <v>401</v>
      </c>
      <c r="L4" s="443">
        <v>0</v>
      </c>
      <c r="N4" s="36"/>
      <c r="O4"/>
    </row>
    <row r="5" spans="1:15">
      <c r="A5" s="421">
        <f>IFERROR(B4+1,0)</f>
        <v>1</v>
      </c>
      <c r="B5" s="2"/>
      <c r="C5" s="681"/>
      <c r="D5" s="681"/>
      <c r="E5" s="519"/>
      <c r="F5">
        <f t="shared" si="1"/>
        <v>0</v>
      </c>
      <c r="G5" t="str">
        <f>IF(IFERROR(IF(Str_TypeDonneesCpt1=Cpt_Index,Tab_Compteur_1[[#This Row],[Index]]-E4,Tab_Compteur_1[[#This Row],[Quantité]])/Tab_Compteur_1[[#This Row],[Delta Jour]],"")&lt;0,"",IFERROR(IF(Str_TypeDonneesCpt1=Cpt_Index,Tab_Compteur_1[[#This Row],[Index]]-E4,Tab_Compteur_1[[#This Row],[Quantité]])/Tab_Compteur_1[[#This Row],[Delta Jour]],""))</f>
        <v/>
      </c>
      <c r="H5" t="str">
        <f>IFERROR(Tab_Compteur_1[[#This Row],[Montant]]/Tab_Compteur_1[[#This Row],[Delta Jour]],"")</f>
        <v/>
      </c>
      <c r="I5" s="184" t="str">
        <f>IF(SUM(Tab_Compteur_1[[#This Row],[Quantité]],Tab_Compteur_1[[#This Row],[Index]])&lt;=0,"",G5)</f>
        <v/>
      </c>
      <c r="J5" s="676"/>
      <c r="L5" s="97"/>
      <c r="M5" s="36"/>
      <c r="N5" s="36"/>
      <c r="O5"/>
    </row>
    <row r="6" spans="1:15">
      <c r="A6" s="421">
        <f t="shared" ref="A6:A69" si="2">IFERROR(B5+1,0)</f>
        <v>1</v>
      </c>
      <c r="B6" s="2"/>
      <c r="C6" s="681"/>
      <c r="D6" s="681"/>
      <c r="E6" s="519"/>
      <c r="F6">
        <f t="shared" si="1"/>
        <v>0</v>
      </c>
      <c r="G6" t="str">
        <f>IF(IFERROR(IF(Str_TypeDonneesCpt1=Cpt_Index,Tab_Compteur_1[[#This Row],[Index]]-E5,Tab_Compteur_1[[#This Row],[Quantité]])/Tab_Compteur_1[[#This Row],[Delta Jour]],"")&lt;0,"",IFERROR(IF(Str_TypeDonneesCpt1=Cpt_Index,Tab_Compteur_1[[#This Row],[Index]]-E5,Tab_Compteur_1[[#This Row],[Quantité]])/Tab_Compteur_1[[#This Row],[Delta Jour]],""))</f>
        <v/>
      </c>
      <c r="H6" t="str">
        <f>IFERROR(Tab_Compteur_1[[#This Row],[Montant]]/Tab_Compteur_1[[#This Row],[Delta Jour]],"")</f>
        <v/>
      </c>
      <c r="I6" s="184" t="str">
        <f>IF(SUM(Tab_Compteur_1[[#This Row],[Quantité]],Tab_Compteur_1[[#This Row],[Index]])&lt;=0,"",G6)</f>
        <v/>
      </c>
      <c r="J6" s="675"/>
      <c r="K6" s="36"/>
      <c r="L6" s="36"/>
      <c r="M6" s="36"/>
      <c r="N6" s="36"/>
      <c r="O6"/>
    </row>
    <row r="7" spans="1:15" ht="15" customHeight="1">
      <c r="A7" s="421">
        <f t="shared" si="2"/>
        <v>1</v>
      </c>
      <c r="B7" s="2"/>
      <c r="C7" s="681"/>
      <c r="D7" s="681"/>
      <c r="E7" s="519"/>
      <c r="F7">
        <f t="shared" si="1"/>
        <v>0</v>
      </c>
      <c r="G7" t="str">
        <f>IF(IFERROR(IF(Str_TypeDonneesCpt1=Cpt_Index,Tab_Compteur_1[[#This Row],[Index]]-E6,Tab_Compteur_1[[#This Row],[Quantité]])/Tab_Compteur_1[[#This Row],[Delta Jour]],"")&lt;0,"",IFERROR(IF(Str_TypeDonneesCpt1=Cpt_Index,Tab_Compteur_1[[#This Row],[Index]]-E6,Tab_Compteur_1[[#This Row],[Quantité]])/Tab_Compteur_1[[#This Row],[Delta Jour]],""))</f>
        <v/>
      </c>
      <c r="H7" t="str">
        <f>IFERROR(Tab_Compteur_1[[#This Row],[Montant]]/Tab_Compteur_1[[#This Row],[Delta Jour]],"")</f>
        <v/>
      </c>
      <c r="I7" s="184" t="str">
        <f>IF(SUM(Tab_Compteur_1[[#This Row],[Quantité]],Tab_Compteur_1[[#This Row],[Index]])&lt;=0,"",G7)</f>
        <v/>
      </c>
      <c r="J7" s="675"/>
      <c r="K7" s="433"/>
      <c r="L7" s="433"/>
      <c r="N7" s="36"/>
      <c r="O7"/>
    </row>
    <row r="8" spans="1:15">
      <c r="A8" s="421">
        <f t="shared" si="2"/>
        <v>1</v>
      </c>
      <c r="B8" s="2"/>
      <c r="C8" s="681"/>
      <c r="D8" s="681"/>
      <c r="E8" s="519"/>
      <c r="F8">
        <f t="shared" si="1"/>
        <v>0</v>
      </c>
      <c r="G8" t="str">
        <f>IF(IFERROR(IF(Str_TypeDonneesCpt1=Cpt_Index,Tab_Compteur_1[[#This Row],[Index]]-E7,Tab_Compteur_1[[#This Row],[Quantité]])/Tab_Compteur_1[[#This Row],[Delta Jour]],"")&lt;0,"",IFERROR(IF(Str_TypeDonneesCpt1=Cpt_Index,Tab_Compteur_1[[#This Row],[Index]]-E7,Tab_Compteur_1[[#This Row],[Quantité]])/Tab_Compteur_1[[#This Row],[Delta Jour]],""))</f>
        <v/>
      </c>
      <c r="H8" t="str">
        <f>IFERROR(Tab_Compteur_1[[#This Row],[Montant]]/Tab_Compteur_1[[#This Row],[Delta Jour]],"")</f>
        <v/>
      </c>
      <c r="I8" s="184" t="str">
        <f>IF(SUM(Tab_Compteur_1[[#This Row],[Quantité]],Tab_Compteur_1[[#This Row],[Index]])&lt;=0,"",G8)</f>
        <v/>
      </c>
      <c r="J8" s="675"/>
      <c r="K8" s="36"/>
      <c r="L8" s="36"/>
      <c r="M8" s="36"/>
      <c r="N8" s="36"/>
      <c r="O8"/>
    </row>
    <row r="9" spans="1:15">
      <c r="A9" s="421">
        <f t="shared" si="2"/>
        <v>1</v>
      </c>
      <c r="B9" s="2"/>
      <c r="C9" s="681"/>
      <c r="D9" s="681"/>
      <c r="E9" s="519"/>
      <c r="F9">
        <f t="shared" si="1"/>
        <v>0</v>
      </c>
      <c r="G9" t="str">
        <f>IF(IFERROR(IF(Str_TypeDonneesCpt1=Cpt_Index,Tab_Compteur_1[[#This Row],[Index]]-E8,Tab_Compteur_1[[#This Row],[Quantité]])/Tab_Compteur_1[[#This Row],[Delta Jour]],"")&lt;0,"",IFERROR(IF(Str_TypeDonneesCpt1=Cpt_Index,Tab_Compteur_1[[#This Row],[Index]]-E8,Tab_Compteur_1[[#This Row],[Quantité]])/Tab_Compteur_1[[#This Row],[Delta Jour]],""))</f>
        <v/>
      </c>
      <c r="H9" t="str">
        <f>IFERROR(Tab_Compteur_1[[#This Row],[Montant]]/Tab_Compteur_1[[#This Row],[Delta Jour]],"")</f>
        <v/>
      </c>
      <c r="I9" s="184" t="str">
        <f>IF(SUM(Tab_Compteur_1[[#This Row],[Quantité]],Tab_Compteur_1[[#This Row],[Index]])&lt;=0,"",G9)</f>
        <v/>
      </c>
      <c r="J9" s="675"/>
      <c r="K9" s="247" t="s">
        <v>876</v>
      </c>
      <c r="L9" s="36"/>
      <c r="M9" s="36"/>
      <c r="N9" s="36"/>
      <c r="O9"/>
    </row>
    <row r="10" spans="1:15" ht="15" customHeight="1">
      <c r="A10" s="421">
        <f t="shared" si="2"/>
        <v>1</v>
      </c>
      <c r="B10" s="2"/>
      <c r="C10" s="681"/>
      <c r="D10" s="681"/>
      <c r="E10" s="519"/>
      <c r="F10">
        <f t="shared" si="1"/>
        <v>0</v>
      </c>
      <c r="G10" t="str">
        <f>IF(IFERROR(IF(Str_TypeDonneesCpt1=Cpt_Index,Tab_Compteur_1[[#This Row],[Index]]-E9,Tab_Compteur_1[[#This Row],[Quantité]])/Tab_Compteur_1[[#This Row],[Delta Jour]],"")&lt;0,"",IFERROR(IF(Str_TypeDonneesCpt1=Cpt_Index,Tab_Compteur_1[[#This Row],[Index]]-E9,Tab_Compteur_1[[#This Row],[Quantité]])/Tab_Compteur_1[[#This Row],[Delta Jour]],""))</f>
        <v/>
      </c>
      <c r="H10" t="str">
        <f>IFERROR(Tab_Compteur_1[[#This Row],[Montant]]/Tab_Compteur_1[[#This Row],[Delta Jour]],"")</f>
        <v/>
      </c>
      <c r="I10" s="184" t="str">
        <f>IF(SUM(Tab_Compteur_1[[#This Row],[Quantité]],Tab_Compteur_1[[#This Row],[Index]])&lt;=0,"",G10)</f>
        <v/>
      </c>
      <c r="J10" s="677"/>
      <c r="K10" s="192" t="s">
        <v>869</v>
      </c>
      <c r="L10" s="164" t="s">
        <v>871</v>
      </c>
      <c r="M10" s="36"/>
      <c r="N10" s="36"/>
      <c r="O10"/>
    </row>
    <row r="11" spans="1:15">
      <c r="A11" s="421">
        <f t="shared" si="2"/>
        <v>1</v>
      </c>
      <c r="B11" s="2"/>
      <c r="C11" s="681"/>
      <c r="D11" s="681"/>
      <c r="E11" s="519"/>
      <c r="F11">
        <f t="shared" si="1"/>
        <v>0</v>
      </c>
      <c r="G11" t="str">
        <f>IF(IFERROR(IF(Str_TypeDonneesCpt1=Cpt_Index,Tab_Compteur_1[[#This Row],[Index]]-E10,Tab_Compteur_1[[#This Row],[Quantité]])/Tab_Compteur_1[[#This Row],[Delta Jour]],"")&lt;0,"",IFERROR(IF(Str_TypeDonneesCpt1=Cpt_Index,Tab_Compteur_1[[#This Row],[Index]]-E10,Tab_Compteur_1[[#This Row],[Quantité]])/Tab_Compteur_1[[#This Row],[Delta Jour]],""))</f>
        <v/>
      </c>
      <c r="H11" t="str">
        <f>IFERROR(Tab_Compteur_1[[#This Row],[Montant]]/Tab_Compteur_1[[#This Row],[Delta Jour]],"")</f>
        <v/>
      </c>
      <c r="I11" s="184" t="str">
        <f>IF(SUM(Tab_Compteur_1[[#This Row],[Quantité]],Tab_Compteur_1[[#This Row],[Index]])&lt;=0,"",G11)</f>
        <v/>
      </c>
      <c r="J11" s="677"/>
      <c r="K11" s="419">
        <v>2020</v>
      </c>
      <c r="L11" s="420"/>
      <c r="M11" s="36"/>
      <c r="N11" s="36"/>
      <c r="O11"/>
    </row>
    <row r="12" spans="1:15">
      <c r="A12" s="421">
        <f t="shared" si="2"/>
        <v>1</v>
      </c>
      <c r="B12" s="2"/>
      <c r="C12" s="681"/>
      <c r="D12" s="681"/>
      <c r="E12" s="519"/>
      <c r="F12">
        <f t="shared" si="1"/>
        <v>0</v>
      </c>
      <c r="G12" t="str">
        <f>IF(IFERROR(IF(Str_TypeDonneesCpt1=Cpt_Index,Tab_Compteur_1[[#This Row],[Index]]-E11,Tab_Compteur_1[[#This Row],[Quantité]])/Tab_Compteur_1[[#This Row],[Delta Jour]],"")&lt;0,"",IFERROR(IF(Str_TypeDonneesCpt1=Cpt_Index,Tab_Compteur_1[[#This Row],[Index]]-E11,Tab_Compteur_1[[#This Row],[Quantité]])/Tab_Compteur_1[[#This Row],[Delta Jour]],""))</f>
        <v/>
      </c>
      <c r="H12" t="str">
        <f>IFERROR(Tab_Compteur_1[[#This Row],[Montant]]/Tab_Compteur_1[[#This Row],[Delta Jour]],"")</f>
        <v/>
      </c>
      <c r="I12" s="184" t="str">
        <f>IF(SUM(Tab_Compteur_1[[#This Row],[Quantité]],Tab_Compteur_1[[#This Row],[Index]])&lt;=0,"",G12)</f>
        <v/>
      </c>
      <c r="J12" s="677"/>
      <c r="K12" s="419">
        <v>2021</v>
      </c>
      <c r="L12" s="420"/>
      <c r="M12" s="36"/>
      <c r="N12" s="36"/>
      <c r="O12"/>
    </row>
    <row r="13" spans="1:15">
      <c r="A13" s="421">
        <f t="shared" si="2"/>
        <v>1</v>
      </c>
      <c r="B13" s="2"/>
      <c r="C13" s="681"/>
      <c r="D13" s="681"/>
      <c r="E13" s="519"/>
      <c r="F13">
        <f t="shared" si="1"/>
        <v>0</v>
      </c>
      <c r="G13" t="str">
        <f>IF(IFERROR(IF(Str_TypeDonneesCpt1=Cpt_Index,Tab_Compteur_1[[#This Row],[Index]]-E12,Tab_Compteur_1[[#This Row],[Quantité]])/Tab_Compteur_1[[#This Row],[Delta Jour]],"")&lt;0,"",IFERROR(IF(Str_TypeDonneesCpt1=Cpt_Index,Tab_Compteur_1[[#This Row],[Index]]-E12,Tab_Compteur_1[[#This Row],[Quantité]])/Tab_Compteur_1[[#This Row],[Delta Jour]],""))</f>
        <v/>
      </c>
      <c r="H13" t="str">
        <f>IFERROR(Tab_Compteur_1[[#This Row],[Montant]]/Tab_Compteur_1[[#This Row],[Delta Jour]],"")</f>
        <v/>
      </c>
      <c r="I13" s="184" t="str">
        <f>IF(SUM(Tab_Compteur_1[[#This Row],[Quantité]],Tab_Compteur_1[[#This Row],[Index]])&lt;=0,"",G13)</f>
        <v/>
      </c>
      <c r="J13" s="677"/>
      <c r="K13" s="419">
        <v>2022</v>
      </c>
      <c r="L13" s="420"/>
      <c r="M13" s="36"/>
      <c r="N13" s="36"/>
      <c r="O13"/>
    </row>
    <row r="14" spans="1:15">
      <c r="A14" s="421">
        <f t="shared" si="2"/>
        <v>1</v>
      </c>
      <c r="B14" s="2"/>
      <c r="C14" s="681"/>
      <c r="D14" s="681"/>
      <c r="E14" s="519"/>
      <c r="F14">
        <f t="shared" si="1"/>
        <v>0</v>
      </c>
      <c r="G14" t="str">
        <f>IF(IFERROR(IF(Str_TypeDonneesCpt1=Cpt_Index,Tab_Compteur_1[[#This Row],[Index]]-E13,Tab_Compteur_1[[#This Row],[Quantité]])/Tab_Compteur_1[[#This Row],[Delta Jour]],"")&lt;0,"",IFERROR(IF(Str_TypeDonneesCpt1=Cpt_Index,Tab_Compteur_1[[#This Row],[Index]]-E13,Tab_Compteur_1[[#This Row],[Quantité]])/Tab_Compteur_1[[#This Row],[Delta Jour]],""))</f>
        <v/>
      </c>
      <c r="H14" t="str">
        <f>IFERROR(Tab_Compteur_1[[#This Row],[Montant]]/Tab_Compteur_1[[#This Row],[Delta Jour]],"")</f>
        <v/>
      </c>
      <c r="I14" s="184" t="str">
        <f>IF(SUM(Tab_Compteur_1[[#This Row],[Quantité]],Tab_Compteur_1[[#This Row],[Index]])&lt;=0,"",G14)</f>
        <v/>
      </c>
      <c r="J14" s="677"/>
      <c r="K14" s="419">
        <v>2023</v>
      </c>
      <c r="L14" s="420"/>
      <c r="M14" s="36"/>
      <c r="N14" s="36"/>
      <c r="O14"/>
    </row>
    <row r="15" spans="1:15">
      <c r="A15" s="421">
        <f t="shared" si="2"/>
        <v>1</v>
      </c>
      <c r="B15" s="2"/>
      <c r="C15" s="536"/>
      <c r="D15" s="536"/>
      <c r="E15" s="682"/>
      <c r="F15">
        <f t="shared" si="1"/>
        <v>0</v>
      </c>
      <c r="G15" t="str">
        <f>IF(IFERROR(IF(Str_TypeDonneesCpt1=Cpt_Index,Tab_Compteur_1[[#This Row],[Index]]-E14,Tab_Compteur_1[[#This Row],[Quantité]])/Tab_Compteur_1[[#This Row],[Delta Jour]],"")&lt;0,"",IFERROR(IF(Str_TypeDonneesCpt1=Cpt_Index,Tab_Compteur_1[[#This Row],[Index]]-E14,Tab_Compteur_1[[#This Row],[Quantité]])/Tab_Compteur_1[[#This Row],[Delta Jour]],""))</f>
        <v/>
      </c>
      <c r="H15" t="str">
        <f>IFERROR(Tab_Compteur_1[[#This Row],[Montant]]/Tab_Compteur_1[[#This Row],[Delta Jour]],"")</f>
        <v/>
      </c>
      <c r="I15" s="184" t="str">
        <f>IF(SUM(Tab_Compteur_1[[#This Row],[Quantité]],Tab_Compteur_1[[#This Row],[Index]])&lt;=0,"",G15)</f>
        <v/>
      </c>
      <c r="J15" s="677"/>
      <c r="K15" s="419">
        <v>2024</v>
      </c>
      <c r="L15" s="420"/>
      <c r="M15" s="36"/>
      <c r="N15" s="36"/>
      <c r="O15"/>
    </row>
    <row r="16" spans="1:15">
      <c r="A16" s="421">
        <f t="shared" si="2"/>
        <v>1</v>
      </c>
      <c r="B16" s="2"/>
      <c r="C16" s="536"/>
      <c r="D16" s="536"/>
      <c r="E16" s="682"/>
      <c r="F16">
        <f t="shared" si="1"/>
        <v>0</v>
      </c>
      <c r="G16" t="str">
        <f>IF(IFERROR(IF(Str_TypeDonneesCpt1=Cpt_Index,Tab_Compteur_1[[#This Row],[Index]]-E15,Tab_Compteur_1[[#This Row],[Quantité]])/Tab_Compteur_1[[#This Row],[Delta Jour]],"")&lt;0,"",IFERROR(IF(Str_TypeDonneesCpt1=Cpt_Index,Tab_Compteur_1[[#This Row],[Index]]-E15,Tab_Compteur_1[[#This Row],[Quantité]])/Tab_Compteur_1[[#This Row],[Delta Jour]],""))</f>
        <v/>
      </c>
      <c r="H16" t="str">
        <f>IFERROR(Tab_Compteur_1[[#This Row],[Montant]]/Tab_Compteur_1[[#This Row],[Delta Jour]],"")</f>
        <v/>
      </c>
      <c r="I16" s="184" t="str">
        <f>IF(SUM(Tab_Compteur_1[[#This Row],[Quantité]],Tab_Compteur_1[[#This Row],[Index]])&lt;=0,"",G16)</f>
        <v/>
      </c>
      <c r="J16" s="677"/>
      <c r="K16" s="419">
        <v>2025</v>
      </c>
      <c r="L16" s="420"/>
      <c r="M16" s="36"/>
      <c r="N16" s="36"/>
      <c r="O16"/>
    </row>
    <row r="17" spans="1:15">
      <c r="A17" s="421">
        <f t="shared" si="2"/>
        <v>1</v>
      </c>
      <c r="B17" s="2"/>
      <c r="C17" s="536"/>
      <c r="D17" s="536"/>
      <c r="E17" s="682"/>
      <c r="F17">
        <f t="shared" si="1"/>
        <v>0</v>
      </c>
      <c r="G17" t="str">
        <f>IF(IFERROR(IF(Str_TypeDonneesCpt1=Cpt_Index,Tab_Compteur_1[[#This Row],[Index]]-E16,Tab_Compteur_1[[#This Row],[Quantité]])/Tab_Compteur_1[[#This Row],[Delta Jour]],"")&lt;0,"",IFERROR(IF(Str_TypeDonneesCpt1=Cpt_Index,Tab_Compteur_1[[#This Row],[Index]]-E16,Tab_Compteur_1[[#This Row],[Quantité]])/Tab_Compteur_1[[#This Row],[Delta Jour]],""))</f>
        <v/>
      </c>
      <c r="H17" t="str">
        <f>IFERROR(Tab_Compteur_1[[#This Row],[Montant]]/Tab_Compteur_1[[#This Row],[Delta Jour]],"")</f>
        <v/>
      </c>
      <c r="I17" s="184" t="str">
        <f>IF(SUM(Tab_Compteur_1[[#This Row],[Quantité]],Tab_Compteur_1[[#This Row],[Index]])&lt;=0,"",G17)</f>
        <v/>
      </c>
      <c r="J17" s="677"/>
      <c r="K17" s="419">
        <v>2026</v>
      </c>
      <c r="L17" s="420"/>
      <c r="M17" s="36"/>
      <c r="N17" s="36"/>
      <c r="O17"/>
    </row>
    <row r="18" spans="1:15">
      <c r="A18" s="421">
        <f t="shared" si="2"/>
        <v>1</v>
      </c>
      <c r="B18" s="2"/>
      <c r="C18" s="536"/>
      <c r="D18" s="536"/>
      <c r="E18" s="682"/>
      <c r="F18">
        <f t="shared" si="1"/>
        <v>0</v>
      </c>
      <c r="G18" t="str">
        <f>IF(IFERROR(IF(Str_TypeDonneesCpt1=Cpt_Index,Tab_Compteur_1[[#This Row],[Index]]-E17,Tab_Compteur_1[[#This Row],[Quantité]])/Tab_Compteur_1[[#This Row],[Delta Jour]],"")&lt;0,"",IFERROR(IF(Str_TypeDonneesCpt1=Cpt_Index,Tab_Compteur_1[[#This Row],[Index]]-E17,Tab_Compteur_1[[#This Row],[Quantité]])/Tab_Compteur_1[[#This Row],[Delta Jour]],""))</f>
        <v/>
      </c>
      <c r="H18" t="str">
        <f>IFERROR(Tab_Compteur_1[[#This Row],[Montant]]/Tab_Compteur_1[[#This Row],[Delta Jour]],"")</f>
        <v/>
      </c>
      <c r="I18" s="184" t="str">
        <f>IF(SUM(Tab_Compteur_1[[#This Row],[Quantité]],Tab_Compteur_1[[#This Row],[Index]])&lt;=0,"",G18)</f>
        <v/>
      </c>
      <c r="J18" s="677"/>
      <c r="K18" s="419">
        <v>2027</v>
      </c>
      <c r="L18" s="420"/>
      <c r="M18" s="36"/>
      <c r="N18" s="36"/>
      <c r="O18"/>
    </row>
    <row r="19" spans="1:15">
      <c r="A19" s="421">
        <f t="shared" si="2"/>
        <v>1</v>
      </c>
      <c r="B19" s="2"/>
      <c r="C19" s="536"/>
      <c r="D19" s="536"/>
      <c r="E19" s="682"/>
      <c r="F19">
        <f t="shared" si="1"/>
        <v>0</v>
      </c>
      <c r="G19" t="str">
        <f>IF(IFERROR(IF(Str_TypeDonneesCpt1=Cpt_Index,Tab_Compteur_1[[#This Row],[Index]]-E18,Tab_Compteur_1[[#This Row],[Quantité]])/Tab_Compteur_1[[#This Row],[Delta Jour]],"")&lt;0,"",IFERROR(IF(Str_TypeDonneesCpt1=Cpt_Index,Tab_Compteur_1[[#This Row],[Index]]-E18,Tab_Compteur_1[[#This Row],[Quantité]])/Tab_Compteur_1[[#This Row],[Delta Jour]],""))</f>
        <v/>
      </c>
      <c r="H19" t="str">
        <f>IFERROR(Tab_Compteur_1[[#This Row],[Montant]]/Tab_Compteur_1[[#This Row],[Delta Jour]],"")</f>
        <v/>
      </c>
      <c r="I19" s="184" t="str">
        <f>IF(SUM(Tab_Compteur_1[[#This Row],[Quantité]],Tab_Compteur_1[[#This Row],[Index]])&lt;=0,"",G19)</f>
        <v/>
      </c>
      <c r="J19" s="677"/>
      <c r="K19" s="419">
        <v>2028</v>
      </c>
      <c r="L19" s="420"/>
      <c r="M19" s="36"/>
      <c r="N19" s="36"/>
      <c r="O19"/>
    </row>
    <row r="20" spans="1:15">
      <c r="A20" s="421">
        <f t="shared" si="2"/>
        <v>1</v>
      </c>
      <c r="B20" s="2"/>
      <c r="C20" s="536"/>
      <c r="D20" s="536"/>
      <c r="E20" s="682"/>
      <c r="F20">
        <f t="shared" si="1"/>
        <v>0</v>
      </c>
      <c r="G20" t="str">
        <f>IF(IFERROR(IF(Str_TypeDonneesCpt1=Cpt_Index,Tab_Compteur_1[[#This Row],[Index]]-E19,Tab_Compteur_1[[#This Row],[Quantité]])/Tab_Compteur_1[[#This Row],[Delta Jour]],"")&lt;0,"",IFERROR(IF(Str_TypeDonneesCpt1=Cpt_Index,Tab_Compteur_1[[#This Row],[Index]]-E19,Tab_Compteur_1[[#This Row],[Quantité]])/Tab_Compteur_1[[#This Row],[Delta Jour]],""))</f>
        <v/>
      </c>
      <c r="H20" t="str">
        <f>IFERROR(Tab_Compteur_1[[#This Row],[Montant]]/Tab_Compteur_1[[#This Row],[Delta Jour]],"")</f>
        <v/>
      </c>
      <c r="I20" s="184" t="str">
        <f>IF(SUM(Tab_Compteur_1[[#This Row],[Quantité]],Tab_Compteur_1[[#This Row],[Index]])&lt;=0,"",G20)</f>
        <v/>
      </c>
      <c r="J20" s="677"/>
      <c r="K20" s="419">
        <v>2029</v>
      </c>
      <c r="L20" s="420"/>
      <c r="M20" s="36"/>
      <c r="N20" s="36"/>
      <c r="O20"/>
    </row>
    <row r="21" spans="1:15">
      <c r="A21" s="421">
        <f t="shared" si="2"/>
        <v>1</v>
      </c>
      <c r="B21" s="2"/>
      <c r="C21" s="536"/>
      <c r="D21" s="536"/>
      <c r="E21" s="682"/>
      <c r="F21">
        <f t="shared" si="1"/>
        <v>0</v>
      </c>
      <c r="G21" t="str">
        <f>IF(IFERROR(IF(Str_TypeDonneesCpt1=Cpt_Index,Tab_Compteur_1[[#This Row],[Index]]-E20,Tab_Compteur_1[[#This Row],[Quantité]])/Tab_Compteur_1[[#This Row],[Delta Jour]],"")&lt;0,"",IFERROR(IF(Str_TypeDonneesCpt1=Cpt_Index,Tab_Compteur_1[[#This Row],[Index]]-E20,Tab_Compteur_1[[#This Row],[Quantité]])/Tab_Compteur_1[[#This Row],[Delta Jour]],""))</f>
        <v/>
      </c>
      <c r="H21" t="str">
        <f>IFERROR(Tab_Compteur_1[[#This Row],[Montant]]/Tab_Compteur_1[[#This Row],[Delta Jour]],"")</f>
        <v/>
      </c>
      <c r="I21" s="184" t="str">
        <f>IF(SUM(Tab_Compteur_1[[#This Row],[Quantité]],Tab_Compteur_1[[#This Row],[Index]])&lt;=0,"",G21)</f>
        <v/>
      </c>
      <c r="J21" s="677"/>
      <c r="K21" s="419">
        <v>2030</v>
      </c>
      <c r="L21" s="420"/>
      <c r="M21" s="36"/>
      <c r="N21" s="36"/>
      <c r="O21"/>
    </row>
    <row r="22" spans="1:15">
      <c r="A22" s="421">
        <f t="shared" si="2"/>
        <v>1</v>
      </c>
      <c r="B22" s="2"/>
      <c r="C22" s="536"/>
      <c r="D22" s="536"/>
      <c r="E22" s="682"/>
      <c r="F22">
        <f t="shared" si="1"/>
        <v>0</v>
      </c>
      <c r="G22" t="str">
        <f>IF(IFERROR(IF(Str_TypeDonneesCpt1=Cpt_Index,Tab_Compteur_1[[#This Row],[Index]]-E21,Tab_Compteur_1[[#This Row],[Quantité]])/Tab_Compteur_1[[#This Row],[Delta Jour]],"")&lt;0,"",IFERROR(IF(Str_TypeDonneesCpt1=Cpt_Index,Tab_Compteur_1[[#This Row],[Index]]-E21,Tab_Compteur_1[[#This Row],[Quantité]])/Tab_Compteur_1[[#This Row],[Delta Jour]],""))</f>
        <v/>
      </c>
      <c r="H22" t="str">
        <f>IFERROR(Tab_Compteur_1[[#This Row],[Montant]]/Tab_Compteur_1[[#This Row],[Delta Jour]],"")</f>
        <v/>
      </c>
      <c r="I22" s="184" t="str">
        <f>IF(SUM(Tab_Compteur_1[[#This Row],[Quantité]],Tab_Compteur_1[[#This Row],[Index]])&lt;=0,"",G22)</f>
        <v/>
      </c>
      <c r="J22" s="677"/>
      <c r="K22" s="419">
        <v>2031</v>
      </c>
      <c r="L22" s="420"/>
      <c r="M22" s="36"/>
      <c r="N22" s="36"/>
      <c r="O22"/>
    </row>
    <row r="23" spans="1:15">
      <c r="A23" s="421">
        <f t="shared" si="2"/>
        <v>1</v>
      </c>
      <c r="B23" s="2"/>
      <c r="C23" s="536"/>
      <c r="D23" s="536"/>
      <c r="E23" s="682"/>
      <c r="F23">
        <f t="shared" si="1"/>
        <v>0</v>
      </c>
      <c r="G23" t="str">
        <f>IF(IFERROR(IF(Str_TypeDonneesCpt1=Cpt_Index,Tab_Compteur_1[[#This Row],[Index]]-E22,Tab_Compteur_1[[#This Row],[Quantité]])/Tab_Compteur_1[[#This Row],[Delta Jour]],"")&lt;0,"",IFERROR(IF(Str_TypeDonneesCpt1=Cpt_Index,Tab_Compteur_1[[#This Row],[Index]]-E22,Tab_Compteur_1[[#This Row],[Quantité]])/Tab_Compteur_1[[#This Row],[Delta Jour]],""))</f>
        <v/>
      </c>
      <c r="H23" t="str">
        <f>IFERROR(Tab_Compteur_1[[#This Row],[Montant]]/Tab_Compteur_1[[#This Row],[Delta Jour]],"")</f>
        <v/>
      </c>
      <c r="I23" s="184" t="str">
        <f>IF(SUM(Tab_Compteur_1[[#This Row],[Quantité]],Tab_Compteur_1[[#This Row],[Index]])&lt;=0,"",G23)</f>
        <v/>
      </c>
      <c r="J23" s="677"/>
      <c r="K23" s="419">
        <v>2032</v>
      </c>
      <c r="L23" s="420"/>
      <c r="M23" s="36"/>
      <c r="N23" s="36"/>
      <c r="O23"/>
    </row>
    <row r="24" spans="1:15">
      <c r="A24" s="421">
        <f t="shared" si="2"/>
        <v>1</v>
      </c>
      <c r="B24" s="2"/>
      <c r="C24" s="536"/>
      <c r="D24" s="536"/>
      <c r="E24" s="682"/>
      <c r="F24">
        <f t="shared" si="1"/>
        <v>0</v>
      </c>
      <c r="G24" t="str">
        <f>IF(IFERROR(IF(Str_TypeDonneesCpt1=Cpt_Index,Tab_Compteur_1[[#This Row],[Index]]-E23,Tab_Compteur_1[[#This Row],[Quantité]])/Tab_Compteur_1[[#This Row],[Delta Jour]],"")&lt;0,"",IFERROR(IF(Str_TypeDonneesCpt1=Cpt_Index,Tab_Compteur_1[[#This Row],[Index]]-E23,Tab_Compteur_1[[#This Row],[Quantité]])/Tab_Compteur_1[[#This Row],[Delta Jour]],""))</f>
        <v/>
      </c>
      <c r="H24" t="str">
        <f>IFERROR(Tab_Compteur_1[[#This Row],[Montant]]/Tab_Compteur_1[[#This Row],[Delta Jour]],"")</f>
        <v/>
      </c>
      <c r="I24" s="184" t="str">
        <f>IF(SUM(Tab_Compteur_1[[#This Row],[Quantité]],Tab_Compteur_1[[#This Row],[Index]])&lt;=0,"",G24)</f>
        <v/>
      </c>
      <c r="J24" s="677"/>
      <c r="K24" s="419">
        <v>2033</v>
      </c>
      <c r="L24" s="420"/>
      <c r="M24" s="36"/>
      <c r="N24" s="36"/>
      <c r="O24"/>
    </row>
    <row r="25" spans="1:15">
      <c r="A25" s="421">
        <f t="shared" si="2"/>
        <v>1</v>
      </c>
      <c r="B25" s="2"/>
      <c r="C25" s="680"/>
      <c r="D25" s="678"/>
      <c r="E25" s="519"/>
      <c r="F25">
        <f t="shared" si="1"/>
        <v>0</v>
      </c>
      <c r="G25" t="str">
        <f>IF(IFERROR(IF(Str_TypeDonneesCpt1=Cpt_Index,Tab_Compteur_1[[#This Row],[Index]]-E24,Tab_Compteur_1[[#This Row],[Quantité]])/Tab_Compteur_1[[#This Row],[Delta Jour]],"")&lt;0,"",IFERROR(IF(Str_TypeDonneesCpt1=Cpt_Index,Tab_Compteur_1[[#This Row],[Index]]-E24,Tab_Compteur_1[[#This Row],[Quantité]])/Tab_Compteur_1[[#This Row],[Delta Jour]],""))</f>
        <v/>
      </c>
      <c r="H25" t="str">
        <f>IFERROR(Tab_Compteur_1[[#This Row],[Montant]]/Tab_Compteur_1[[#This Row],[Delta Jour]],"")</f>
        <v/>
      </c>
      <c r="I25" s="184" t="str">
        <f>IF(SUM(Tab_Compteur_1[[#This Row],[Quantité]],Tab_Compteur_1[[#This Row],[Index]])&lt;=0,"",G25)</f>
        <v/>
      </c>
      <c r="J25" s="675"/>
      <c r="K25" s="419">
        <v>2034</v>
      </c>
      <c r="L25" s="420"/>
      <c r="M25" s="36"/>
      <c r="N25" s="36"/>
      <c r="O25"/>
    </row>
    <row r="26" spans="1:15">
      <c r="A26" s="421">
        <f t="shared" si="2"/>
        <v>1</v>
      </c>
      <c r="B26" s="2"/>
      <c r="C26" s="536"/>
      <c r="D26" s="536"/>
      <c r="E26" s="519"/>
      <c r="F26">
        <f t="shared" si="1"/>
        <v>0</v>
      </c>
      <c r="G26" t="str">
        <f>IF(IFERROR(IF(Str_TypeDonneesCpt1=Cpt_Index,Tab_Compteur_1[[#This Row],[Index]]-E25,Tab_Compteur_1[[#This Row],[Quantité]])/Tab_Compteur_1[[#This Row],[Delta Jour]],"")&lt;0,"",IFERROR(IF(Str_TypeDonneesCpt1=Cpt_Index,Tab_Compteur_1[[#This Row],[Index]]-E25,Tab_Compteur_1[[#This Row],[Quantité]])/Tab_Compteur_1[[#This Row],[Delta Jour]],""))</f>
        <v/>
      </c>
      <c r="H26" t="str">
        <f>IFERROR(Tab_Compteur_1[[#This Row],[Montant]]/Tab_Compteur_1[[#This Row],[Delta Jour]],"")</f>
        <v/>
      </c>
      <c r="I26" s="184" t="str">
        <f>IF(SUM(Tab_Compteur_1[[#This Row],[Quantité]],Tab_Compteur_1[[#This Row],[Index]])&lt;=0,"",G26)</f>
        <v/>
      </c>
      <c r="J26" s="675"/>
      <c r="K26" s="419">
        <v>2035</v>
      </c>
      <c r="L26" s="420"/>
      <c r="M26" s="36"/>
      <c r="N26" s="36"/>
      <c r="O26"/>
    </row>
    <row r="27" spans="1:15">
      <c r="A27" s="421">
        <f t="shared" si="2"/>
        <v>1</v>
      </c>
      <c r="B27" s="2"/>
      <c r="C27" s="536"/>
      <c r="D27" s="536"/>
      <c r="E27" s="519"/>
      <c r="F27">
        <f t="shared" si="1"/>
        <v>0</v>
      </c>
      <c r="G27" t="str">
        <f>IF(IFERROR(IF(Str_TypeDonneesCpt1=Cpt_Index,Tab_Compteur_1[[#This Row],[Index]]-E26,Tab_Compteur_1[[#This Row],[Quantité]])/Tab_Compteur_1[[#This Row],[Delta Jour]],"")&lt;0,"",IFERROR(IF(Str_TypeDonneesCpt1=Cpt_Index,Tab_Compteur_1[[#This Row],[Index]]-E26,Tab_Compteur_1[[#This Row],[Quantité]])/Tab_Compteur_1[[#This Row],[Delta Jour]],""))</f>
        <v/>
      </c>
      <c r="H27" t="str">
        <f>IFERROR(Tab_Compteur_1[[#This Row],[Montant]]/Tab_Compteur_1[[#This Row],[Delta Jour]],"")</f>
        <v/>
      </c>
      <c r="I27" s="184" t="str">
        <f>IF(SUM(Tab_Compteur_1[[#This Row],[Quantité]],Tab_Compteur_1[[#This Row],[Index]])&lt;=0,"",G27)</f>
        <v/>
      </c>
      <c r="J27" s="675"/>
      <c r="K27" s="419">
        <v>2036</v>
      </c>
      <c r="L27" s="420"/>
      <c r="M27" s="36"/>
      <c r="N27" s="36"/>
      <c r="O27"/>
    </row>
    <row r="28" spans="1:15">
      <c r="A28" s="421">
        <f t="shared" si="2"/>
        <v>1</v>
      </c>
      <c r="B28" s="2"/>
      <c r="C28" s="536"/>
      <c r="D28" s="536"/>
      <c r="E28" s="519"/>
      <c r="F28">
        <f t="shared" si="1"/>
        <v>0</v>
      </c>
      <c r="G28" t="str">
        <f>IF(IFERROR(IF(Str_TypeDonneesCpt1=Cpt_Index,Tab_Compteur_1[[#This Row],[Index]]-E27,Tab_Compteur_1[[#This Row],[Quantité]])/Tab_Compteur_1[[#This Row],[Delta Jour]],"")&lt;0,"",IFERROR(IF(Str_TypeDonneesCpt1=Cpt_Index,Tab_Compteur_1[[#This Row],[Index]]-E27,Tab_Compteur_1[[#This Row],[Quantité]])/Tab_Compteur_1[[#This Row],[Delta Jour]],""))</f>
        <v/>
      </c>
      <c r="H28" t="str">
        <f>IFERROR(Tab_Compteur_1[[#This Row],[Montant]]/Tab_Compteur_1[[#This Row],[Delta Jour]],"")</f>
        <v/>
      </c>
      <c r="I28" s="184" t="str">
        <f>IF(SUM(Tab_Compteur_1[[#This Row],[Quantité]],Tab_Compteur_1[[#This Row],[Index]])&lt;=0,"",G28)</f>
        <v/>
      </c>
      <c r="J28" s="677"/>
      <c r="K28" s="419">
        <v>2037</v>
      </c>
      <c r="L28" s="420"/>
      <c r="M28" s="36"/>
      <c r="N28" s="36"/>
      <c r="O28"/>
    </row>
    <row r="29" spans="1:15">
      <c r="A29" s="421">
        <f t="shared" si="2"/>
        <v>1</v>
      </c>
      <c r="B29" s="2"/>
      <c r="C29" s="536"/>
      <c r="D29" s="536"/>
      <c r="E29" s="519"/>
      <c r="F29">
        <f t="shared" si="1"/>
        <v>0</v>
      </c>
      <c r="G29" t="str">
        <f>IF(IFERROR(IF(Str_TypeDonneesCpt1=Cpt_Index,Tab_Compteur_1[[#This Row],[Index]]-E28,Tab_Compteur_1[[#This Row],[Quantité]])/Tab_Compteur_1[[#This Row],[Delta Jour]],"")&lt;0,"",IFERROR(IF(Str_TypeDonneesCpt1=Cpt_Index,Tab_Compteur_1[[#This Row],[Index]]-E28,Tab_Compteur_1[[#This Row],[Quantité]])/Tab_Compteur_1[[#This Row],[Delta Jour]],""))</f>
        <v/>
      </c>
      <c r="H29" t="str">
        <f>IFERROR(Tab_Compteur_1[[#This Row],[Montant]]/Tab_Compteur_1[[#This Row],[Delta Jour]],"")</f>
        <v/>
      </c>
      <c r="I29" s="184" t="str">
        <f>IF(SUM(Tab_Compteur_1[[#This Row],[Quantité]],Tab_Compteur_1[[#This Row],[Index]])&lt;=0,"",G29)</f>
        <v/>
      </c>
      <c r="J29" s="677"/>
      <c r="K29" s="419">
        <v>2038</v>
      </c>
      <c r="L29" s="420"/>
      <c r="M29" s="36"/>
      <c r="N29" s="36"/>
      <c r="O29"/>
    </row>
    <row r="30" spans="1:15">
      <c r="A30" s="421">
        <f t="shared" si="2"/>
        <v>1</v>
      </c>
      <c r="B30" s="2"/>
      <c r="C30" s="536"/>
      <c r="D30" s="536"/>
      <c r="E30" s="519"/>
      <c r="F30">
        <f t="shared" si="1"/>
        <v>0</v>
      </c>
      <c r="G30" t="str">
        <f>IF(IFERROR(IF(Str_TypeDonneesCpt1=Cpt_Index,Tab_Compteur_1[[#This Row],[Index]]-E29,Tab_Compteur_1[[#This Row],[Quantité]])/Tab_Compteur_1[[#This Row],[Delta Jour]],"")&lt;0,"",IFERROR(IF(Str_TypeDonneesCpt1=Cpt_Index,Tab_Compteur_1[[#This Row],[Index]]-E29,Tab_Compteur_1[[#This Row],[Quantité]])/Tab_Compteur_1[[#This Row],[Delta Jour]],""))</f>
        <v/>
      </c>
      <c r="H30" t="str">
        <f>IFERROR(Tab_Compteur_1[[#This Row],[Montant]]/Tab_Compteur_1[[#This Row],[Delta Jour]],"")</f>
        <v/>
      </c>
      <c r="I30" s="184" t="str">
        <f>IF(SUM(Tab_Compteur_1[[#This Row],[Quantité]],Tab_Compteur_1[[#This Row],[Index]])&lt;=0,"",G30)</f>
        <v/>
      </c>
      <c r="J30" s="675"/>
      <c r="K30" s="419">
        <v>2039</v>
      </c>
      <c r="L30" s="420"/>
      <c r="M30" s="36"/>
      <c r="N30" s="36"/>
      <c r="O30"/>
    </row>
    <row r="31" spans="1:15">
      <c r="A31" s="421">
        <f t="shared" si="2"/>
        <v>1</v>
      </c>
      <c r="B31" s="2"/>
      <c r="C31" s="536"/>
      <c r="D31" s="536"/>
      <c r="E31" s="519"/>
      <c r="F31">
        <f t="shared" si="1"/>
        <v>0</v>
      </c>
      <c r="G31" t="str">
        <f>IF(IFERROR(IF(Str_TypeDonneesCpt1=Cpt_Index,Tab_Compteur_1[[#This Row],[Index]]-E30,Tab_Compteur_1[[#This Row],[Quantité]])/Tab_Compteur_1[[#This Row],[Delta Jour]],"")&lt;0,"",IFERROR(IF(Str_TypeDonneesCpt1=Cpt_Index,Tab_Compteur_1[[#This Row],[Index]]-E30,Tab_Compteur_1[[#This Row],[Quantité]])/Tab_Compteur_1[[#This Row],[Delta Jour]],""))</f>
        <v/>
      </c>
      <c r="H31" t="str">
        <f>IFERROR(Tab_Compteur_1[[#This Row],[Montant]]/Tab_Compteur_1[[#This Row],[Delta Jour]],"")</f>
        <v/>
      </c>
      <c r="I31" s="184" t="str">
        <f>IF(SUM(Tab_Compteur_1[[#This Row],[Quantité]],Tab_Compteur_1[[#This Row],[Index]])&lt;=0,"",G31)</f>
        <v/>
      </c>
      <c r="J31" s="675"/>
      <c r="K31" s="419">
        <v>2040</v>
      </c>
      <c r="L31" s="420"/>
      <c r="M31" s="36"/>
      <c r="N31" s="36"/>
      <c r="O31"/>
    </row>
    <row r="32" spans="1:15">
      <c r="A32" s="421">
        <f t="shared" si="2"/>
        <v>1</v>
      </c>
      <c r="B32" s="2"/>
      <c r="C32" s="536"/>
      <c r="D32" s="536"/>
      <c r="E32" s="519"/>
      <c r="F32">
        <f t="shared" si="1"/>
        <v>0</v>
      </c>
      <c r="G32" t="str">
        <f>IF(IFERROR(IF(Str_TypeDonneesCpt1=Cpt_Index,Tab_Compteur_1[[#This Row],[Index]]-E31,Tab_Compteur_1[[#This Row],[Quantité]])/Tab_Compteur_1[[#This Row],[Delta Jour]],"")&lt;0,"",IFERROR(IF(Str_TypeDonneesCpt1=Cpt_Index,Tab_Compteur_1[[#This Row],[Index]]-E31,Tab_Compteur_1[[#This Row],[Quantité]])/Tab_Compteur_1[[#This Row],[Delta Jour]],""))</f>
        <v/>
      </c>
      <c r="H32" t="str">
        <f>IFERROR(Tab_Compteur_1[[#This Row],[Montant]]/Tab_Compteur_1[[#This Row],[Delta Jour]],"")</f>
        <v/>
      </c>
      <c r="I32" s="184" t="str">
        <f>IF(SUM(Tab_Compteur_1[[#This Row],[Quantité]],Tab_Compteur_1[[#This Row],[Index]])&lt;=0,"",G32)</f>
        <v/>
      </c>
      <c r="J32" s="675"/>
      <c r="K32" s="36"/>
      <c r="L32" s="36"/>
      <c r="M32" s="36"/>
      <c r="N32" s="36"/>
      <c r="O32"/>
    </row>
    <row r="33" spans="1:15">
      <c r="A33" s="421">
        <f t="shared" si="2"/>
        <v>1</v>
      </c>
      <c r="B33" s="2"/>
      <c r="C33" s="536"/>
      <c r="D33" s="536"/>
      <c r="E33" s="519"/>
      <c r="F33">
        <f t="shared" si="1"/>
        <v>0</v>
      </c>
      <c r="G33" t="str">
        <f>IF(IFERROR(IF(Str_TypeDonneesCpt1=Cpt_Index,Tab_Compteur_1[[#This Row],[Index]]-E32,Tab_Compteur_1[[#This Row],[Quantité]])/Tab_Compteur_1[[#This Row],[Delta Jour]],"")&lt;0,"",IFERROR(IF(Str_TypeDonneesCpt1=Cpt_Index,Tab_Compteur_1[[#This Row],[Index]]-E32,Tab_Compteur_1[[#This Row],[Quantité]])/Tab_Compteur_1[[#This Row],[Delta Jour]],""))</f>
        <v/>
      </c>
      <c r="H33" t="str">
        <f>IFERROR(Tab_Compteur_1[[#This Row],[Montant]]/Tab_Compteur_1[[#This Row],[Delta Jour]],"")</f>
        <v/>
      </c>
      <c r="I33" s="184" t="str">
        <f>IF(SUM(Tab_Compteur_1[[#This Row],[Quantité]],Tab_Compteur_1[[#This Row],[Index]])&lt;=0,"",G33)</f>
        <v/>
      </c>
      <c r="J33" s="675"/>
      <c r="K33" s="36"/>
      <c r="L33" s="36"/>
      <c r="M33" s="36"/>
      <c r="N33" s="36"/>
      <c r="O33"/>
    </row>
    <row r="34" spans="1:15">
      <c r="A34" s="421">
        <f t="shared" si="2"/>
        <v>1</v>
      </c>
      <c r="B34" s="2"/>
      <c r="C34" s="536"/>
      <c r="D34" s="536"/>
      <c r="E34" s="519"/>
      <c r="F34">
        <f t="shared" si="1"/>
        <v>0</v>
      </c>
      <c r="G34" t="str">
        <f>IF(IFERROR(IF(Str_TypeDonneesCpt1=Cpt_Index,Tab_Compteur_1[[#This Row],[Index]]-E33,Tab_Compteur_1[[#This Row],[Quantité]])/Tab_Compteur_1[[#This Row],[Delta Jour]],"")&lt;0,"",IFERROR(IF(Str_TypeDonneesCpt1=Cpt_Index,Tab_Compteur_1[[#This Row],[Index]]-E33,Tab_Compteur_1[[#This Row],[Quantité]])/Tab_Compteur_1[[#This Row],[Delta Jour]],""))</f>
        <v/>
      </c>
      <c r="H34" t="str">
        <f>IFERROR(Tab_Compteur_1[[#This Row],[Montant]]/Tab_Compteur_1[[#This Row],[Delta Jour]],"")</f>
        <v/>
      </c>
      <c r="I34" s="184" t="str">
        <f>IF(SUM(Tab_Compteur_1[[#This Row],[Quantité]],Tab_Compteur_1[[#This Row],[Index]])&lt;=0,"",G34)</f>
        <v/>
      </c>
      <c r="J34" s="675"/>
      <c r="K34" s="823" t="s">
        <v>437</v>
      </c>
      <c r="L34" s="823"/>
      <c r="M34" s="823"/>
      <c r="N34" s="36"/>
      <c r="O34"/>
    </row>
    <row r="35" spans="1:15">
      <c r="A35" s="421">
        <f t="shared" si="2"/>
        <v>1</v>
      </c>
      <c r="B35" s="2"/>
      <c r="C35" s="536"/>
      <c r="D35" s="536"/>
      <c r="E35" s="519"/>
      <c r="F35">
        <f t="shared" si="1"/>
        <v>0</v>
      </c>
      <c r="G35" t="str">
        <f>IF(IFERROR(IF(Str_TypeDonneesCpt1=Cpt_Index,Tab_Compteur_1[[#This Row],[Index]]-E34,Tab_Compteur_1[[#This Row],[Quantité]])/Tab_Compteur_1[[#This Row],[Delta Jour]],"")&lt;0,"",IFERROR(IF(Str_TypeDonneesCpt1=Cpt_Index,Tab_Compteur_1[[#This Row],[Index]]-E34,Tab_Compteur_1[[#This Row],[Quantité]])/Tab_Compteur_1[[#This Row],[Delta Jour]],""))</f>
        <v/>
      </c>
      <c r="H35" t="str">
        <f>IFERROR(Tab_Compteur_1[[#This Row],[Montant]]/Tab_Compteur_1[[#This Row],[Delta Jour]],"")</f>
        <v/>
      </c>
      <c r="I35" s="184" t="str">
        <f>IF(SUM(Tab_Compteur_1[[#This Row],[Quantité]],Tab_Compteur_1[[#This Row],[Index]])&lt;=0,"",G35)</f>
        <v/>
      </c>
      <c r="J35" s="675"/>
      <c r="K35" s="823"/>
      <c r="L35" s="823"/>
      <c r="M35" s="823"/>
      <c r="N35" s="36"/>
      <c r="O35"/>
    </row>
    <row r="36" spans="1:15">
      <c r="A36" s="421">
        <f t="shared" si="2"/>
        <v>1</v>
      </c>
      <c r="B36" s="2"/>
      <c r="C36" s="536"/>
      <c r="D36" s="536"/>
      <c r="E36" s="519"/>
      <c r="F36">
        <f t="shared" si="1"/>
        <v>0</v>
      </c>
      <c r="G36" t="str">
        <f>IF(IFERROR(IF(Str_TypeDonneesCpt1=Cpt_Index,Tab_Compteur_1[[#This Row],[Index]]-E35,Tab_Compteur_1[[#This Row],[Quantité]])/Tab_Compteur_1[[#This Row],[Delta Jour]],"")&lt;0,"",IFERROR(IF(Str_TypeDonneesCpt1=Cpt_Index,Tab_Compteur_1[[#This Row],[Index]]-E35,Tab_Compteur_1[[#This Row],[Quantité]])/Tab_Compteur_1[[#This Row],[Delta Jour]],""))</f>
        <v/>
      </c>
      <c r="H36" t="str">
        <f>IFERROR(Tab_Compteur_1[[#This Row],[Montant]]/Tab_Compteur_1[[#This Row],[Delta Jour]],"")</f>
        <v/>
      </c>
      <c r="I36" s="184" t="str">
        <f>IF(SUM(Tab_Compteur_1[[#This Row],[Quantité]],Tab_Compteur_1[[#This Row],[Index]])&lt;=0,"",G36)</f>
        <v/>
      </c>
      <c r="J36" s="675"/>
      <c r="K36" s="823"/>
      <c r="L36" s="823"/>
      <c r="M36" s="823"/>
      <c r="N36" s="36"/>
      <c r="O36"/>
    </row>
    <row r="37" spans="1:15">
      <c r="A37" s="421">
        <f t="shared" si="2"/>
        <v>1</v>
      </c>
      <c r="B37" s="2"/>
      <c r="C37" s="536"/>
      <c r="D37" s="678"/>
      <c r="E37" s="519"/>
      <c r="F37">
        <f t="shared" si="1"/>
        <v>0</v>
      </c>
      <c r="G37" t="str">
        <f>IF(IFERROR(IF(Str_TypeDonneesCpt1=Cpt_Index,Tab_Compteur_1[[#This Row],[Index]]-E36,Tab_Compteur_1[[#This Row],[Quantité]])/Tab_Compteur_1[[#This Row],[Delta Jour]],"")&lt;0,"",IFERROR(IF(Str_TypeDonneesCpt1=Cpt_Index,Tab_Compteur_1[[#This Row],[Index]]-E36,Tab_Compteur_1[[#This Row],[Quantité]])/Tab_Compteur_1[[#This Row],[Delta Jour]],""))</f>
        <v/>
      </c>
      <c r="H37" t="str">
        <f>IFERROR(Tab_Compteur_1[[#This Row],[Montant]]/Tab_Compteur_1[[#This Row],[Delta Jour]],"")</f>
        <v/>
      </c>
      <c r="I37" s="184" t="str">
        <f>IF(SUM(Tab_Compteur_1[[#This Row],[Quantité]],Tab_Compteur_1[[#This Row],[Index]])&lt;=0,"",G37)</f>
        <v/>
      </c>
      <c r="J37" s="675"/>
      <c r="K37" s="823"/>
      <c r="L37" s="823"/>
      <c r="M37" s="823"/>
      <c r="N37" s="36"/>
      <c r="O37"/>
    </row>
    <row r="38" spans="1:15">
      <c r="A38" s="421">
        <f t="shared" si="2"/>
        <v>1</v>
      </c>
      <c r="B38" s="2"/>
      <c r="C38" s="536"/>
      <c r="D38" s="536"/>
      <c r="E38" s="519"/>
      <c r="F38">
        <f t="shared" si="1"/>
        <v>0</v>
      </c>
      <c r="G38" t="str">
        <f>IF(IFERROR(IF(Str_TypeDonneesCpt1=Cpt_Index,Tab_Compteur_1[[#This Row],[Index]]-E37,Tab_Compteur_1[[#This Row],[Quantité]])/Tab_Compteur_1[[#This Row],[Delta Jour]],"")&lt;0,"",IFERROR(IF(Str_TypeDonneesCpt1=Cpt_Index,Tab_Compteur_1[[#This Row],[Index]]-E37,Tab_Compteur_1[[#This Row],[Quantité]])/Tab_Compteur_1[[#This Row],[Delta Jour]],""))</f>
        <v/>
      </c>
      <c r="H38" t="str">
        <f>IFERROR(Tab_Compteur_1[[#This Row],[Montant]]/Tab_Compteur_1[[#This Row],[Delta Jour]],"")</f>
        <v/>
      </c>
      <c r="I38" s="184" t="str">
        <f>IF(SUM(Tab_Compteur_1[[#This Row],[Quantité]],Tab_Compteur_1[[#This Row],[Index]])&lt;=0,"",G38)</f>
        <v/>
      </c>
      <c r="J38" s="675"/>
      <c r="K38" s="823"/>
      <c r="L38" s="823"/>
      <c r="M38" s="823"/>
      <c r="N38" s="36"/>
      <c r="O38"/>
    </row>
    <row r="39" spans="1:15">
      <c r="A39" s="421">
        <f t="shared" si="2"/>
        <v>1</v>
      </c>
      <c r="B39" s="2"/>
      <c r="C39" s="536"/>
      <c r="D39" s="536"/>
      <c r="E39" s="519"/>
      <c r="F39">
        <f t="shared" si="1"/>
        <v>0</v>
      </c>
      <c r="G39" t="str">
        <f>IF(IFERROR(IF(Str_TypeDonneesCpt1=Cpt_Index,Tab_Compteur_1[[#This Row],[Index]]-E38,Tab_Compteur_1[[#This Row],[Quantité]])/Tab_Compteur_1[[#This Row],[Delta Jour]],"")&lt;0,"",IFERROR(IF(Str_TypeDonneesCpt1=Cpt_Index,Tab_Compteur_1[[#This Row],[Index]]-E38,Tab_Compteur_1[[#This Row],[Quantité]])/Tab_Compteur_1[[#This Row],[Delta Jour]],""))</f>
        <v/>
      </c>
      <c r="H39" t="str">
        <f>IFERROR(Tab_Compteur_1[[#This Row],[Montant]]/Tab_Compteur_1[[#This Row],[Delta Jour]],"")</f>
        <v/>
      </c>
      <c r="I39" s="184" t="str">
        <f>IF(SUM(Tab_Compteur_1[[#This Row],[Quantité]],Tab_Compteur_1[[#This Row],[Index]])&lt;=0,"",G39)</f>
        <v/>
      </c>
      <c r="J39" s="675"/>
      <c r="K39" s="823"/>
      <c r="L39" s="823"/>
      <c r="M39" s="823"/>
      <c r="N39" s="36"/>
      <c r="O39"/>
    </row>
    <row r="40" spans="1:15">
      <c r="A40" s="421">
        <f t="shared" si="2"/>
        <v>1</v>
      </c>
      <c r="B40" s="2"/>
      <c r="C40" s="536"/>
      <c r="D40" s="536"/>
      <c r="E40" s="519"/>
      <c r="F40">
        <f t="shared" si="1"/>
        <v>0</v>
      </c>
      <c r="G40" t="str">
        <f>IF(IFERROR(IF(Str_TypeDonneesCpt1=Cpt_Index,Tab_Compteur_1[[#This Row],[Index]]-E39,Tab_Compteur_1[[#This Row],[Quantité]])/Tab_Compteur_1[[#This Row],[Delta Jour]],"")&lt;0,"",IFERROR(IF(Str_TypeDonneesCpt1=Cpt_Index,Tab_Compteur_1[[#This Row],[Index]]-E39,Tab_Compteur_1[[#This Row],[Quantité]])/Tab_Compteur_1[[#This Row],[Delta Jour]],""))</f>
        <v/>
      </c>
      <c r="H40" t="str">
        <f>IFERROR(Tab_Compteur_1[[#This Row],[Montant]]/Tab_Compteur_1[[#This Row],[Delta Jour]],"")</f>
        <v/>
      </c>
      <c r="I40" s="184" t="str">
        <f>IF(SUM(Tab_Compteur_1[[#This Row],[Quantité]],Tab_Compteur_1[[#This Row],[Index]])&lt;=0,"",G40)</f>
        <v/>
      </c>
      <c r="J40" s="675"/>
      <c r="K40" s="823"/>
      <c r="L40" s="823"/>
      <c r="M40" s="823"/>
      <c r="N40" s="36"/>
      <c r="O40"/>
    </row>
    <row r="41" spans="1:15">
      <c r="A41" s="421">
        <f t="shared" si="2"/>
        <v>1</v>
      </c>
      <c r="B41" s="2"/>
      <c r="C41" s="536"/>
      <c r="D41" s="536"/>
      <c r="E41" s="519"/>
      <c r="F41">
        <f t="shared" si="1"/>
        <v>0</v>
      </c>
      <c r="G41" t="str">
        <f>IF(IFERROR(IF(Str_TypeDonneesCpt1=Cpt_Index,Tab_Compteur_1[[#This Row],[Index]]-E40,Tab_Compteur_1[[#This Row],[Quantité]])/Tab_Compteur_1[[#This Row],[Delta Jour]],"")&lt;0,"",IFERROR(IF(Str_TypeDonneesCpt1=Cpt_Index,Tab_Compteur_1[[#This Row],[Index]]-E40,Tab_Compteur_1[[#This Row],[Quantité]])/Tab_Compteur_1[[#This Row],[Delta Jour]],""))</f>
        <v/>
      </c>
      <c r="H41" t="str">
        <f>IFERROR(Tab_Compteur_1[[#This Row],[Montant]]/Tab_Compteur_1[[#This Row],[Delta Jour]],"")</f>
        <v/>
      </c>
      <c r="I41" s="184" t="str">
        <f>IF(SUM(Tab_Compteur_1[[#This Row],[Quantité]],Tab_Compteur_1[[#This Row],[Index]])&lt;=0,"",G41)</f>
        <v/>
      </c>
      <c r="J41" s="675"/>
      <c r="K41" s="823"/>
      <c r="L41" s="823"/>
      <c r="M41" s="823"/>
      <c r="N41" s="36"/>
      <c r="O41"/>
    </row>
    <row r="42" spans="1:15">
      <c r="A42" s="421">
        <f t="shared" si="2"/>
        <v>1</v>
      </c>
      <c r="B42" s="2"/>
      <c r="C42" s="536"/>
      <c r="D42" s="536"/>
      <c r="E42" s="519"/>
      <c r="F42">
        <f t="shared" si="1"/>
        <v>0</v>
      </c>
      <c r="G42" t="str">
        <f>IF(IFERROR(IF(Str_TypeDonneesCpt1=Cpt_Index,Tab_Compteur_1[[#This Row],[Index]]-E41,Tab_Compteur_1[[#This Row],[Quantité]])/Tab_Compteur_1[[#This Row],[Delta Jour]],"")&lt;0,"",IFERROR(IF(Str_TypeDonneesCpt1=Cpt_Index,Tab_Compteur_1[[#This Row],[Index]]-E41,Tab_Compteur_1[[#This Row],[Quantité]])/Tab_Compteur_1[[#This Row],[Delta Jour]],""))</f>
        <v/>
      </c>
      <c r="H42" t="str">
        <f>IFERROR(Tab_Compteur_1[[#This Row],[Montant]]/Tab_Compteur_1[[#This Row],[Delta Jour]],"")</f>
        <v/>
      </c>
      <c r="I42" s="184" t="str">
        <f>IF(SUM(Tab_Compteur_1[[#This Row],[Quantité]],Tab_Compteur_1[[#This Row],[Index]])&lt;=0,"",G42)</f>
        <v/>
      </c>
      <c r="J42" s="675"/>
      <c r="K42" s="823"/>
      <c r="L42" s="823"/>
      <c r="M42" s="823"/>
      <c r="N42" s="36"/>
      <c r="O42"/>
    </row>
    <row r="43" spans="1:15">
      <c r="A43" s="421">
        <f t="shared" si="2"/>
        <v>1</v>
      </c>
      <c r="B43" s="2"/>
      <c r="C43" s="536"/>
      <c r="D43" s="536"/>
      <c r="E43" s="519"/>
      <c r="F43">
        <f t="shared" si="1"/>
        <v>0</v>
      </c>
      <c r="G43" t="str">
        <f>IF(IFERROR(IF(Str_TypeDonneesCpt1=Cpt_Index,Tab_Compteur_1[[#This Row],[Index]]-E42,Tab_Compteur_1[[#This Row],[Quantité]])/Tab_Compteur_1[[#This Row],[Delta Jour]],"")&lt;0,"",IFERROR(IF(Str_TypeDonneesCpt1=Cpt_Index,Tab_Compteur_1[[#This Row],[Index]]-E42,Tab_Compteur_1[[#This Row],[Quantité]])/Tab_Compteur_1[[#This Row],[Delta Jour]],""))</f>
        <v/>
      </c>
      <c r="H43" t="str">
        <f>IFERROR(Tab_Compteur_1[[#This Row],[Montant]]/Tab_Compteur_1[[#This Row],[Delta Jour]],"")</f>
        <v/>
      </c>
      <c r="I43" s="184" t="str">
        <f>IF(SUM(Tab_Compteur_1[[#This Row],[Quantité]],Tab_Compteur_1[[#This Row],[Index]])&lt;=0,"",G43)</f>
        <v/>
      </c>
      <c r="J43" s="675"/>
      <c r="K43" s="823"/>
      <c r="L43" s="823"/>
      <c r="M43" s="823"/>
      <c r="N43" s="36"/>
      <c r="O43"/>
    </row>
    <row r="44" spans="1:15">
      <c r="A44" s="421">
        <f t="shared" si="2"/>
        <v>1</v>
      </c>
      <c r="B44" s="2"/>
      <c r="C44" s="536"/>
      <c r="D44" s="536"/>
      <c r="E44" s="519"/>
      <c r="F44">
        <f t="shared" si="1"/>
        <v>0</v>
      </c>
      <c r="G44" t="str">
        <f>IF(IFERROR(IF(Str_TypeDonneesCpt1=Cpt_Index,Tab_Compteur_1[[#This Row],[Index]]-E43,Tab_Compteur_1[[#This Row],[Quantité]])/Tab_Compteur_1[[#This Row],[Delta Jour]],"")&lt;0,"",IFERROR(IF(Str_TypeDonneesCpt1=Cpt_Index,Tab_Compteur_1[[#This Row],[Index]]-E43,Tab_Compteur_1[[#This Row],[Quantité]])/Tab_Compteur_1[[#This Row],[Delta Jour]],""))</f>
        <v/>
      </c>
      <c r="H44" t="str">
        <f>IFERROR(Tab_Compteur_1[[#This Row],[Montant]]/Tab_Compteur_1[[#This Row],[Delta Jour]],"")</f>
        <v/>
      </c>
      <c r="I44" s="184" t="str">
        <f>IF(SUM(Tab_Compteur_1[[#This Row],[Quantité]],Tab_Compteur_1[[#This Row],[Index]])&lt;=0,"",G44)</f>
        <v/>
      </c>
      <c r="J44" s="675"/>
      <c r="K44" s="823"/>
      <c r="L44" s="823"/>
      <c r="M44" s="823"/>
      <c r="N44" s="36"/>
      <c r="O44"/>
    </row>
    <row r="45" spans="1:15">
      <c r="A45" s="421">
        <f t="shared" si="2"/>
        <v>1</v>
      </c>
      <c r="B45" s="2"/>
      <c r="C45" s="536"/>
      <c r="D45" s="536"/>
      <c r="E45" s="519"/>
      <c r="F45">
        <f t="shared" si="1"/>
        <v>0</v>
      </c>
      <c r="G45" t="str">
        <f>IF(IFERROR(IF(Str_TypeDonneesCpt1=Cpt_Index,Tab_Compteur_1[[#This Row],[Index]]-E44,Tab_Compteur_1[[#This Row],[Quantité]])/Tab_Compteur_1[[#This Row],[Delta Jour]],"")&lt;0,"",IFERROR(IF(Str_TypeDonneesCpt1=Cpt_Index,Tab_Compteur_1[[#This Row],[Index]]-E44,Tab_Compteur_1[[#This Row],[Quantité]])/Tab_Compteur_1[[#This Row],[Delta Jour]],""))</f>
        <v/>
      </c>
      <c r="H45" t="str">
        <f>IFERROR(Tab_Compteur_1[[#This Row],[Montant]]/Tab_Compteur_1[[#This Row],[Delta Jour]],"")</f>
        <v/>
      </c>
      <c r="I45" s="184" t="str">
        <f>IF(SUM(Tab_Compteur_1[[#This Row],[Quantité]],Tab_Compteur_1[[#This Row],[Index]])&lt;=0,"",G45)</f>
        <v/>
      </c>
      <c r="J45" s="675"/>
      <c r="K45" s="823"/>
      <c r="L45" s="823"/>
      <c r="M45" s="823"/>
      <c r="N45" s="36"/>
      <c r="O45"/>
    </row>
    <row r="46" spans="1:15">
      <c r="A46" s="421">
        <f t="shared" si="2"/>
        <v>1</v>
      </c>
      <c r="B46" s="2"/>
      <c r="C46" s="536"/>
      <c r="D46" s="536"/>
      <c r="E46" s="519"/>
      <c r="F46">
        <f t="shared" si="1"/>
        <v>0</v>
      </c>
      <c r="G46" t="str">
        <f>IF(IFERROR(IF(Str_TypeDonneesCpt1=Cpt_Index,Tab_Compteur_1[[#This Row],[Index]]-E45,Tab_Compteur_1[[#This Row],[Quantité]])/Tab_Compteur_1[[#This Row],[Delta Jour]],"")&lt;0,"",IFERROR(IF(Str_TypeDonneesCpt1=Cpt_Index,Tab_Compteur_1[[#This Row],[Index]]-E45,Tab_Compteur_1[[#This Row],[Quantité]])/Tab_Compteur_1[[#This Row],[Delta Jour]],""))</f>
        <v/>
      </c>
      <c r="H46" t="str">
        <f>IFERROR(Tab_Compteur_1[[#This Row],[Montant]]/Tab_Compteur_1[[#This Row],[Delta Jour]],"")</f>
        <v/>
      </c>
      <c r="I46" s="184" t="str">
        <f>IF(SUM(Tab_Compteur_1[[#This Row],[Quantité]],Tab_Compteur_1[[#This Row],[Index]])&lt;=0,"",G46)</f>
        <v/>
      </c>
      <c r="J46" s="675"/>
      <c r="K46" s="823"/>
      <c r="L46" s="823"/>
      <c r="M46" s="823"/>
      <c r="N46" s="36"/>
      <c r="O46"/>
    </row>
    <row r="47" spans="1:15">
      <c r="A47" s="421">
        <f t="shared" si="2"/>
        <v>1</v>
      </c>
      <c r="B47" s="2"/>
      <c r="C47" s="536"/>
      <c r="D47" s="536"/>
      <c r="E47" s="519"/>
      <c r="F47">
        <f t="shared" si="1"/>
        <v>0</v>
      </c>
      <c r="G47" t="str">
        <f>IF(IFERROR(IF(Str_TypeDonneesCpt1=Cpt_Index,Tab_Compteur_1[[#This Row],[Index]]-E46,Tab_Compteur_1[[#This Row],[Quantité]])/Tab_Compteur_1[[#This Row],[Delta Jour]],"")&lt;0,"",IFERROR(IF(Str_TypeDonneesCpt1=Cpt_Index,Tab_Compteur_1[[#This Row],[Index]]-E46,Tab_Compteur_1[[#This Row],[Quantité]])/Tab_Compteur_1[[#This Row],[Delta Jour]],""))</f>
        <v/>
      </c>
      <c r="H47" t="str">
        <f>IFERROR(Tab_Compteur_1[[#This Row],[Montant]]/Tab_Compteur_1[[#This Row],[Delta Jour]],"")</f>
        <v/>
      </c>
      <c r="I47" s="184" t="str">
        <f>IF(SUM(Tab_Compteur_1[[#This Row],[Quantité]],Tab_Compteur_1[[#This Row],[Index]])&lt;=0,"",G47)</f>
        <v/>
      </c>
      <c r="J47" s="675"/>
      <c r="K47" s="823"/>
      <c r="L47" s="823"/>
      <c r="M47" s="823"/>
      <c r="N47" s="36"/>
      <c r="O47"/>
    </row>
    <row r="48" spans="1:15">
      <c r="A48" s="421">
        <f t="shared" si="2"/>
        <v>1</v>
      </c>
      <c r="B48" s="2"/>
      <c r="C48" s="536"/>
      <c r="D48" s="536"/>
      <c r="E48" s="519"/>
      <c r="F48">
        <f t="shared" si="1"/>
        <v>0</v>
      </c>
      <c r="G48" t="str">
        <f>IF(IFERROR(IF(Str_TypeDonneesCpt1=Cpt_Index,Tab_Compteur_1[[#This Row],[Index]]-E47,Tab_Compteur_1[[#This Row],[Quantité]])/Tab_Compteur_1[[#This Row],[Delta Jour]],"")&lt;0,"",IFERROR(IF(Str_TypeDonneesCpt1=Cpt_Index,Tab_Compteur_1[[#This Row],[Index]]-E47,Tab_Compteur_1[[#This Row],[Quantité]])/Tab_Compteur_1[[#This Row],[Delta Jour]],""))</f>
        <v/>
      </c>
      <c r="H48" t="str">
        <f>IFERROR(Tab_Compteur_1[[#This Row],[Montant]]/Tab_Compteur_1[[#This Row],[Delta Jour]],"")</f>
        <v/>
      </c>
      <c r="I48" s="184" t="str">
        <f>IF(SUM(Tab_Compteur_1[[#This Row],[Quantité]],Tab_Compteur_1[[#This Row],[Index]])&lt;=0,"",G48)</f>
        <v/>
      </c>
      <c r="J48" s="675"/>
      <c r="K48" s="823"/>
      <c r="L48" s="823"/>
      <c r="M48" s="823"/>
      <c r="N48" s="36"/>
      <c r="O48"/>
    </row>
    <row r="49" spans="1:15">
      <c r="A49" s="421">
        <f t="shared" si="2"/>
        <v>1</v>
      </c>
      <c r="B49" s="2"/>
      <c r="C49" s="536"/>
      <c r="D49" s="536"/>
      <c r="E49" s="519"/>
      <c r="F49">
        <f t="shared" si="1"/>
        <v>0</v>
      </c>
      <c r="G49" t="str">
        <f>IF(IFERROR(IF(Str_TypeDonneesCpt1=Cpt_Index,Tab_Compteur_1[[#This Row],[Index]]-E48,Tab_Compteur_1[[#This Row],[Quantité]])/Tab_Compteur_1[[#This Row],[Delta Jour]],"")&lt;0,"",IFERROR(IF(Str_TypeDonneesCpt1=Cpt_Index,Tab_Compteur_1[[#This Row],[Index]]-E48,Tab_Compteur_1[[#This Row],[Quantité]])/Tab_Compteur_1[[#This Row],[Delta Jour]],""))</f>
        <v/>
      </c>
      <c r="H49" t="str">
        <f>IFERROR(Tab_Compteur_1[[#This Row],[Montant]]/Tab_Compteur_1[[#This Row],[Delta Jour]],"")</f>
        <v/>
      </c>
      <c r="I49" s="184" t="str">
        <f>IF(SUM(Tab_Compteur_1[[#This Row],[Quantité]],Tab_Compteur_1[[#This Row],[Index]])&lt;=0,"",G49)</f>
        <v/>
      </c>
      <c r="J49" s="675"/>
      <c r="K49" s="823"/>
      <c r="L49" s="823"/>
      <c r="M49" s="823"/>
      <c r="N49" s="36"/>
      <c r="O49"/>
    </row>
    <row r="50" spans="1:15">
      <c r="A50" s="421">
        <f t="shared" si="2"/>
        <v>1</v>
      </c>
      <c r="B50" s="2"/>
      <c r="C50" s="536"/>
      <c r="D50" s="536"/>
      <c r="E50" s="519"/>
      <c r="F50">
        <f t="shared" si="1"/>
        <v>0</v>
      </c>
      <c r="G50" t="str">
        <f>IF(IFERROR(IF(Str_TypeDonneesCpt1=Cpt_Index,Tab_Compteur_1[[#This Row],[Index]]-E49,Tab_Compteur_1[[#This Row],[Quantité]])/Tab_Compteur_1[[#This Row],[Delta Jour]],"")&lt;0,"",IFERROR(IF(Str_TypeDonneesCpt1=Cpt_Index,Tab_Compteur_1[[#This Row],[Index]]-E49,Tab_Compteur_1[[#This Row],[Quantité]])/Tab_Compteur_1[[#This Row],[Delta Jour]],""))</f>
        <v/>
      </c>
      <c r="H50" t="str">
        <f>IFERROR(Tab_Compteur_1[[#This Row],[Montant]]/Tab_Compteur_1[[#This Row],[Delta Jour]],"")</f>
        <v/>
      </c>
      <c r="I50" s="184" t="str">
        <f>IF(SUM(Tab_Compteur_1[[#This Row],[Quantité]],Tab_Compteur_1[[#This Row],[Index]])&lt;=0,"",G50)</f>
        <v/>
      </c>
      <c r="J50" s="675"/>
      <c r="K50" s="823"/>
      <c r="L50" s="823"/>
      <c r="M50" s="823"/>
      <c r="N50" s="36"/>
      <c r="O50"/>
    </row>
    <row r="51" spans="1:15">
      <c r="A51" s="421">
        <f t="shared" si="2"/>
        <v>1</v>
      </c>
      <c r="B51" s="2"/>
      <c r="C51" s="536"/>
      <c r="D51" s="536"/>
      <c r="E51" s="519"/>
      <c r="F51">
        <f t="shared" si="1"/>
        <v>0</v>
      </c>
      <c r="G51" t="str">
        <f>IF(IFERROR(IF(Str_TypeDonneesCpt1=Cpt_Index,Tab_Compteur_1[[#This Row],[Index]]-E50,Tab_Compteur_1[[#This Row],[Quantité]])/Tab_Compteur_1[[#This Row],[Delta Jour]],"")&lt;0,"",IFERROR(IF(Str_TypeDonneesCpt1=Cpt_Index,Tab_Compteur_1[[#This Row],[Index]]-E50,Tab_Compteur_1[[#This Row],[Quantité]])/Tab_Compteur_1[[#This Row],[Delta Jour]],""))</f>
        <v/>
      </c>
      <c r="H51" t="str">
        <f>IFERROR(Tab_Compteur_1[[#This Row],[Montant]]/Tab_Compteur_1[[#This Row],[Delta Jour]],"")</f>
        <v/>
      </c>
      <c r="I51" s="184" t="str">
        <f>IF(SUM(Tab_Compteur_1[[#This Row],[Quantité]],Tab_Compteur_1[[#This Row],[Index]])&lt;=0,"",G51)</f>
        <v/>
      </c>
      <c r="J51" s="675"/>
      <c r="K51" s="823"/>
      <c r="L51" s="823"/>
      <c r="M51" s="823"/>
      <c r="N51" s="36"/>
      <c r="O51"/>
    </row>
    <row r="52" spans="1:15">
      <c r="A52" s="421">
        <f t="shared" si="2"/>
        <v>1</v>
      </c>
      <c r="B52" s="2"/>
      <c r="C52" s="536"/>
      <c r="D52" s="536"/>
      <c r="E52" s="519"/>
      <c r="F52">
        <f t="shared" si="1"/>
        <v>0</v>
      </c>
      <c r="G52" t="str">
        <f>IF(IFERROR(IF(Str_TypeDonneesCpt1=Cpt_Index,Tab_Compteur_1[[#This Row],[Index]]-E51,Tab_Compteur_1[[#This Row],[Quantité]])/Tab_Compteur_1[[#This Row],[Delta Jour]],"")&lt;0,"",IFERROR(IF(Str_TypeDonneesCpt1=Cpt_Index,Tab_Compteur_1[[#This Row],[Index]]-E51,Tab_Compteur_1[[#This Row],[Quantité]])/Tab_Compteur_1[[#This Row],[Delta Jour]],""))</f>
        <v/>
      </c>
      <c r="H52" t="str">
        <f>IFERROR(Tab_Compteur_1[[#This Row],[Montant]]/Tab_Compteur_1[[#This Row],[Delta Jour]],"")</f>
        <v/>
      </c>
      <c r="I52" s="184" t="str">
        <f>IF(SUM(Tab_Compteur_1[[#This Row],[Quantité]],Tab_Compteur_1[[#This Row],[Index]])&lt;=0,"",G52)</f>
        <v/>
      </c>
      <c r="J52" s="675"/>
      <c r="K52" s="823"/>
      <c r="L52" s="823"/>
      <c r="M52" s="823"/>
      <c r="N52" s="36"/>
      <c r="O52"/>
    </row>
    <row r="53" spans="1:15">
      <c r="A53" s="421">
        <f t="shared" si="2"/>
        <v>1</v>
      </c>
      <c r="B53" s="2"/>
      <c r="C53" s="536"/>
      <c r="D53" s="536"/>
      <c r="E53" s="519"/>
      <c r="F53">
        <f t="shared" si="1"/>
        <v>0</v>
      </c>
      <c r="G53" t="str">
        <f>IF(IFERROR(IF(Str_TypeDonneesCpt1=Cpt_Index,Tab_Compteur_1[[#This Row],[Index]]-E52,Tab_Compteur_1[[#This Row],[Quantité]])/Tab_Compteur_1[[#This Row],[Delta Jour]],"")&lt;0,"",IFERROR(IF(Str_TypeDonneesCpt1=Cpt_Index,Tab_Compteur_1[[#This Row],[Index]]-E52,Tab_Compteur_1[[#This Row],[Quantité]])/Tab_Compteur_1[[#This Row],[Delta Jour]],""))</f>
        <v/>
      </c>
      <c r="H53" t="str">
        <f>IFERROR(Tab_Compteur_1[[#This Row],[Montant]]/Tab_Compteur_1[[#This Row],[Delta Jour]],"")</f>
        <v/>
      </c>
      <c r="I53" s="184" t="str">
        <f>IF(SUM(Tab_Compteur_1[[#This Row],[Quantité]],Tab_Compteur_1[[#This Row],[Index]])&lt;=0,"",G53)</f>
        <v/>
      </c>
      <c r="J53" s="675"/>
      <c r="K53" s="823"/>
      <c r="L53" s="823"/>
      <c r="M53" s="823"/>
      <c r="N53" s="36"/>
      <c r="O53"/>
    </row>
    <row r="54" spans="1:15">
      <c r="A54" s="421">
        <f t="shared" si="2"/>
        <v>1</v>
      </c>
      <c r="B54" s="2"/>
      <c r="C54" s="536"/>
      <c r="D54" s="536"/>
      <c r="E54" s="519"/>
      <c r="F54">
        <f t="shared" si="1"/>
        <v>0</v>
      </c>
      <c r="G54" t="str">
        <f>IF(IFERROR(IF(Str_TypeDonneesCpt1=Cpt_Index,Tab_Compteur_1[[#This Row],[Index]]-E53,Tab_Compteur_1[[#This Row],[Quantité]])/Tab_Compteur_1[[#This Row],[Delta Jour]],"")&lt;0,"",IFERROR(IF(Str_TypeDonneesCpt1=Cpt_Index,Tab_Compteur_1[[#This Row],[Index]]-E53,Tab_Compteur_1[[#This Row],[Quantité]])/Tab_Compteur_1[[#This Row],[Delta Jour]],""))</f>
        <v/>
      </c>
      <c r="H54" t="str">
        <f>IFERROR(Tab_Compteur_1[[#This Row],[Montant]]/Tab_Compteur_1[[#This Row],[Delta Jour]],"")</f>
        <v/>
      </c>
      <c r="I54" s="184" t="str">
        <f>IF(SUM(Tab_Compteur_1[[#This Row],[Quantité]],Tab_Compteur_1[[#This Row],[Index]])&lt;=0,"",G54)</f>
        <v/>
      </c>
      <c r="J54" s="675"/>
      <c r="K54" s="823"/>
      <c r="L54" s="823"/>
      <c r="M54" s="823"/>
      <c r="N54" s="36"/>
      <c r="O54"/>
    </row>
    <row r="55" spans="1:15">
      <c r="A55" s="421">
        <f t="shared" si="2"/>
        <v>1</v>
      </c>
      <c r="B55" s="2"/>
      <c r="C55" s="536"/>
      <c r="D55" s="536"/>
      <c r="E55" s="519"/>
      <c r="F55">
        <f t="shared" si="1"/>
        <v>0</v>
      </c>
      <c r="G55" t="str">
        <f>IF(IFERROR(IF(Str_TypeDonneesCpt1=Cpt_Index,Tab_Compteur_1[[#This Row],[Index]]-E54,Tab_Compteur_1[[#This Row],[Quantité]])/Tab_Compteur_1[[#This Row],[Delta Jour]],"")&lt;0,"",IFERROR(IF(Str_TypeDonneesCpt1=Cpt_Index,Tab_Compteur_1[[#This Row],[Index]]-E54,Tab_Compteur_1[[#This Row],[Quantité]])/Tab_Compteur_1[[#This Row],[Delta Jour]],""))</f>
        <v/>
      </c>
      <c r="H55" t="str">
        <f>IFERROR(Tab_Compteur_1[[#This Row],[Montant]]/Tab_Compteur_1[[#This Row],[Delta Jour]],"")</f>
        <v/>
      </c>
      <c r="I55" s="184" t="str">
        <f>IF(SUM(Tab_Compteur_1[[#This Row],[Quantité]],Tab_Compteur_1[[#This Row],[Index]])&lt;=0,"",G55)</f>
        <v/>
      </c>
      <c r="J55" s="675"/>
      <c r="K55" s="823"/>
      <c r="L55" s="823"/>
      <c r="M55" s="823"/>
      <c r="N55" s="36"/>
      <c r="O55"/>
    </row>
    <row r="56" spans="1:15">
      <c r="A56" s="421">
        <f t="shared" si="2"/>
        <v>1</v>
      </c>
      <c r="B56" s="2"/>
      <c r="C56" s="536"/>
      <c r="D56" s="536"/>
      <c r="E56" s="519"/>
      <c r="F56">
        <f t="shared" si="1"/>
        <v>0</v>
      </c>
      <c r="G56" t="str">
        <f>IF(IFERROR(IF(Str_TypeDonneesCpt1=Cpt_Index,Tab_Compteur_1[[#This Row],[Index]]-E55,Tab_Compteur_1[[#This Row],[Quantité]])/Tab_Compteur_1[[#This Row],[Delta Jour]],"")&lt;0,"",IFERROR(IF(Str_TypeDonneesCpt1=Cpt_Index,Tab_Compteur_1[[#This Row],[Index]]-E55,Tab_Compteur_1[[#This Row],[Quantité]])/Tab_Compteur_1[[#This Row],[Delta Jour]],""))</f>
        <v/>
      </c>
      <c r="H56" t="str">
        <f>IFERROR(Tab_Compteur_1[[#This Row],[Montant]]/Tab_Compteur_1[[#This Row],[Delta Jour]],"")</f>
        <v/>
      </c>
      <c r="I56" s="184" t="str">
        <f>IF(SUM(Tab_Compteur_1[[#This Row],[Quantité]],Tab_Compteur_1[[#This Row],[Index]])&lt;=0,"",G56)</f>
        <v/>
      </c>
      <c r="J56" s="675"/>
      <c r="K56" s="823"/>
      <c r="L56" s="823"/>
      <c r="M56" s="823"/>
      <c r="N56" s="36"/>
      <c r="O56"/>
    </row>
    <row r="57" spans="1:15">
      <c r="A57" s="421">
        <f t="shared" si="2"/>
        <v>1</v>
      </c>
      <c r="B57" s="2"/>
      <c r="C57" s="536"/>
      <c r="D57" s="536"/>
      <c r="E57" s="519"/>
      <c r="F57">
        <f t="shared" si="1"/>
        <v>0</v>
      </c>
      <c r="G57" t="str">
        <f>IF(IFERROR(IF(Str_TypeDonneesCpt1=Cpt_Index,Tab_Compteur_1[[#This Row],[Index]]-E56,Tab_Compteur_1[[#This Row],[Quantité]])/Tab_Compteur_1[[#This Row],[Delta Jour]],"")&lt;0,"",IFERROR(IF(Str_TypeDonneesCpt1=Cpt_Index,Tab_Compteur_1[[#This Row],[Index]]-E56,Tab_Compteur_1[[#This Row],[Quantité]])/Tab_Compteur_1[[#This Row],[Delta Jour]],""))</f>
        <v/>
      </c>
      <c r="H57" t="str">
        <f>IFERROR(Tab_Compteur_1[[#This Row],[Montant]]/Tab_Compteur_1[[#This Row],[Delta Jour]],"")</f>
        <v/>
      </c>
      <c r="I57" s="184" t="str">
        <f>IF(SUM(Tab_Compteur_1[[#This Row],[Quantité]],Tab_Compteur_1[[#This Row],[Index]])&lt;=0,"",G57)</f>
        <v/>
      </c>
      <c r="J57" s="675"/>
      <c r="K57" s="36"/>
      <c r="L57" s="36"/>
      <c r="M57" s="36"/>
      <c r="N57" s="36"/>
      <c r="O57"/>
    </row>
    <row r="58" spans="1:15">
      <c r="A58" s="421">
        <f t="shared" si="2"/>
        <v>1</v>
      </c>
      <c r="B58" s="2"/>
      <c r="C58" s="536"/>
      <c r="D58" s="536"/>
      <c r="E58" s="519"/>
      <c r="F58">
        <f t="shared" si="1"/>
        <v>0</v>
      </c>
      <c r="G58" t="str">
        <f>IF(IFERROR(IF(Str_TypeDonneesCpt1=Cpt_Index,Tab_Compteur_1[[#This Row],[Index]]-E57,Tab_Compteur_1[[#This Row],[Quantité]])/Tab_Compteur_1[[#This Row],[Delta Jour]],"")&lt;0,"",IFERROR(IF(Str_TypeDonneesCpt1=Cpt_Index,Tab_Compteur_1[[#This Row],[Index]]-E57,Tab_Compteur_1[[#This Row],[Quantité]])/Tab_Compteur_1[[#This Row],[Delta Jour]],""))</f>
        <v/>
      </c>
      <c r="H58" t="str">
        <f>IFERROR(Tab_Compteur_1[[#This Row],[Montant]]/Tab_Compteur_1[[#This Row],[Delta Jour]],"")</f>
        <v/>
      </c>
      <c r="I58" s="184" t="str">
        <f>IF(SUM(Tab_Compteur_1[[#This Row],[Quantité]],Tab_Compteur_1[[#This Row],[Index]])&lt;=0,"",G58)</f>
        <v/>
      </c>
      <c r="J58" s="675"/>
      <c r="K58" s="36"/>
      <c r="L58" s="36"/>
      <c r="M58" s="36"/>
      <c r="N58" s="36"/>
      <c r="O58"/>
    </row>
    <row r="59" spans="1:15">
      <c r="A59" s="421">
        <f t="shared" si="2"/>
        <v>1</v>
      </c>
      <c r="B59" s="2"/>
      <c r="C59" s="536"/>
      <c r="D59" s="536"/>
      <c r="E59" s="519"/>
      <c r="F59">
        <f t="shared" si="1"/>
        <v>0</v>
      </c>
      <c r="G59" t="str">
        <f>IF(IFERROR(IF(Str_TypeDonneesCpt1=Cpt_Index,Tab_Compteur_1[[#This Row],[Index]]-E58,Tab_Compteur_1[[#This Row],[Quantité]])/Tab_Compteur_1[[#This Row],[Delta Jour]],"")&lt;0,"",IFERROR(IF(Str_TypeDonneesCpt1=Cpt_Index,Tab_Compteur_1[[#This Row],[Index]]-E58,Tab_Compteur_1[[#This Row],[Quantité]])/Tab_Compteur_1[[#This Row],[Delta Jour]],""))</f>
        <v/>
      </c>
      <c r="H59" t="str">
        <f>IFERROR(Tab_Compteur_1[[#This Row],[Montant]]/Tab_Compteur_1[[#This Row],[Delta Jour]],"")</f>
        <v/>
      </c>
      <c r="I59" s="184" t="str">
        <f>IF(SUM(Tab_Compteur_1[[#This Row],[Quantité]],Tab_Compteur_1[[#This Row],[Index]])&lt;=0,"",G59)</f>
        <v/>
      </c>
      <c r="J59" s="675"/>
      <c r="K59" s="36"/>
      <c r="L59" s="36"/>
      <c r="M59" s="36"/>
      <c r="N59" s="36"/>
      <c r="O59"/>
    </row>
    <row r="60" spans="1:15">
      <c r="A60" s="421">
        <f t="shared" si="2"/>
        <v>1</v>
      </c>
      <c r="B60" s="2"/>
      <c r="C60" s="536"/>
      <c r="D60" s="536"/>
      <c r="E60" s="519"/>
      <c r="F60">
        <f t="shared" si="1"/>
        <v>0</v>
      </c>
      <c r="G60" t="str">
        <f>IF(IFERROR(IF(Str_TypeDonneesCpt1=Cpt_Index,Tab_Compteur_1[[#This Row],[Index]]-E59,Tab_Compteur_1[[#This Row],[Quantité]])/Tab_Compteur_1[[#This Row],[Delta Jour]],"")&lt;0,"",IFERROR(IF(Str_TypeDonneesCpt1=Cpt_Index,Tab_Compteur_1[[#This Row],[Index]]-E59,Tab_Compteur_1[[#This Row],[Quantité]])/Tab_Compteur_1[[#This Row],[Delta Jour]],""))</f>
        <v/>
      </c>
      <c r="H60" t="str">
        <f>IFERROR(Tab_Compteur_1[[#This Row],[Montant]]/Tab_Compteur_1[[#This Row],[Delta Jour]],"")</f>
        <v/>
      </c>
      <c r="I60" s="184" t="str">
        <f>IF(SUM(Tab_Compteur_1[[#This Row],[Quantité]],Tab_Compteur_1[[#This Row],[Index]])&lt;=0,"",G60)</f>
        <v/>
      </c>
      <c r="J60" s="675"/>
      <c r="K60" s="36"/>
      <c r="L60" s="36"/>
      <c r="M60" s="36"/>
      <c r="N60" s="36"/>
      <c r="O60"/>
    </row>
    <row r="61" spans="1:15">
      <c r="A61" s="421">
        <f t="shared" si="2"/>
        <v>1</v>
      </c>
      <c r="B61" s="2"/>
      <c r="C61" s="536"/>
      <c r="D61" s="536"/>
      <c r="E61" s="519"/>
      <c r="F61">
        <f t="shared" si="1"/>
        <v>0</v>
      </c>
      <c r="G61" t="str">
        <f>IF(IFERROR(IF(Str_TypeDonneesCpt1=Cpt_Index,Tab_Compteur_1[[#This Row],[Index]]-E60,Tab_Compteur_1[[#This Row],[Quantité]])/Tab_Compteur_1[[#This Row],[Delta Jour]],"")&lt;0,"",IFERROR(IF(Str_TypeDonneesCpt1=Cpt_Index,Tab_Compteur_1[[#This Row],[Index]]-E60,Tab_Compteur_1[[#This Row],[Quantité]])/Tab_Compteur_1[[#This Row],[Delta Jour]],""))</f>
        <v/>
      </c>
      <c r="H61" t="str">
        <f>IFERROR(Tab_Compteur_1[[#This Row],[Montant]]/Tab_Compteur_1[[#This Row],[Delta Jour]],"")</f>
        <v/>
      </c>
      <c r="I61" s="184" t="str">
        <f>IF(SUM(Tab_Compteur_1[[#This Row],[Quantité]],Tab_Compteur_1[[#This Row],[Index]])&lt;=0,"",G61)</f>
        <v/>
      </c>
      <c r="J61" s="675"/>
      <c r="K61" s="36"/>
      <c r="L61" s="36"/>
      <c r="M61" s="36"/>
      <c r="N61" s="36"/>
      <c r="O61"/>
    </row>
    <row r="62" spans="1:15">
      <c r="A62" s="421">
        <f t="shared" si="2"/>
        <v>1</v>
      </c>
      <c r="B62" s="2"/>
      <c r="C62" s="536"/>
      <c r="D62" s="536"/>
      <c r="E62" s="519"/>
      <c r="F62">
        <f t="shared" si="1"/>
        <v>0</v>
      </c>
      <c r="G62" t="str">
        <f>IF(IFERROR(IF(Str_TypeDonneesCpt1=Cpt_Index,Tab_Compteur_1[[#This Row],[Index]]-E61,Tab_Compteur_1[[#This Row],[Quantité]])/Tab_Compteur_1[[#This Row],[Delta Jour]],"")&lt;0,"",IFERROR(IF(Str_TypeDonneesCpt1=Cpt_Index,Tab_Compteur_1[[#This Row],[Index]]-E61,Tab_Compteur_1[[#This Row],[Quantité]])/Tab_Compteur_1[[#This Row],[Delta Jour]],""))</f>
        <v/>
      </c>
      <c r="H62" t="str">
        <f>IFERROR(Tab_Compteur_1[[#This Row],[Montant]]/Tab_Compteur_1[[#This Row],[Delta Jour]],"")</f>
        <v/>
      </c>
      <c r="I62" s="184" t="str">
        <f>IF(SUM(Tab_Compteur_1[[#This Row],[Quantité]],Tab_Compteur_1[[#This Row],[Index]])&lt;=0,"",G62)</f>
        <v/>
      </c>
      <c r="J62" s="675"/>
      <c r="K62" s="36"/>
      <c r="L62" s="36"/>
      <c r="M62" s="36"/>
      <c r="N62" s="36"/>
      <c r="O62"/>
    </row>
    <row r="63" spans="1:15">
      <c r="A63" s="421">
        <f t="shared" si="2"/>
        <v>1</v>
      </c>
      <c r="B63" s="2"/>
      <c r="C63" s="681"/>
      <c r="D63" s="681"/>
      <c r="E63" s="519"/>
      <c r="F63">
        <f t="shared" si="1"/>
        <v>0</v>
      </c>
      <c r="G63" t="str">
        <f>IF(IFERROR(IF(Str_TypeDonneesCpt1=Cpt_Index,Tab_Compteur_1[[#This Row],[Index]]-E62,Tab_Compteur_1[[#This Row],[Quantité]])/Tab_Compteur_1[[#This Row],[Delta Jour]],"")&lt;0,"",IFERROR(IF(Str_TypeDonneesCpt1=Cpt_Index,Tab_Compteur_1[[#This Row],[Index]]-E62,Tab_Compteur_1[[#This Row],[Quantité]])/Tab_Compteur_1[[#This Row],[Delta Jour]],""))</f>
        <v/>
      </c>
      <c r="H63" t="str">
        <f>IFERROR(Tab_Compteur_1[[#This Row],[Montant]]/Tab_Compteur_1[[#This Row],[Delta Jour]],"")</f>
        <v/>
      </c>
      <c r="I63" s="184" t="str">
        <f>IF(SUM(Tab_Compteur_1[[#This Row],[Quantité]],Tab_Compteur_1[[#This Row],[Index]])&lt;=0,"",G63)</f>
        <v/>
      </c>
      <c r="J63" s="675"/>
      <c r="K63" s="36"/>
      <c r="L63" s="36"/>
      <c r="M63" s="36"/>
      <c r="N63" s="36"/>
      <c r="O63"/>
    </row>
    <row r="64" spans="1:15">
      <c r="A64" s="421">
        <f t="shared" si="2"/>
        <v>1</v>
      </c>
      <c r="B64" s="2"/>
      <c r="C64" s="681"/>
      <c r="D64" s="681"/>
      <c r="E64" s="519"/>
      <c r="F64">
        <f t="shared" si="1"/>
        <v>0</v>
      </c>
      <c r="G64" t="str">
        <f>IF(IFERROR(IF(Str_TypeDonneesCpt1=Cpt_Index,Tab_Compteur_1[[#This Row],[Index]]-E63,Tab_Compteur_1[[#This Row],[Quantité]])/Tab_Compteur_1[[#This Row],[Delta Jour]],"")&lt;0,"",IFERROR(IF(Str_TypeDonneesCpt1=Cpt_Index,Tab_Compteur_1[[#This Row],[Index]]-E63,Tab_Compteur_1[[#This Row],[Quantité]])/Tab_Compteur_1[[#This Row],[Delta Jour]],""))</f>
        <v/>
      </c>
      <c r="H64" t="str">
        <f>IFERROR(Tab_Compteur_1[[#This Row],[Montant]]/Tab_Compteur_1[[#This Row],[Delta Jour]],"")</f>
        <v/>
      </c>
      <c r="I64" s="184" t="str">
        <f>IF(SUM(Tab_Compteur_1[[#This Row],[Quantité]],Tab_Compteur_1[[#This Row],[Index]])&lt;=0,"",G64)</f>
        <v/>
      </c>
      <c r="J64" s="675"/>
      <c r="K64" s="36"/>
      <c r="L64" s="36"/>
      <c r="M64" s="36"/>
      <c r="N64" s="36"/>
      <c r="O64"/>
    </row>
    <row r="65" spans="1:15">
      <c r="A65" s="421">
        <f t="shared" si="2"/>
        <v>1</v>
      </c>
      <c r="B65" s="2"/>
      <c r="C65" s="681"/>
      <c r="D65" s="681"/>
      <c r="E65" s="519"/>
      <c r="F65">
        <f t="shared" si="1"/>
        <v>0</v>
      </c>
      <c r="G65" t="str">
        <f>IF(IFERROR(IF(Str_TypeDonneesCpt1=Cpt_Index,Tab_Compteur_1[[#This Row],[Index]]-E64,Tab_Compteur_1[[#This Row],[Quantité]])/Tab_Compteur_1[[#This Row],[Delta Jour]],"")&lt;0,"",IFERROR(IF(Str_TypeDonneesCpt1=Cpt_Index,Tab_Compteur_1[[#This Row],[Index]]-E64,Tab_Compteur_1[[#This Row],[Quantité]])/Tab_Compteur_1[[#This Row],[Delta Jour]],""))</f>
        <v/>
      </c>
      <c r="H65" t="str">
        <f>IFERROR(Tab_Compteur_1[[#This Row],[Montant]]/Tab_Compteur_1[[#This Row],[Delta Jour]],"")</f>
        <v/>
      </c>
      <c r="I65" s="184" t="str">
        <f>IF(SUM(Tab_Compteur_1[[#This Row],[Quantité]],Tab_Compteur_1[[#This Row],[Index]])&lt;=0,"",G65)</f>
        <v/>
      </c>
      <c r="J65" s="675"/>
      <c r="K65" s="36"/>
      <c r="L65" s="36"/>
      <c r="M65" s="36"/>
      <c r="N65" s="36"/>
      <c r="O65"/>
    </row>
    <row r="66" spans="1:15">
      <c r="A66" s="421">
        <f t="shared" si="2"/>
        <v>1</v>
      </c>
      <c r="B66" s="2"/>
      <c r="C66" s="681"/>
      <c r="D66" s="681"/>
      <c r="E66" s="519"/>
      <c r="F66">
        <f t="shared" si="1"/>
        <v>0</v>
      </c>
      <c r="G66" t="str">
        <f>IF(IFERROR(IF(Str_TypeDonneesCpt1=Cpt_Index,Tab_Compteur_1[[#This Row],[Index]]-E65,Tab_Compteur_1[[#This Row],[Quantité]])/Tab_Compteur_1[[#This Row],[Delta Jour]],"")&lt;0,"",IFERROR(IF(Str_TypeDonneesCpt1=Cpt_Index,Tab_Compteur_1[[#This Row],[Index]]-E65,Tab_Compteur_1[[#This Row],[Quantité]])/Tab_Compteur_1[[#This Row],[Delta Jour]],""))</f>
        <v/>
      </c>
      <c r="H66" t="str">
        <f>IFERROR(Tab_Compteur_1[[#This Row],[Montant]]/Tab_Compteur_1[[#This Row],[Delta Jour]],"")</f>
        <v/>
      </c>
      <c r="I66" s="184" t="str">
        <f>IF(SUM(Tab_Compteur_1[[#This Row],[Quantité]],Tab_Compteur_1[[#This Row],[Index]])&lt;=0,"",G66)</f>
        <v/>
      </c>
      <c r="J66" s="675"/>
      <c r="K66" s="36"/>
      <c r="L66" s="36"/>
      <c r="M66" s="36"/>
      <c r="N66" s="36"/>
      <c r="O66"/>
    </row>
    <row r="67" spans="1:15">
      <c r="A67" s="421">
        <f t="shared" si="2"/>
        <v>1</v>
      </c>
      <c r="B67" s="2"/>
      <c r="C67" s="681"/>
      <c r="D67" s="681"/>
      <c r="E67" s="519"/>
      <c r="F67">
        <f t="shared" ref="F67:F130" si="3">IFERROR(B67-A67+1,"")</f>
        <v>0</v>
      </c>
      <c r="G67" t="str">
        <f>IF(IFERROR(IF(Str_TypeDonneesCpt1=Cpt_Index,Tab_Compteur_1[[#This Row],[Index]]-E66,Tab_Compteur_1[[#This Row],[Quantité]])/Tab_Compteur_1[[#This Row],[Delta Jour]],"")&lt;0,"",IFERROR(IF(Str_TypeDonneesCpt1=Cpt_Index,Tab_Compteur_1[[#This Row],[Index]]-E66,Tab_Compteur_1[[#This Row],[Quantité]])/Tab_Compteur_1[[#This Row],[Delta Jour]],""))</f>
        <v/>
      </c>
      <c r="H67" t="str">
        <f>IFERROR(Tab_Compteur_1[[#This Row],[Montant]]/Tab_Compteur_1[[#This Row],[Delta Jour]],"")</f>
        <v/>
      </c>
      <c r="I67" s="184" t="str">
        <f>IF(SUM(Tab_Compteur_1[[#This Row],[Quantité]],Tab_Compteur_1[[#This Row],[Index]])&lt;=0,"",G67)</f>
        <v/>
      </c>
      <c r="J67" s="675"/>
      <c r="K67" s="36"/>
      <c r="L67" s="36"/>
      <c r="M67" s="36"/>
      <c r="N67" s="36"/>
      <c r="O67"/>
    </row>
    <row r="68" spans="1:15">
      <c r="A68" s="421">
        <f t="shared" si="2"/>
        <v>1</v>
      </c>
      <c r="B68" s="2"/>
      <c r="C68" s="681"/>
      <c r="D68" s="681"/>
      <c r="E68" s="519"/>
      <c r="F68">
        <f t="shared" si="3"/>
        <v>0</v>
      </c>
      <c r="G68" t="str">
        <f>IF(IFERROR(IF(Str_TypeDonneesCpt1=Cpt_Index,Tab_Compteur_1[[#This Row],[Index]]-E67,Tab_Compteur_1[[#This Row],[Quantité]])/Tab_Compteur_1[[#This Row],[Delta Jour]],"")&lt;0,"",IFERROR(IF(Str_TypeDonneesCpt1=Cpt_Index,Tab_Compteur_1[[#This Row],[Index]]-E67,Tab_Compteur_1[[#This Row],[Quantité]])/Tab_Compteur_1[[#This Row],[Delta Jour]],""))</f>
        <v/>
      </c>
      <c r="H68" t="str">
        <f>IFERROR(Tab_Compteur_1[[#This Row],[Montant]]/Tab_Compteur_1[[#This Row],[Delta Jour]],"")</f>
        <v/>
      </c>
      <c r="I68" s="184" t="str">
        <f>IF(SUM(Tab_Compteur_1[[#This Row],[Quantité]],Tab_Compteur_1[[#This Row],[Index]])&lt;=0,"",G68)</f>
        <v/>
      </c>
      <c r="J68" s="675"/>
      <c r="K68" s="36"/>
      <c r="L68" s="36"/>
      <c r="M68" s="36"/>
      <c r="N68" s="36"/>
      <c r="O68"/>
    </row>
    <row r="69" spans="1:15">
      <c r="A69" s="421">
        <f t="shared" si="2"/>
        <v>1</v>
      </c>
      <c r="B69" s="2"/>
      <c r="C69" s="681"/>
      <c r="D69" s="681"/>
      <c r="E69" s="519"/>
      <c r="F69">
        <f t="shared" si="3"/>
        <v>0</v>
      </c>
      <c r="G69" t="str">
        <f>IF(IFERROR(IF(Str_TypeDonneesCpt1=Cpt_Index,Tab_Compteur_1[[#This Row],[Index]]-E68,Tab_Compteur_1[[#This Row],[Quantité]])/Tab_Compteur_1[[#This Row],[Delta Jour]],"")&lt;0,"",IFERROR(IF(Str_TypeDonneesCpt1=Cpt_Index,Tab_Compteur_1[[#This Row],[Index]]-E68,Tab_Compteur_1[[#This Row],[Quantité]])/Tab_Compteur_1[[#This Row],[Delta Jour]],""))</f>
        <v/>
      </c>
      <c r="H69" t="str">
        <f>IFERROR(Tab_Compteur_1[[#This Row],[Montant]]/Tab_Compteur_1[[#This Row],[Delta Jour]],"")</f>
        <v/>
      </c>
      <c r="I69" s="184" t="str">
        <f>IF(SUM(Tab_Compteur_1[[#This Row],[Quantité]],Tab_Compteur_1[[#This Row],[Index]])&lt;=0,"",G69)</f>
        <v/>
      </c>
      <c r="J69" s="675"/>
      <c r="K69" s="36"/>
      <c r="L69" s="36"/>
      <c r="M69" s="36"/>
      <c r="N69" s="36"/>
      <c r="O69"/>
    </row>
    <row r="70" spans="1:15">
      <c r="A70" s="421">
        <f t="shared" ref="A70:A133" si="4">IFERROR(B69+1,0)</f>
        <v>1</v>
      </c>
      <c r="B70" s="2"/>
      <c r="C70" s="681"/>
      <c r="D70" s="681"/>
      <c r="E70" s="519"/>
      <c r="F70">
        <f t="shared" si="3"/>
        <v>0</v>
      </c>
      <c r="G70" t="str">
        <f>IF(IFERROR(IF(Str_TypeDonneesCpt1=Cpt_Index,Tab_Compteur_1[[#This Row],[Index]]-E69,Tab_Compteur_1[[#This Row],[Quantité]])/Tab_Compteur_1[[#This Row],[Delta Jour]],"")&lt;0,"",IFERROR(IF(Str_TypeDonneesCpt1=Cpt_Index,Tab_Compteur_1[[#This Row],[Index]]-E69,Tab_Compteur_1[[#This Row],[Quantité]])/Tab_Compteur_1[[#This Row],[Delta Jour]],""))</f>
        <v/>
      </c>
      <c r="H70" t="str">
        <f>IFERROR(Tab_Compteur_1[[#This Row],[Montant]]/Tab_Compteur_1[[#This Row],[Delta Jour]],"")</f>
        <v/>
      </c>
      <c r="I70" s="184" t="str">
        <f>IF(SUM(Tab_Compteur_1[[#This Row],[Quantité]],Tab_Compteur_1[[#This Row],[Index]])&lt;=0,"",G70)</f>
        <v/>
      </c>
      <c r="J70" s="675"/>
      <c r="K70" s="36"/>
      <c r="L70" s="36"/>
      <c r="M70" s="36"/>
      <c r="N70" s="36"/>
      <c r="O70"/>
    </row>
    <row r="71" spans="1:15">
      <c r="A71" s="421">
        <f t="shared" si="4"/>
        <v>1</v>
      </c>
      <c r="B71" s="2"/>
      <c r="C71" s="681"/>
      <c r="D71" s="681"/>
      <c r="E71" s="519"/>
      <c r="F71">
        <f t="shared" si="3"/>
        <v>0</v>
      </c>
      <c r="G71" t="str">
        <f>IF(IFERROR(IF(Str_TypeDonneesCpt1=Cpt_Index,Tab_Compteur_1[[#This Row],[Index]]-E70,Tab_Compteur_1[[#This Row],[Quantité]])/Tab_Compteur_1[[#This Row],[Delta Jour]],"")&lt;0,"",IFERROR(IF(Str_TypeDonneesCpt1=Cpt_Index,Tab_Compteur_1[[#This Row],[Index]]-E70,Tab_Compteur_1[[#This Row],[Quantité]])/Tab_Compteur_1[[#This Row],[Delta Jour]],""))</f>
        <v/>
      </c>
      <c r="H71" t="str">
        <f>IFERROR(Tab_Compteur_1[[#This Row],[Montant]]/Tab_Compteur_1[[#This Row],[Delta Jour]],"")</f>
        <v/>
      </c>
      <c r="I71" s="184" t="str">
        <f>IF(SUM(Tab_Compteur_1[[#This Row],[Quantité]],Tab_Compteur_1[[#This Row],[Index]])&lt;=0,"",G71)</f>
        <v/>
      </c>
      <c r="J71" s="675"/>
      <c r="K71" s="36"/>
      <c r="L71" s="36"/>
      <c r="M71" s="36"/>
      <c r="N71" s="36"/>
      <c r="O71"/>
    </row>
    <row r="72" spans="1:15">
      <c r="A72" s="421">
        <f t="shared" si="4"/>
        <v>1</v>
      </c>
      <c r="B72" s="2"/>
      <c r="C72" s="681"/>
      <c r="D72" s="681"/>
      <c r="E72" s="519"/>
      <c r="F72">
        <f t="shared" si="3"/>
        <v>0</v>
      </c>
      <c r="G72" t="str">
        <f>IF(IFERROR(IF(Str_TypeDonneesCpt1=Cpt_Index,Tab_Compteur_1[[#This Row],[Index]]-E71,Tab_Compteur_1[[#This Row],[Quantité]])/Tab_Compteur_1[[#This Row],[Delta Jour]],"")&lt;0,"",IFERROR(IF(Str_TypeDonneesCpt1=Cpt_Index,Tab_Compteur_1[[#This Row],[Index]]-E71,Tab_Compteur_1[[#This Row],[Quantité]])/Tab_Compteur_1[[#This Row],[Delta Jour]],""))</f>
        <v/>
      </c>
      <c r="H72" t="str">
        <f>IFERROR(Tab_Compteur_1[[#This Row],[Montant]]/Tab_Compteur_1[[#This Row],[Delta Jour]],"")</f>
        <v/>
      </c>
      <c r="I72" s="184" t="str">
        <f>IF(SUM(Tab_Compteur_1[[#This Row],[Quantité]],Tab_Compteur_1[[#This Row],[Index]])&lt;=0,"",G72)</f>
        <v/>
      </c>
      <c r="J72" s="675"/>
      <c r="K72" s="36"/>
      <c r="L72" s="36"/>
      <c r="M72" s="36"/>
      <c r="N72" s="36"/>
      <c r="O72"/>
    </row>
    <row r="73" spans="1:15">
      <c r="A73" s="421">
        <f t="shared" si="4"/>
        <v>1</v>
      </c>
      <c r="B73" s="2"/>
      <c r="C73" s="681"/>
      <c r="D73" s="681"/>
      <c r="E73" s="519"/>
      <c r="F73">
        <f t="shared" si="3"/>
        <v>0</v>
      </c>
      <c r="G73" t="str">
        <f>IF(IFERROR(IF(Str_TypeDonneesCpt1=Cpt_Index,Tab_Compteur_1[[#This Row],[Index]]-E72,Tab_Compteur_1[[#This Row],[Quantité]])/Tab_Compteur_1[[#This Row],[Delta Jour]],"")&lt;0,"",IFERROR(IF(Str_TypeDonneesCpt1=Cpt_Index,Tab_Compteur_1[[#This Row],[Index]]-E72,Tab_Compteur_1[[#This Row],[Quantité]])/Tab_Compteur_1[[#This Row],[Delta Jour]],""))</f>
        <v/>
      </c>
      <c r="H73" t="str">
        <f>IFERROR(Tab_Compteur_1[[#This Row],[Montant]]/Tab_Compteur_1[[#This Row],[Delta Jour]],"")</f>
        <v/>
      </c>
      <c r="I73" s="184" t="str">
        <f>IF(SUM(Tab_Compteur_1[[#This Row],[Quantité]],Tab_Compteur_1[[#This Row],[Index]])&lt;=0,"",G73)</f>
        <v/>
      </c>
      <c r="J73" s="675"/>
      <c r="K73" s="36"/>
      <c r="L73" s="36"/>
      <c r="M73" s="36"/>
      <c r="N73" s="36"/>
      <c r="O73"/>
    </row>
    <row r="74" spans="1:15">
      <c r="A74" s="421">
        <f t="shared" si="4"/>
        <v>1</v>
      </c>
      <c r="B74" s="2"/>
      <c r="C74" s="681"/>
      <c r="D74" s="681"/>
      <c r="E74" s="519"/>
      <c r="F74">
        <f t="shared" si="3"/>
        <v>0</v>
      </c>
      <c r="G74" t="str">
        <f>IF(IFERROR(IF(Str_TypeDonneesCpt1=Cpt_Index,Tab_Compteur_1[[#This Row],[Index]]-E73,Tab_Compteur_1[[#This Row],[Quantité]])/Tab_Compteur_1[[#This Row],[Delta Jour]],"")&lt;0,"",IFERROR(IF(Str_TypeDonneesCpt1=Cpt_Index,Tab_Compteur_1[[#This Row],[Index]]-E73,Tab_Compteur_1[[#This Row],[Quantité]])/Tab_Compteur_1[[#This Row],[Delta Jour]],""))</f>
        <v/>
      </c>
      <c r="H74" t="str">
        <f>IFERROR(Tab_Compteur_1[[#This Row],[Montant]]/Tab_Compteur_1[[#This Row],[Delta Jour]],"")</f>
        <v/>
      </c>
      <c r="I74" s="184" t="str">
        <f>IF(SUM(Tab_Compteur_1[[#This Row],[Quantité]],Tab_Compteur_1[[#This Row],[Index]])&lt;=0,"",G74)</f>
        <v/>
      </c>
      <c r="J74" s="675"/>
      <c r="K74" s="36"/>
      <c r="L74" s="36"/>
      <c r="M74" s="36"/>
      <c r="N74" s="36"/>
      <c r="O74"/>
    </row>
    <row r="75" spans="1:15">
      <c r="A75" s="421">
        <f t="shared" si="4"/>
        <v>1</v>
      </c>
      <c r="B75" s="2"/>
      <c r="C75" s="681"/>
      <c r="D75" s="681"/>
      <c r="E75" s="519"/>
      <c r="F75">
        <f t="shared" si="3"/>
        <v>0</v>
      </c>
      <c r="G75" t="str">
        <f>IF(IFERROR(IF(Str_TypeDonneesCpt1=Cpt_Index,Tab_Compteur_1[[#This Row],[Index]]-E74,Tab_Compteur_1[[#This Row],[Quantité]])/Tab_Compteur_1[[#This Row],[Delta Jour]],"")&lt;0,"",IFERROR(IF(Str_TypeDonneesCpt1=Cpt_Index,Tab_Compteur_1[[#This Row],[Index]]-E74,Tab_Compteur_1[[#This Row],[Quantité]])/Tab_Compteur_1[[#This Row],[Delta Jour]],""))</f>
        <v/>
      </c>
      <c r="H75" t="str">
        <f>IFERROR(Tab_Compteur_1[[#This Row],[Montant]]/Tab_Compteur_1[[#This Row],[Delta Jour]],"")</f>
        <v/>
      </c>
      <c r="I75" s="184" t="str">
        <f>IF(SUM(Tab_Compteur_1[[#This Row],[Quantité]],Tab_Compteur_1[[#This Row],[Index]])&lt;=0,"",G75)</f>
        <v/>
      </c>
      <c r="J75" s="675"/>
      <c r="K75" s="36"/>
      <c r="L75" s="36"/>
      <c r="M75" s="36"/>
      <c r="N75" s="36"/>
      <c r="O75"/>
    </row>
    <row r="76" spans="1:15">
      <c r="A76" s="421">
        <f t="shared" si="4"/>
        <v>1</v>
      </c>
      <c r="B76" s="2"/>
      <c r="C76" s="681"/>
      <c r="D76" s="681"/>
      <c r="E76" s="519"/>
      <c r="F76">
        <f t="shared" si="3"/>
        <v>0</v>
      </c>
      <c r="G76" t="str">
        <f>IF(IFERROR(IF(Str_TypeDonneesCpt1=Cpt_Index,Tab_Compteur_1[[#This Row],[Index]]-E75,Tab_Compteur_1[[#This Row],[Quantité]])/Tab_Compteur_1[[#This Row],[Delta Jour]],"")&lt;0,"",IFERROR(IF(Str_TypeDonneesCpt1=Cpt_Index,Tab_Compteur_1[[#This Row],[Index]]-E75,Tab_Compteur_1[[#This Row],[Quantité]])/Tab_Compteur_1[[#This Row],[Delta Jour]],""))</f>
        <v/>
      </c>
      <c r="H76" t="str">
        <f>IFERROR(Tab_Compteur_1[[#This Row],[Montant]]/Tab_Compteur_1[[#This Row],[Delta Jour]],"")</f>
        <v/>
      </c>
      <c r="I76" s="184" t="str">
        <f>IF(SUM(Tab_Compteur_1[[#This Row],[Quantité]],Tab_Compteur_1[[#This Row],[Index]])&lt;=0,"",G76)</f>
        <v/>
      </c>
      <c r="J76" s="675"/>
      <c r="K76" s="36"/>
      <c r="L76" s="36"/>
      <c r="M76" s="36"/>
      <c r="N76" s="36"/>
      <c r="O76"/>
    </row>
    <row r="77" spans="1:15">
      <c r="A77" s="421">
        <f t="shared" si="4"/>
        <v>1</v>
      </c>
      <c r="B77" s="2"/>
      <c r="C77" s="681"/>
      <c r="D77" s="681"/>
      <c r="E77" s="519"/>
      <c r="F77">
        <f t="shared" si="3"/>
        <v>0</v>
      </c>
      <c r="G77" t="str">
        <f>IF(IFERROR(IF(Str_TypeDonneesCpt1=Cpt_Index,Tab_Compteur_1[[#This Row],[Index]]-E76,Tab_Compteur_1[[#This Row],[Quantité]])/Tab_Compteur_1[[#This Row],[Delta Jour]],"")&lt;0,"",IFERROR(IF(Str_TypeDonneesCpt1=Cpt_Index,Tab_Compteur_1[[#This Row],[Index]]-E76,Tab_Compteur_1[[#This Row],[Quantité]])/Tab_Compteur_1[[#This Row],[Delta Jour]],""))</f>
        <v/>
      </c>
      <c r="H77" t="str">
        <f>IFERROR(Tab_Compteur_1[[#This Row],[Montant]]/Tab_Compteur_1[[#This Row],[Delta Jour]],"")</f>
        <v/>
      </c>
      <c r="I77" s="184" t="str">
        <f>IF(SUM(Tab_Compteur_1[[#This Row],[Quantité]],Tab_Compteur_1[[#This Row],[Index]])&lt;=0,"",G77)</f>
        <v/>
      </c>
      <c r="J77" s="675"/>
      <c r="K77" s="36"/>
      <c r="L77" s="36"/>
      <c r="M77" s="36"/>
      <c r="N77" s="36"/>
      <c r="O77"/>
    </row>
    <row r="78" spans="1:15">
      <c r="A78" s="421">
        <f t="shared" si="4"/>
        <v>1</v>
      </c>
      <c r="B78" s="652"/>
      <c r="C78" s="683"/>
      <c r="D78" s="683"/>
      <c r="E78" s="519"/>
      <c r="F78">
        <f t="shared" si="3"/>
        <v>0</v>
      </c>
      <c r="G78" t="str">
        <f>IF(IFERROR(IF(Str_TypeDonneesCpt1=Cpt_Index,Tab_Compteur_1[[#This Row],[Index]]-E77,Tab_Compteur_1[[#This Row],[Quantité]])/Tab_Compteur_1[[#This Row],[Delta Jour]],"")&lt;0,"",IFERROR(IF(Str_TypeDonneesCpt1=Cpt_Index,Tab_Compteur_1[[#This Row],[Index]]-E77,Tab_Compteur_1[[#This Row],[Quantité]])/Tab_Compteur_1[[#This Row],[Delta Jour]],""))</f>
        <v/>
      </c>
      <c r="H78" t="str">
        <f>IFERROR(Tab_Compteur_1[[#This Row],[Montant]]/Tab_Compteur_1[[#This Row],[Delta Jour]],"")</f>
        <v/>
      </c>
      <c r="I78" s="184" t="str">
        <f>IF(SUM(Tab_Compteur_1[[#This Row],[Quantité]],Tab_Compteur_1[[#This Row],[Index]])&lt;=0,"",G78)</f>
        <v/>
      </c>
      <c r="J78" s="675"/>
      <c r="K78" s="36"/>
      <c r="L78" s="36"/>
      <c r="M78" s="36"/>
      <c r="N78" s="36"/>
      <c r="O78"/>
    </row>
    <row r="79" spans="1:15">
      <c r="A79" s="421">
        <f t="shared" si="4"/>
        <v>1</v>
      </c>
      <c r="B79" s="652"/>
      <c r="C79" s="683"/>
      <c r="D79" s="683"/>
      <c r="E79" s="519"/>
      <c r="F79">
        <f t="shared" si="3"/>
        <v>0</v>
      </c>
      <c r="G79" t="str">
        <f>IF(IFERROR(IF(Str_TypeDonneesCpt1=Cpt_Index,Tab_Compteur_1[[#This Row],[Index]]-E78,Tab_Compteur_1[[#This Row],[Quantité]])/Tab_Compteur_1[[#This Row],[Delta Jour]],"")&lt;0,"",IFERROR(IF(Str_TypeDonneesCpt1=Cpt_Index,Tab_Compteur_1[[#This Row],[Index]]-E78,Tab_Compteur_1[[#This Row],[Quantité]])/Tab_Compteur_1[[#This Row],[Delta Jour]],""))</f>
        <v/>
      </c>
      <c r="H79" t="str">
        <f>IFERROR(Tab_Compteur_1[[#This Row],[Montant]]/Tab_Compteur_1[[#This Row],[Delta Jour]],"")</f>
        <v/>
      </c>
      <c r="I79" s="184" t="str">
        <f>IF(SUM(Tab_Compteur_1[[#This Row],[Quantité]],Tab_Compteur_1[[#This Row],[Index]])&lt;=0,"",G79)</f>
        <v/>
      </c>
      <c r="J79" s="675"/>
      <c r="K79" s="36"/>
      <c r="L79" s="36"/>
      <c r="M79" s="36"/>
      <c r="N79" s="36"/>
      <c r="O79"/>
    </row>
    <row r="80" spans="1:15">
      <c r="A80" s="421">
        <f t="shared" si="4"/>
        <v>1</v>
      </c>
      <c r="B80" s="652"/>
      <c r="C80" s="683"/>
      <c r="D80" s="683"/>
      <c r="E80" s="519"/>
      <c r="F80">
        <f t="shared" si="3"/>
        <v>0</v>
      </c>
      <c r="G80" t="str">
        <f>IF(IFERROR(IF(Str_TypeDonneesCpt1=Cpt_Index,Tab_Compteur_1[[#This Row],[Index]]-E79,Tab_Compteur_1[[#This Row],[Quantité]])/Tab_Compteur_1[[#This Row],[Delta Jour]],"")&lt;0,"",IFERROR(IF(Str_TypeDonneesCpt1=Cpt_Index,Tab_Compteur_1[[#This Row],[Index]]-E79,Tab_Compteur_1[[#This Row],[Quantité]])/Tab_Compteur_1[[#This Row],[Delta Jour]],""))</f>
        <v/>
      </c>
      <c r="H80" t="str">
        <f>IFERROR(Tab_Compteur_1[[#This Row],[Montant]]/Tab_Compteur_1[[#This Row],[Delta Jour]],"")</f>
        <v/>
      </c>
      <c r="I80" s="184" t="str">
        <f>IF(SUM(Tab_Compteur_1[[#This Row],[Quantité]],Tab_Compteur_1[[#This Row],[Index]])&lt;=0,"",G80)</f>
        <v/>
      </c>
      <c r="J80" s="675"/>
      <c r="K80" s="36"/>
      <c r="L80" s="36"/>
      <c r="M80" s="36"/>
      <c r="N80" s="36"/>
      <c r="O80"/>
    </row>
    <row r="81" spans="1:15">
      <c r="A81" s="421">
        <f t="shared" si="4"/>
        <v>1</v>
      </c>
      <c r="B81" s="200"/>
      <c r="C81" s="684"/>
      <c r="D81" s="685"/>
      <c r="E81" s="519"/>
      <c r="F81">
        <f t="shared" si="3"/>
        <v>0</v>
      </c>
      <c r="G81" t="str">
        <f>IF(IFERROR(IF(Str_TypeDonneesCpt1=Cpt_Index,Tab_Compteur_1[[#This Row],[Index]]-E80,Tab_Compteur_1[[#This Row],[Quantité]])/Tab_Compteur_1[[#This Row],[Delta Jour]],"")&lt;0,"",IFERROR(IF(Str_TypeDonneesCpt1=Cpt_Index,Tab_Compteur_1[[#This Row],[Index]]-E80,Tab_Compteur_1[[#This Row],[Quantité]])/Tab_Compteur_1[[#This Row],[Delta Jour]],""))</f>
        <v/>
      </c>
      <c r="H81" t="str">
        <f>IFERROR(Tab_Compteur_1[[#This Row],[Montant]]/Tab_Compteur_1[[#This Row],[Delta Jour]],"")</f>
        <v/>
      </c>
      <c r="I81" s="184" t="str">
        <f>IF(SUM(Tab_Compteur_1[[#This Row],[Quantité]],Tab_Compteur_1[[#This Row],[Index]])&lt;=0,"",G81)</f>
        <v/>
      </c>
      <c r="J81" s="675"/>
      <c r="K81" s="36"/>
      <c r="L81" s="36"/>
      <c r="M81" s="36"/>
      <c r="N81" s="36"/>
      <c r="O81"/>
    </row>
    <row r="82" spans="1:15">
      <c r="A82" s="421">
        <f t="shared" si="4"/>
        <v>1</v>
      </c>
      <c r="B82" s="200"/>
      <c r="C82" s="684"/>
      <c r="D82" s="685"/>
      <c r="E82" s="519"/>
      <c r="F82">
        <f t="shared" si="3"/>
        <v>0</v>
      </c>
      <c r="G82" t="str">
        <f>IF(IFERROR(IF(Str_TypeDonneesCpt1=Cpt_Index,Tab_Compteur_1[[#This Row],[Index]]-E81,Tab_Compteur_1[[#This Row],[Quantité]])/Tab_Compteur_1[[#This Row],[Delta Jour]],"")&lt;0,"",IFERROR(IF(Str_TypeDonneesCpt1=Cpt_Index,Tab_Compteur_1[[#This Row],[Index]]-E81,Tab_Compteur_1[[#This Row],[Quantité]])/Tab_Compteur_1[[#This Row],[Delta Jour]],""))</f>
        <v/>
      </c>
      <c r="H82" t="str">
        <f>IFERROR(Tab_Compteur_1[[#This Row],[Montant]]/Tab_Compteur_1[[#This Row],[Delta Jour]],"")</f>
        <v/>
      </c>
      <c r="I82" s="184" t="str">
        <f>IF(SUM(Tab_Compteur_1[[#This Row],[Quantité]],Tab_Compteur_1[[#This Row],[Index]])&lt;=0,"",G82)</f>
        <v/>
      </c>
      <c r="J82" s="675"/>
      <c r="K82" s="36"/>
      <c r="L82" s="36"/>
      <c r="M82" s="36"/>
      <c r="N82" s="36"/>
      <c r="O82"/>
    </row>
    <row r="83" spans="1:15">
      <c r="A83" s="421">
        <f t="shared" si="4"/>
        <v>1</v>
      </c>
      <c r="B83" s="200"/>
      <c r="C83" s="684"/>
      <c r="D83" s="685"/>
      <c r="E83" s="519"/>
      <c r="F83">
        <f t="shared" si="3"/>
        <v>0</v>
      </c>
      <c r="G83" t="str">
        <f>IF(IFERROR(IF(Str_TypeDonneesCpt1=Cpt_Index,Tab_Compteur_1[[#This Row],[Index]]-E82,Tab_Compteur_1[[#This Row],[Quantité]])/Tab_Compteur_1[[#This Row],[Delta Jour]],"")&lt;0,"",IFERROR(IF(Str_TypeDonneesCpt1=Cpt_Index,Tab_Compteur_1[[#This Row],[Index]]-E82,Tab_Compteur_1[[#This Row],[Quantité]])/Tab_Compteur_1[[#This Row],[Delta Jour]],""))</f>
        <v/>
      </c>
      <c r="H83" t="str">
        <f>IFERROR(Tab_Compteur_1[[#This Row],[Montant]]/Tab_Compteur_1[[#This Row],[Delta Jour]],"")</f>
        <v/>
      </c>
      <c r="I83" s="184" t="str">
        <f>IF(SUM(Tab_Compteur_1[[#This Row],[Quantité]],Tab_Compteur_1[[#This Row],[Index]])&lt;=0,"",G83)</f>
        <v/>
      </c>
      <c r="J83" s="675"/>
      <c r="K83" s="36"/>
      <c r="L83" s="36"/>
      <c r="M83" s="36"/>
      <c r="N83" s="36"/>
      <c r="O83"/>
    </row>
    <row r="84" spans="1:15">
      <c r="A84" s="421">
        <f t="shared" si="4"/>
        <v>1</v>
      </c>
      <c r="B84" s="200"/>
      <c r="C84" s="684"/>
      <c r="D84" s="685"/>
      <c r="E84" s="519"/>
      <c r="F84">
        <f t="shared" si="3"/>
        <v>0</v>
      </c>
      <c r="G84" t="str">
        <f>IF(IFERROR(IF(Str_TypeDonneesCpt1=Cpt_Index,Tab_Compteur_1[[#This Row],[Index]]-E83,Tab_Compteur_1[[#This Row],[Quantité]])/Tab_Compteur_1[[#This Row],[Delta Jour]],"")&lt;0,"",IFERROR(IF(Str_TypeDonneesCpt1=Cpt_Index,Tab_Compteur_1[[#This Row],[Index]]-E83,Tab_Compteur_1[[#This Row],[Quantité]])/Tab_Compteur_1[[#This Row],[Delta Jour]],""))</f>
        <v/>
      </c>
      <c r="H84" t="str">
        <f>IFERROR(Tab_Compteur_1[[#This Row],[Montant]]/Tab_Compteur_1[[#This Row],[Delta Jour]],"")</f>
        <v/>
      </c>
      <c r="I84" s="184" t="str">
        <f>IF(SUM(Tab_Compteur_1[[#This Row],[Quantité]],Tab_Compteur_1[[#This Row],[Index]])&lt;=0,"",G84)</f>
        <v/>
      </c>
      <c r="J84" s="675"/>
      <c r="K84" s="36"/>
      <c r="L84" s="36"/>
      <c r="M84" s="36"/>
      <c r="N84" s="36"/>
      <c r="O84"/>
    </row>
    <row r="85" spans="1:15">
      <c r="A85" s="421">
        <f t="shared" si="4"/>
        <v>1</v>
      </c>
      <c r="B85" s="200"/>
      <c r="C85" s="684"/>
      <c r="D85" s="685"/>
      <c r="E85" s="519"/>
      <c r="F85">
        <f t="shared" si="3"/>
        <v>0</v>
      </c>
      <c r="G85" t="str">
        <f>IF(IFERROR(IF(Str_TypeDonneesCpt1=Cpt_Index,Tab_Compteur_1[[#This Row],[Index]]-E84,Tab_Compteur_1[[#This Row],[Quantité]])/Tab_Compteur_1[[#This Row],[Delta Jour]],"")&lt;0,"",IFERROR(IF(Str_TypeDonneesCpt1=Cpt_Index,Tab_Compteur_1[[#This Row],[Index]]-E84,Tab_Compteur_1[[#This Row],[Quantité]])/Tab_Compteur_1[[#This Row],[Delta Jour]],""))</f>
        <v/>
      </c>
      <c r="H85" t="str">
        <f>IFERROR(Tab_Compteur_1[[#This Row],[Montant]]/Tab_Compteur_1[[#This Row],[Delta Jour]],"")</f>
        <v/>
      </c>
      <c r="I85" s="184" t="str">
        <f>IF(SUM(Tab_Compteur_1[[#This Row],[Quantité]],Tab_Compteur_1[[#This Row],[Index]])&lt;=0,"",G85)</f>
        <v/>
      </c>
      <c r="J85" s="675"/>
      <c r="K85" s="36"/>
      <c r="L85" s="36"/>
      <c r="M85" s="36"/>
      <c r="N85" s="36"/>
      <c r="O85"/>
    </row>
    <row r="86" spans="1:15">
      <c r="A86" s="421">
        <f t="shared" si="4"/>
        <v>1</v>
      </c>
      <c r="B86" s="200"/>
      <c r="C86" s="684"/>
      <c r="D86" s="685"/>
      <c r="E86" s="519"/>
      <c r="F86">
        <f t="shared" si="3"/>
        <v>0</v>
      </c>
      <c r="G86" t="str">
        <f>IF(IFERROR(IF(Str_TypeDonneesCpt1=Cpt_Index,Tab_Compteur_1[[#This Row],[Index]]-E85,Tab_Compteur_1[[#This Row],[Quantité]])/Tab_Compteur_1[[#This Row],[Delta Jour]],"")&lt;0,"",IFERROR(IF(Str_TypeDonneesCpt1=Cpt_Index,Tab_Compteur_1[[#This Row],[Index]]-E85,Tab_Compteur_1[[#This Row],[Quantité]])/Tab_Compteur_1[[#This Row],[Delta Jour]],""))</f>
        <v/>
      </c>
      <c r="H86" t="str">
        <f>IFERROR(Tab_Compteur_1[[#This Row],[Montant]]/Tab_Compteur_1[[#This Row],[Delta Jour]],"")</f>
        <v/>
      </c>
      <c r="I86" s="184" t="str">
        <f>IF(SUM(Tab_Compteur_1[[#This Row],[Quantité]],Tab_Compteur_1[[#This Row],[Index]])&lt;=0,"",G86)</f>
        <v/>
      </c>
      <c r="J86" s="675"/>
      <c r="K86" s="36"/>
      <c r="L86" s="36"/>
      <c r="M86" s="36"/>
      <c r="N86" s="36"/>
      <c r="O86"/>
    </row>
    <row r="87" spans="1:15">
      <c r="A87" s="421">
        <f t="shared" si="4"/>
        <v>1</v>
      </c>
      <c r="B87" s="200"/>
      <c r="C87" s="684"/>
      <c r="D87" s="685"/>
      <c r="E87" s="519"/>
      <c r="F87">
        <f t="shared" si="3"/>
        <v>0</v>
      </c>
      <c r="G87" t="str">
        <f>IF(IFERROR(IF(Str_TypeDonneesCpt1=Cpt_Index,Tab_Compteur_1[[#This Row],[Index]]-E86,Tab_Compteur_1[[#This Row],[Quantité]])/Tab_Compteur_1[[#This Row],[Delta Jour]],"")&lt;0,"",IFERROR(IF(Str_TypeDonneesCpt1=Cpt_Index,Tab_Compteur_1[[#This Row],[Index]]-E86,Tab_Compteur_1[[#This Row],[Quantité]])/Tab_Compteur_1[[#This Row],[Delta Jour]],""))</f>
        <v/>
      </c>
      <c r="H87" t="str">
        <f>IFERROR(Tab_Compteur_1[[#This Row],[Montant]]/Tab_Compteur_1[[#This Row],[Delta Jour]],"")</f>
        <v/>
      </c>
      <c r="I87" s="184" t="str">
        <f>IF(SUM(Tab_Compteur_1[[#This Row],[Quantité]],Tab_Compteur_1[[#This Row],[Index]])&lt;=0,"",G87)</f>
        <v/>
      </c>
      <c r="J87" s="675"/>
      <c r="K87" s="36"/>
      <c r="L87" s="36"/>
      <c r="M87" s="36"/>
      <c r="N87" s="36"/>
      <c r="O87"/>
    </row>
    <row r="88" spans="1:15">
      <c r="A88" s="421">
        <f t="shared" si="4"/>
        <v>1</v>
      </c>
      <c r="B88" s="200"/>
      <c r="C88" s="686"/>
      <c r="D88" s="685"/>
      <c r="E88" s="519"/>
      <c r="F88">
        <f t="shared" si="3"/>
        <v>0</v>
      </c>
      <c r="G88" t="str">
        <f>IF(IFERROR(IF(Str_TypeDonneesCpt1=Cpt_Index,Tab_Compteur_1[[#This Row],[Index]]-E87,Tab_Compteur_1[[#This Row],[Quantité]])/Tab_Compteur_1[[#This Row],[Delta Jour]],"")&lt;0,"",IFERROR(IF(Str_TypeDonneesCpt1=Cpt_Index,Tab_Compteur_1[[#This Row],[Index]]-E87,Tab_Compteur_1[[#This Row],[Quantité]])/Tab_Compteur_1[[#This Row],[Delta Jour]],""))</f>
        <v/>
      </c>
      <c r="H88" t="str">
        <f>IFERROR(Tab_Compteur_1[[#This Row],[Montant]]/Tab_Compteur_1[[#This Row],[Delta Jour]],"")</f>
        <v/>
      </c>
      <c r="I88" s="184" t="str">
        <f>IF(SUM(Tab_Compteur_1[[#This Row],[Quantité]],Tab_Compteur_1[[#This Row],[Index]])&lt;=0,"",G88)</f>
        <v/>
      </c>
      <c r="J88" s="675"/>
      <c r="K88" s="36"/>
      <c r="L88" s="36"/>
      <c r="M88" s="36"/>
      <c r="N88" s="36"/>
      <c r="O88"/>
    </row>
    <row r="89" spans="1:15">
      <c r="A89" s="421">
        <f t="shared" si="4"/>
        <v>1</v>
      </c>
      <c r="B89" s="200"/>
      <c r="C89" s="181"/>
      <c r="D89" s="685"/>
      <c r="E89" s="519"/>
      <c r="F89">
        <f t="shared" si="3"/>
        <v>0</v>
      </c>
      <c r="G89" t="str">
        <f>IF(IFERROR(IF(Str_TypeDonneesCpt1=Cpt_Index,Tab_Compteur_1[[#This Row],[Index]]-E88,Tab_Compteur_1[[#This Row],[Quantité]])/Tab_Compteur_1[[#This Row],[Delta Jour]],"")&lt;0,"",IFERROR(IF(Str_TypeDonneesCpt1=Cpt_Index,Tab_Compteur_1[[#This Row],[Index]]-E88,Tab_Compteur_1[[#This Row],[Quantité]])/Tab_Compteur_1[[#This Row],[Delta Jour]],""))</f>
        <v/>
      </c>
      <c r="H89" t="str">
        <f>IFERROR(Tab_Compteur_1[[#This Row],[Montant]]/Tab_Compteur_1[[#This Row],[Delta Jour]],"")</f>
        <v/>
      </c>
      <c r="I89" s="184" t="str">
        <f>IF(SUM(Tab_Compteur_1[[#This Row],[Quantité]],Tab_Compteur_1[[#This Row],[Index]])&lt;=0,"",G89)</f>
        <v/>
      </c>
      <c r="J89" s="675"/>
      <c r="K89" s="36"/>
      <c r="L89" s="36"/>
      <c r="M89" s="36"/>
      <c r="N89" s="36"/>
      <c r="O89"/>
    </row>
    <row r="90" spans="1:15">
      <c r="A90" s="421">
        <f t="shared" si="4"/>
        <v>1</v>
      </c>
      <c r="B90" s="200"/>
      <c r="C90" s="181"/>
      <c r="D90" s="685"/>
      <c r="E90" s="519"/>
      <c r="F90">
        <f t="shared" si="3"/>
        <v>0</v>
      </c>
      <c r="G90" t="str">
        <f>IF(IFERROR(IF(Str_TypeDonneesCpt1=Cpt_Index,Tab_Compteur_1[[#This Row],[Index]]-E89,Tab_Compteur_1[[#This Row],[Quantité]])/Tab_Compteur_1[[#This Row],[Delta Jour]],"")&lt;0,"",IFERROR(IF(Str_TypeDonneesCpt1=Cpt_Index,Tab_Compteur_1[[#This Row],[Index]]-E89,Tab_Compteur_1[[#This Row],[Quantité]])/Tab_Compteur_1[[#This Row],[Delta Jour]],""))</f>
        <v/>
      </c>
      <c r="H90" t="str">
        <f>IFERROR(Tab_Compteur_1[[#This Row],[Montant]]/Tab_Compteur_1[[#This Row],[Delta Jour]],"")</f>
        <v/>
      </c>
      <c r="I90" s="184" t="str">
        <f>IF(SUM(Tab_Compteur_1[[#This Row],[Quantité]],Tab_Compteur_1[[#This Row],[Index]])&lt;=0,"",G90)</f>
        <v/>
      </c>
      <c r="J90" s="675"/>
      <c r="K90" s="36"/>
      <c r="L90" s="36"/>
      <c r="M90" s="36"/>
      <c r="N90" s="36"/>
      <c r="O90"/>
    </row>
    <row r="91" spans="1:15">
      <c r="A91" s="421">
        <f t="shared" si="4"/>
        <v>1</v>
      </c>
      <c r="B91" s="200"/>
      <c r="C91" s="181"/>
      <c r="D91" s="685"/>
      <c r="E91" s="519"/>
      <c r="F91">
        <f t="shared" si="3"/>
        <v>0</v>
      </c>
      <c r="G91" t="str">
        <f>IF(IFERROR(IF(Str_TypeDonneesCpt1=Cpt_Index,Tab_Compteur_1[[#This Row],[Index]]-E90,Tab_Compteur_1[[#This Row],[Quantité]])/Tab_Compteur_1[[#This Row],[Delta Jour]],"")&lt;0,"",IFERROR(IF(Str_TypeDonneesCpt1=Cpt_Index,Tab_Compteur_1[[#This Row],[Index]]-E90,Tab_Compteur_1[[#This Row],[Quantité]])/Tab_Compteur_1[[#This Row],[Delta Jour]],""))</f>
        <v/>
      </c>
      <c r="H91" t="str">
        <f>IFERROR(Tab_Compteur_1[[#This Row],[Montant]]/Tab_Compteur_1[[#This Row],[Delta Jour]],"")</f>
        <v/>
      </c>
      <c r="I91" s="184" t="str">
        <f>IF(SUM(Tab_Compteur_1[[#This Row],[Quantité]],Tab_Compteur_1[[#This Row],[Index]])&lt;=0,"",G91)</f>
        <v/>
      </c>
      <c r="J91" s="675"/>
      <c r="K91" s="36"/>
      <c r="L91" s="36"/>
      <c r="M91" s="36"/>
      <c r="N91" s="36"/>
      <c r="O91"/>
    </row>
    <row r="92" spans="1:15">
      <c r="A92" s="421">
        <f t="shared" si="4"/>
        <v>1</v>
      </c>
      <c r="B92" s="200"/>
      <c r="C92" s="181"/>
      <c r="D92" s="685"/>
      <c r="E92" s="519"/>
      <c r="F92">
        <f t="shared" si="3"/>
        <v>0</v>
      </c>
      <c r="G92" t="str">
        <f>IF(IFERROR(IF(Str_TypeDonneesCpt1=Cpt_Index,Tab_Compteur_1[[#This Row],[Index]]-E91,Tab_Compteur_1[[#This Row],[Quantité]])/Tab_Compteur_1[[#This Row],[Delta Jour]],"")&lt;0,"",IFERROR(IF(Str_TypeDonneesCpt1=Cpt_Index,Tab_Compteur_1[[#This Row],[Index]]-E91,Tab_Compteur_1[[#This Row],[Quantité]])/Tab_Compteur_1[[#This Row],[Delta Jour]],""))</f>
        <v/>
      </c>
      <c r="H92" t="str">
        <f>IFERROR(Tab_Compteur_1[[#This Row],[Montant]]/Tab_Compteur_1[[#This Row],[Delta Jour]],"")</f>
        <v/>
      </c>
      <c r="I92" s="184" t="str">
        <f>IF(SUM(Tab_Compteur_1[[#This Row],[Quantité]],Tab_Compteur_1[[#This Row],[Index]])&lt;=0,"",G92)</f>
        <v/>
      </c>
      <c r="J92" s="675"/>
      <c r="K92" s="36"/>
      <c r="L92" s="36"/>
      <c r="M92" s="36"/>
      <c r="N92" s="36"/>
      <c r="O92"/>
    </row>
    <row r="93" spans="1:15">
      <c r="A93" s="421">
        <f t="shared" si="4"/>
        <v>1</v>
      </c>
      <c r="B93" s="200"/>
      <c r="C93" s="181"/>
      <c r="D93" s="685"/>
      <c r="E93" s="519"/>
      <c r="F93">
        <f t="shared" si="3"/>
        <v>0</v>
      </c>
      <c r="G93" t="str">
        <f>IF(IFERROR(IF(Str_TypeDonneesCpt1=Cpt_Index,Tab_Compteur_1[[#This Row],[Index]]-E92,Tab_Compteur_1[[#This Row],[Quantité]])/Tab_Compteur_1[[#This Row],[Delta Jour]],"")&lt;0,"",IFERROR(IF(Str_TypeDonneesCpt1=Cpt_Index,Tab_Compteur_1[[#This Row],[Index]]-E92,Tab_Compteur_1[[#This Row],[Quantité]])/Tab_Compteur_1[[#This Row],[Delta Jour]],""))</f>
        <v/>
      </c>
      <c r="H93" t="str">
        <f>IFERROR(Tab_Compteur_1[[#This Row],[Montant]]/Tab_Compteur_1[[#This Row],[Delta Jour]],"")</f>
        <v/>
      </c>
      <c r="I93" s="184" t="str">
        <f>IF(SUM(Tab_Compteur_1[[#This Row],[Quantité]],Tab_Compteur_1[[#This Row],[Index]])&lt;=0,"",G93)</f>
        <v/>
      </c>
      <c r="J93" s="675"/>
      <c r="K93" s="36"/>
      <c r="L93" s="36"/>
      <c r="M93" s="36"/>
      <c r="N93" s="36"/>
      <c r="O93"/>
    </row>
    <row r="94" spans="1:15">
      <c r="A94" s="421">
        <f t="shared" si="4"/>
        <v>1</v>
      </c>
      <c r="B94" s="200"/>
      <c r="C94" s="181"/>
      <c r="D94" s="685"/>
      <c r="E94" s="519"/>
      <c r="F94">
        <f t="shared" si="3"/>
        <v>0</v>
      </c>
      <c r="G94" t="str">
        <f>IF(IFERROR(IF(Str_TypeDonneesCpt1=Cpt_Index,Tab_Compteur_1[[#This Row],[Index]]-E93,Tab_Compteur_1[[#This Row],[Quantité]])/Tab_Compteur_1[[#This Row],[Delta Jour]],"")&lt;0,"",IFERROR(IF(Str_TypeDonneesCpt1=Cpt_Index,Tab_Compteur_1[[#This Row],[Index]]-E93,Tab_Compteur_1[[#This Row],[Quantité]])/Tab_Compteur_1[[#This Row],[Delta Jour]],""))</f>
        <v/>
      </c>
      <c r="H94" t="str">
        <f>IFERROR(Tab_Compteur_1[[#This Row],[Montant]]/Tab_Compteur_1[[#This Row],[Delta Jour]],"")</f>
        <v/>
      </c>
      <c r="I94" s="184" t="str">
        <f>IF(SUM(Tab_Compteur_1[[#This Row],[Quantité]],Tab_Compteur_1[[#This Row],[Index]])&lt;=0,"",G94)</f>
        <v/>
      </c>
      <c r="J94" s="675"/>
      <c r="K94" s="36"/>
      <c r="L94" s="36"/>
      <c r="M94" s="36"/>
      <c r="N94" s="36"/>
      <c r="O94"/>
    </row>
    <row r="95" spans="1:15">
      <c r="A95" s="421">
        <f t="shared" si="4"/>
        <v>1</v>
      </c>
      <c r="B95" s="200"/>
      <c r="C95" s="181"/>
      <c r="D95" s="685"/>
      <c r="E95" s="519"/>
      <c r="F95">
        <f t="shared" si="3"/>
        <v>0</v>
      </c>
      <c r="G95" t="str">
        <f>IF(IFERROR(IF(Str_TypeDonneesCpt1=Cpt_Index,Tab_Compteur_1[[#This Row],[Index]]-E94,Tab_Compteur_1[[#This Row],[Quantité]])/Tab_Compteur_1[[#This Row],[Delta Jour]],"")&lt;0,"",IFERROR(IF(Str_TypeDonneesCpt1=Cpt_Index,Tab_Compteur_1[[#This Row],[Index]]-E94,Tab_Compteur_1[[#This Row],[Quantité]])/Tab_Compteur_1[[#This Row],[Delta Jour]],""))</f>
        <v/>
      </c>
      <c r="H95" t="str">
        <f>IFERROR(Tab_Compteur_1[[#This Row],[Montant]]/Tab_Compteur_1[[#This Row],[Delta Jour]],"")</f>
        <v/>
      </c>
      <c r="I95" s="184" t="str">
        <f>IF(SUM(Tab_Compteur_1[[#This Row],[Quantité]],Tab_Compteur_1[[#This Row],[Index]])&lt;=0,"",G95)</f>
        <v/>
      </c>
      <c r="J95" s="675"/>
      <c r="K95" s="36"/>
      <c r="L95" s="36"/>
      <c r="M95" s="36"/>
      <c r="N95" s="36"/>
      <c r="O95"/>
    </row>
    <row r="96" spans="1:15">
      <c r="A96" s="421">
        <f t="shared" si="4"/>
        <v>1</v>
      </c>
      <c r="B96" s="200"/>
      <c r="C96" s="181"/>
      <c r="D96" s="685"/>
      <c r="E96" s="519"/>
      <c r="F96">
        <f t="shared" si="3"/>
        <v>0</v>
      </c>
      <c r="G96" t="str">
        <f>IF(IFERROR(IF(Str_TypeDonneesCpt1=Cpt_Index,Tab_Compteur_1[[#This Row],[Index]]-E95,Tab_Compteur_1[[#This Row],[Quantité]])/Tab_Compteur_1[[#This Row],[Delta Jour]],"")&lt;0,"",IFERROR(IF(Str_TypeDonneesCpt1=Cpt_Index,Tab_Compteur_1[[#This Row],[Index]]-E95,Tab_Compteur_1[[#This Row],[Quantité]])/Tab_Compteur_1[[#This Row],[Delta Jour]],""))</f>
        <v/>
      </c>
      <c r="H96" t="str">
        <f>IFERROR(Tab_Compteur_1[[#This Row],[Montant]]/Tab_Compteur_1[[#This Row],[Delta Jour]],"")</f>
        <v/>
      </c>
      <c r="I96" s="184" t="str">
        <f>IF(SUM(Tab_Compteur_1[[#This Row],[Quantité]],Tab_Compteur_1[[#This Row],[Index]])&lt;=0,"",G96)</f>
        <v/>
      </c>
      <c r="J96" s="675"/>
      <c r="K96" s="36"/>
      <c r="L96" s="36"/>
      <c r="M96" s="36"/>
      <c r="N96" s="36"/>
      <c r="O96"/>
    </row>
    <row r="97" spans="1:15">
      <c r="A97" s="421">
        <f t="shared" si="4"/>
        <v>1</v>
      </c>
      <c r="B97" s="200"/>
      <c r="C97" s="181"/>
      <c r="D97" s="685"/>
      <c r="E97" s="519"/>
      <c r="F97">
        <f t="shared" si="3"/>
        <v>0</v>
      </c>
      <c r="G97" t="str">
        <f>IF(IFERROR(IF(Str_TypeDonneesCpt1=Cpt_Index,Tab_Compteur_1[[#This Row],[Index]]-E96,Tab_Compteur_1[[#This Row],[Quantité]])/Tab_Compteur_1[[#This Row],[Delta Jour]],"")&lt;0,"",IFERROR(IF(Str_TypeDonneesCpt1=Cpt_Index,Tab_Compteur_1[[#This Row],[Index]]-E96,Tab_Compteur_1[[#This Row],[Quantité]])/Tab_Compteur_1[[#This Row],[Delta Jour]],""))</f>
        <v/>
      </c>
      <c r="H97" t="str">
        <f>IFERROR(Tab_Compteur_1[[#This Row],[Montant]]/Tab_Compteur_1[[#This Row],[Delta Jour]],"")</f>
        <v/>
      </c>
      <c r="I97" s="184" t="str">
        <f>IF(SUM(Tab_Compteur_1[[#This Row],[Quantité]],Tab_Compteur_1[[#This Row],[Index]])&lt;=0,"",G97)</f>
        <v/>
      </c>
      <c r="J97" s="675"/>
      <c r="K97" s="36"/>
      <c r="L97" s="36"/>
      <c r="M97" s="36"/>
      <c r="N97" s="36"/>
      <c r="O97"/>
    </row>
    <row r="98" spans="1:15">
      <c r="A98" s="421">
        <f t="shared" si="4"/>
        <v>1</v>
      </c>
      <c r="B98" s="200"/>
      <c r="C98" s="181"/>
      <c r="D98" s="685"/>
      <c r="E98" s="519"/>
      <c r="F98">
        <f t="shared" si="3"/>
        <v>0</v>
      </c>
      <c r="G98" t="str">
        <f>IF(IFERROR(IF(Str_TypeDonneesCpt1=Cpt_Index,Tab_Compteur_1[[#This Row],[Index]]-E97,Tab_Compteur_1[[#This Row],[Quantité]])/Tab_Compteur_1[[#This Row],[Delta Jour]],"")&lt;0,"",IFERROR(IF(Str_TypeDonneesCpt1=Cpt_Index,Tab_Compteur_1[[#This Row],[Index]]-E97,Tab_Compteur_1[[#This Row],[Quantité]])/Tab_Compteur_1[[#This Row],[Delta Jour]],""))</f>
        <v/>
      </c>
      <c r="H98" t="str">
        <f>IFERROR(Tab_Compteur_1[[#This Row],[Montant]]/Tab_Compteur_1[[#This Row],[Delta Jour]],"")</f>
        <v/>
      </c>
      <c r="I98" s="184" t="str">
        <f>IF(SUM(Tab_Compteur_1[[#This Row],[Quantité]],Tab_Compteur_1[[#This Row],[Index]])&lt;=0,"",G98)</f>
        <v/>
      </c>
      <c r="J98" s="675"/>
      <c r="K98" s="36"/>
      <c r="L98" s="36"/>
      <c r="M98" s="36"/>
      <c r="N98" s="36"/>
      <c r="O98"/>
    </row>
    <row r="99" spans="1:15">
      <c r="A99" s="421">
        <f t="shared" si="4"/>
        <v>1</v>
      </c>
      <c r="B99" s="200"/>
      <c r="C99" s="181"/>
      <c r="D99" s="685"/>
      <c r="E99" s="519"/>
      <c r="F99">
        <f t="shared" si="3"/>
        <v>0</v>
      </c>
      <c r="G99" t="str">
        <f>IF(IFERROR(IF(Str_TypeDonneesCpt1=Cpt_Index,Tab_Compteur_1[[#This Row],[Index]]-E98,Tab_Compteur_1[[#This Row],[Quantité]])/Tab_Compteur_1[[#This Row],[Delta Jour]],"")&lt;0,"",IFERROR(IF(Str_TypeDonneesCpt1=Cpt_Index,Tab_Compteur_1[[#This Row],[Index]]-E98,Tab_Compteur_1[[#This Row],[Quantité]])/Tab_Compteur_1[[#This Row],[Delta Jour]],""))</f>
        <v/>
      </c>
      <c r="H99" t="str">
        <f>IFERROR(Tab_Compteur_1[[#This Row],[Montant]]/Tab_Compteur_1[[#This Row],[Delta Jour]],"")</f>
        <v/>
      </c>
      <c r="I99" s="184" t="str">
        <f>IF(SUM(Tab_Compteur_1[[#This Row],[Quantité]],Tab_Compteur_1[[#This Row],[Index]])&lt;=0,"",G99)</f>
        <v/>
      </c>
      <c r="J99" s="675"/>
      <c r="K99" s="36"/>
      <c r="L99" s="36"/>
      <c r="M99" s="36"/>
      <c r="N99" s="36"/>
      <c r="O99"/>
    </row>
    <row r="100" spans="1:15">
      <c r="A100" s="421">
        <f t="shared" si="4"/>
        <v>1</v>
      </c>
      <c r="B100" s="200"/>
      <c r="C100" s="181"/>
      <c r="D100" s="685"/>
      <c r="E100" s="519"/>
      <c r="F100">
        <f t="shared" si="3"/>
        <v>0</v>
      </c>
      <c r="G100" t="str">
        <f>IF(IFERROR(IF(Str_TypeDonneesCpt1=Cpt_Index,Tab_Compteur_1[[#This Row],[Index]]-E99,Tab_Compteur_1[[#This Row],[Quantité]])/Tab_Compteur_1[[#This Row],[Delta Jour]],"")&lt;0,"",IFERROR(IF(Str_TypeDonneesCpt1=Cpt_Index,Tab_Compteur_1[[#This Row],[Index]]-E99,Tab_Compteur_1[[#This Row],[Quantité]])/Tab_Compteur_1[[#This Row],[Delta Jour]],""))</f>
        <v/>
      </c>
      <c r="H100" t="str">
        <f>IFERROR(Tab_Compteur_1[[#This Row],[Montant]]/Tab_Compteur_1[[#This Row],[Delta Jour]],"")</f>
        <v/>
      </c>
      <c r="I100" s="184" t="str">
        <f>IF(SUM(Tab_Compteur_1[[#This Row],[Quantité]],Tab_Compteur_1[[#This Row],[Index]])&lt;=0,"",G100)</f>
        <v/>
      </c>
      <c r="J100" s="675"/>
      <c r="K100" s="36"/>
      <c r="L100" s="36"/>
      <c r="M100" s="36"/>
      <c r="N100" s="36"/>
      <c r="O100"/>
    </row>
    <row r="101" spans="1:15">
      <c r="A101" s="421">
        <f t="shared" si="4"/>
        <v>1</v>
      </c>
      <c r="B101" s="200"/>
      <c r="C101" s="181"/>
      <c r="D101" s="685"/>
      <c r="E101" s="519"/>
      <c r="F101">
        <f t="shared" si="3"/>
        <v>0</v>
      </c>
      <c r="G101" t="str">
        <f>IF(IFERROR(IF(Str_TypeDonneesCpt1=Cpt_Index,Tab_Compteur_1[[#This Row],[Index]]-E100,Tab_Compteur_1[[#This Row],[Quantité]])/Tab_Compteur_1[[#This Row],[Delta Jour]],"")&lt;0,"",IFERROR(IF(Str_TypeDonneesCpt1=Cpt_Index,Tab_Compteur_1[[#This Row],[Index]]-E100,Tab_Compteur_1[[#This Row],[Quantité]])/Tab_Compteur_1[[#This Row],[Delta Jour]],""))</f>
        <v/>
      </c>
      <c r="H101" t="str">
        <f>IFERROR(Tab_Compteur_1[[#This Row],[Montant]]/Tab_Compteur_1[[#This Row],[Delta Jour]],"")</f>
        <v/>
      </c>
      <c r="I101" s="184" t="str">
        <f>IF(SUM(Tab_Compteur_1[[#This Row],[Quantité]],Tab_Compteur_1[[#This Row],[Index]])&lt;=0,"",G101)</f>
        <v/>
      </c>
      <c r="J101" s="675"/>
      <c r="K101" s="36"/>
      <c r="L101" s="36"/>
      <c r="M101" s="36"/>
      <c r="N101" s="36"/>
      <c r="O101"/>
    </row>
    <row r="102" spans="1:15">
      <c r="A102" s="421">
        <f t="shared" si="4"/>
        <v>1</v>
      </c>
      <c r="B102" s="200"/>
      <c r="C102" s="181"/>
      <c r="D102" s="685"/>
      <c r="E102" s="519"/>
      <c r="F102">
        <f t="shared" si="3"/>
        <v>0</v>
      </c>
      <c r="G102" t="str">
        <f>IF(IFERROR(IF(Str_TypeDonneesCpt1=Cpt_Index,Tab_Compteur_1[[#This Row],[Index]]-E101,Tab_Compteur_1[[#This Row],[Quantité]])/Tab_Compteur_1[[#This Row],[Delta Jour]],"")&lt;0,"",IFERROR(IF(Str_TypeDonneesCpt1=Cpt_Index,Tab_Compteur_1[[#This Row],[Index]]-E101,Tab_Compteur_1[[#This Row],[Quantité]])/Tab_Compteur_1[[#This Row],[Delta Jour]],""))</f>
        <v/>
      </c>
      <c r="H102" t="str">
        <f>IFERROR(Tab_Compteur_1[[#This Row],[Montant]]/Tab_Compteur_1[[#This Row],[Delta Jour]],"")</f>
        <v/>
      </c>
      <c r="I102" s="184" t="str">
        <f>IF(SUM(Tab_Compteur_1[[#This Row],[Quantité]],Tab_Compteur_1[[#This Row],[Index]])&lt;=0,"",G102)</f>
        <v/>
      </c>
      <c r="J102" s="675"/>
      <c r="K102" s="36"/>
      <c r="L102" s="36"/>
      <c r="M102" s="36"/>
      <c r="N102" s="36"/>
      <c r="O102"/>
    </row>
    <row r="103" spans="1:15">
      <c r="A103" s="421">
        <f t="shared" si="4"/>
        <v>1</v>
      </c>
      <c r="B103" s="200"/>
      <c r="C103" s="181"/>
      <c r="D103" s="685"/>
      <c r="E103" s="519"/>
      <c r="F103">
        <f t="shared" si="3"/>
        <v>0</v>
      </c>
      <c r="G103" t="str">
        <f>IF(IFERROR(IF(Str_TypeDonneesCpt1=Cpt_Index,Tab_Compteur_1[[#This Row],[Index]]-E102,Tab_Compteur_1[[#This Row],[Quantité]])/Tab_Compteur_1[[#This Row],[Delta Jour]],"")&lt;0,"",IFERROR(IF(Str_TypeDonneesCpt1=Cpt_Index,Tab_Compteur_1[[#This Row],[Index]]-E102,Tab_Compteur_1[[#This Row],[Quantité]])/Tab_Compteur_1[[#This Row],[Delta Jour]],""))</f>
        <v/>
      </c>
      <c r="H103" t="str">
        <f>IFERROR(Tab_Compteur_1[[#This Row],[Montant]]/Tab_Compteur_1[[#This Row],[Delta Jour]],"")</f>
        <v/>
      </c>
      <c r="I103" s="184" t="str">
        <f>IF(SUM(Tab_Compteur_1[[#This Row],[Quantité]],Tab_Compteur_1[[#This Row],[Index]])&lt;=0,"",G103)</f>
        <v/>
      </c>
      <c r="J103" s="675"/>
      <c r="K103" s="36"/>
      <c r="L103" s="36"/>
      <c r="M103" s="36"/>
      <c r="N103" s="36"/>
      <c r="O103"/>
    </row>
    <row r="104" spans="1:15">
      <c r="A104" s="421">
        <f t="shared" si="4"/>
        <v>1</v>
      </c>
      <c r="B104" s="200"/>
      <c r="C104" s="181"/>
      <c r="D104" s="685"/>
      <c r="E104" s="519"/>
      <c r="F104">
        <f t="shared" si="3"/>
        <v>0</v>
      </c>
      <c r="G104" t="str">
        <f>IF(IFERROR(IF(Str_TypeDonneesCpt1=Cpt_Index,Tab_Compteur_1[[#This Row],[Index]]-E103,Tab_Compteur_1[[#This Row],[Quantité]])/Tab_Compteur_1[[#This Row],[Delta Jour]],"")&lt;0,"",IFERROR(IF(Str_TypeDonneesCpt1=Cpt_Index,Tab_Compteur_1[[#This Row],[Index]]-E103,Tab_Compteur_1[[#This Row],[Quantité]])/Tab_Compteur_1[[#This Row],[Delta Jour]],""))</f>
        <v/>
      </c>
      <c r="H104" t="str">
        <f>IFERROR(Tab_Compteur_1[[#This Row],[Montant]]/Tab_Compteur_1[[#This Row],[Delta Jour]],"")</f>
        <v/>
      </c>
      <c r="I104" s="184" t="str">
        <f>IF(SUM(Tab_Compteur_1[[#This Row],[Quantité]],Tab_Compteur_1[[#This Row],[Index]])&lt;=0,"",G104)</f>
        <v/>
      </c>
      <c r="J104" s="675"/>
      <c r="K104" s="36"/>
      <c r="L104" s="36"/>
      <c r="M104" s="36"/>
      <c r="N104" s="36"/>
      <c r="O104"/>
    </row>
    <row r="105" spans="1:15">
      <c r="A105" s="421">
        <f t="shared" si="4"/>
        <v>1</v>
      </c>
      <c r="B105" s="200"/>
      <c r="C105" s="181"/>
      <c r="D105" s="685"/>
      <c r="E105" s="519"/>
      <c r="F105">
        <f t="shared" si="3"/>
        <v>0</v>
      </c>
      <c r="G105" t="str">
        <f>IF(IFERROR(IF(Str_TypeDonneesCpt1=Cpt_Index,Tab_Compteur_1[[#This Row],[Index]]-E104,Tab_Compteur_1[[#This Row],[Quantité]])/Tab_Compteur_1[[#This Row],[Delta Jour]],"")&lt;0,"",IFERROR(IF(Str_TypeDonneesCpt1=Cpt_Index,Tab_Compteur_1[[#This Row],[Index]]-E104,Tab_Compteur_1[[#This Row],[Quantité]])/Tab_Compteur_1[[#This Row],[Delta Jour]],""))</f>
        <v/>
      </c>
      <c r="H105" t="str">
        <f>IFERROR(Tab_Compteur_1[[#This Row],[Montant]]/Tab_Compteur_1[[#This Row],[Delta Jour]],"")</f>
        <v/>
      </c>
      <c r="I105" s="184" t="str">
        <f>IF(SUM(Tab_Compteur_1[[#This Row],[Quantité]],Tab_Compteur_1[[#This Row],[Index]])&lt;=0,"",G105)</f>
        <v/>
      </c>
      <c r="J105" s="675"/>
      <c r="K105" s="36"/>
      <c r="L105" s="36"/>
      <c r="M105" s="36"/>
      <c r="N105" s="36"/>
      <c r="O105"/>
    </row>
    <row r="106" spans="1:15">
      <c r="A106" s="421">
        <f t="shared" si="4"/>
        <v>1</v>
      </c>
      <c r="B106" s="200"/>
      <c r="C106" s="181"/>
      <c r="D106" s="685"/>
      <c r="E106" s="519"/>
      <c r="F106">
        <f t="shared" si="3"/>
        <v>0</v>
      </c>
      <c r="G106" t="str">
        <f>IF(IFERROR(IF(Str_TypeDonneesCpt1=Cpt_Index,Tab_Compteur_1[[#This Row],[Index]]-E105,Tab_Compteur_1[[#This Row],[Quantité]])/Tab_Compteur_1[[#This Row],[Delta Jour]],"")&lt;0,"",IFERROR(IF(Str_TypeDonneesCpt1=Cpt_Index,Tab_Compteur_1[[#This Row],[Index]]-E105,Tab_Compteur_1[[#This Row],[Quantité]])/Tab_Compteur_1[[#This Row],[Delta Jour]],""))</f>
        <v/>
      </c>
      <c r="H106" t="str">
        <f>IFERROR(Tab_Compteur_1[[#This Row],[Montant]]/Tab_Compteur_1[[#This Row],[Delta Jour]],"")</f>
        <v/>
      </c>
      <c r="I106" s="184" t="str">
        <f>IF(SUM(Tab_Compteur_1[[#This Row],[Quantité]],Tab_Compteur_1[[#This Row],[Index]])&lt;=0,"",G106)</f>
        <v/>
      </c>
      <c r="J106" s="675"/>
      <c r="K106" s="36"/>
      <c r="L106" s="36"/>
      <c r="M106" s="36"/>
      <c r="N106" s="36"/>
      <c r="O106"/>
    </row>
    <row r="107" spans="1:15">
      <c r="A107" s="421">
        <f t="shared" si="4"/>
        <v>1</v>
      </c>
      <c r="B107" s="200"/>
      <c r="C107" s="181"/>
      <c r="D107" s="685"/>
      <c r="E107" s="519"/>
      <c r="F107">
        <f t="shared" si="3"/>
        <v>0</v>
      </c>
      <c r="G107" t="str">
        <f>IF(IFERROR(IF(Str_TypeDonneesCpt1=Cpt_Index,Tab_Compteur_1[[#This Row],[Index]]-E106,Tab_Compteur_1[[#This Row],[Quantité]])/Tab_Compteur_1[[#This Row],[Delta Jour]],"")&lt;0,"",IFERROR(IF(Str_TypeDonneesCpt1=Cpt_Index,Tab_Compteur_1[[#This Row],[Index]]-E106,Tab_Compteur_1[[#This Row],[Quantité]])/Tab_Compteur_1[[#This Row],[Delta Jour]],""))</f>
        <v/>
      </c>
      <c r="H107" t="str">
        <f>IFERROR(Tab_Compteur_1[[#This Row],[Montant]]/Tab_Compteur_1[[#This Row],[Delta Jour]],"")</f>
        <v/>
      </c>
      <c r="I107" s="184" t="str">
        <f>IF(SUM(Tab_Compteur_1[[#This Row],[Quantité]],Tab_Compteur_1[[#This Row],[Index]])&lt;=0,"",G107)</f>
        <v/>
      </c>
      <c r="J107" s="675"/>
      <c r="K107" s="36"/>
      <c r="L107" s="36"/>
      <c r="M107" s="36"/>
      <c r="N107" s="36"/>
      <c r="O107"/>
    </row>
    <row r="108" spans="1:15">
      <c r="A108" s="421">
        <f t="shared" si="4"/>
        <v>1</v>
      </c>
      <c r="B108" s="200"/>
      <c r="C108" s="181"/>
      <c r="D108" s="685"/>
      <c r="E108" s="519"/>
      <c r="F108">
        <f t="shared" si="3"/>
        <v>0</v>
      </c>
      <c r="G108" t="str">
        <f>IF(IFERROR(IF(Str_TypeDonneesCpt1=Cpt_Index,Tab_Compteur_1[[#This Row],[Index]]-E107,Tab_Compteur_1[[#This Row],[Quantité]])/Tab_Compteur_1[[#This Row],[Delta Jour]],"")&lt;0,"",IFERROR(IF(Str_TypeDonneesCpt1=Cpt_Index,Tab_Compteur_1[[#This Row],[Index]]-E107,Tab_Compteur_1[[#This Row],[Quantité]])/Tab_Compteur_1[[#This Row],[Delta Jour]],""))</f>
        <v/>
      </c>
      <c r="H108" t="str">
        <f>IFERROR(Tab_Compteur_1[[#This Row],[Montant]]/Tab_Compteur_1[[#This Row],[Delta Jour]],"")</f>
        <v/>
      </c>
      <c r="I108" s="184" t="str">
        <f>IF(SUM(Tab_Compteur_1[[#This Row],[Quantité]],Tab_Compteur_1[[#This Row],[Index]])&lt;=0,"",G108)</f>
        <v/>
      </c>
      <c r="J108" s="675"/>
      <c r="K108" s="36"/>
      <c r="L108" s="36"/>
      <c r="M108" s="36"/>
      <c r="N108" s="36"/>
      <c r="O108"/>
    </row>
    <row r="109" spans="1:15">
      <c r="A109" s="421">
        <f t="shared" si="4"/>
        <v>1</v>
      </c>
      <c r="B109" s="200"/>
      <c r="C109" s="181"/>
      <c r="D109" s="685"/>
      <c r="E109" s="519"/>
      <c r="F109">
        <f t="shared" si="3"/>
        <v>0</v>
      </c>
      <c r="G109" t="str">
        <f>IF(IFERROR(IF(Str_TypeDonneesCpt1=Cpt_Index,Tab_Compteur_1[[#This Row],[Index]]-E108,Tab_Compteur_1[[#This Row],[Quantité]])/Tab_Compteur_1[[#This Row],[Delta Jour]],"")&lt;0,"",IFERROR(IF(Str_TypeDonneesCpt1=Cpt_Index,Tab_Compteur_1[[#This Row],[Index]]-E108,Tab_Compteur_1[[#This Row],[Quantité]])/Tab_Compteur_1[[#This Row],[Delta Jour]],""))</f>
        <v/>
      </c>
      <c r="H109" t="str">
        <f>IFERROR(Tab_Compteur_1[[#This Row],[Montant]]/Tab_Compteur_1[[#This Row],[Delta Jour]],"")</f>
        <v/>
      </c>
      <c r="I109" s="184" t="str">
        <f>IF(SUM(Tab_Compteur_1[[#This Row],[Quantité]],Tab_Compteur_1[[#This Row],[Index]])&lt;=0,"",G109)</f>
        <v/>
      </c>
      <c r="J109" s="675"/>
      <c r="K109" s="36"/>
      <c r="L109" s="36"/>
      <c r="M109" s="36"/>
      <c r="N109" s="36"/>
      <c r="O109"/>
    </row>
    <row r="110" spans="1:15">
      <c r="A110" s="421">
        <f t="shared" si="4"/>
        <v>1</v>
      </c>
      <c r="B110" s="200"/>
      <c r="C110" s="181"/>
      <c r="D110" s="685"/>
      <c r="E110" s="519"/>
      <c r="F110">
        <f t="shared" si="3"/>
        <v>0</v>
      </c>
      <c r="G110" t="str">
        <f>IF(IFERROR(IF(Str_TypeDonneesCpt1=Cpt_Index,Tab_Compteur_1[[#This Row],[Index]]-E109,Tab_Compteur_1[[#This Row],[Quantité]])/Tab_Compteur_1[[#This Row],[Delta Jour]],"")&lt;0,"",IFERROR(IF(Str_TypeDonneesCpt1=Cpt_Index,Tab_Compteur_1[[#This Row],[Index]]-E109,Tab_Compteur_1[[#This Row],[Quantité]])/Tab_Compteur_1[[#This Row],[Delta Jour]],""))</f>
        <v/>
      </c>
      <c r="H110" t="str">
        <f>IFERROR(Tab_Compteur_1[[#This Row],[Montant]]/Tab_Compteur_1[[#This Row],[Delta Jour]],"")</f>
        <v/>
      </c>
      <c r="I110" s="184" t="str">
        <f>IF(SUM(Tab_Compteur_1[[#This Row],[Quantité]],Tab_Compteur_1[[#This Row],[Index]])&lt;=0,"",G110)</f>
        <v/>
      </c>
      <c r="J110" s="675"/>
      <c r="K110" s="36"/>
      <c r="L110" s="36"/>
      <c r="M110" s="36"/>
      <c r="N110" s="36"/>
      <c r="O110"/>
    </row>
    <row r="111" spans="1:15">
      <c r="A111" s="421">
        <f t="shared" si="4"/>
        <v>1</v>
      </c>
      <c r="B111" s="200"/>
      <c r="C111" s="181"/>
      <c r="D111" s="685"/>
      <c r="E111" s="519"/>
      <c r="F111">
        <f t="shared" si="3"/>
        <v>0</v>
      </c>
      <c r="G111" t="str">
        <f>IF(IFERROR(IF(Str_TypeDonneesCpt1=Cpt_Index,Tab_Compteur_1[[#This Row],[Index]]-E110,Tab_Compteur_1[[#This Row],[Quantité]])/Tab_Compteur_1[[#This Row],[Delta Jour]],"")&lt;0,"",IFERROR(IF(Str_TypeDonneesCpt1=Cpt_Index,Tab_Compteur_1[[#This Row],[Index]]-E110,Tab_Compteur_1[[#This Row],[Quantité]])/Tab_Compteur_1[[#This Row],[Delta Jour]],""))</f>
        <v/>
      </c>
      <c r="H111" t="str">
        <f>IFERROR(Tab_Compteur_1[[#This Row],[Montant]]/Tab_Compteur_1[[#This Row],[Delta Jour]],"")</f>
        <v/>
      </c>
      <c r="I111" s="184" t="str">
        <f>IF(SUM(Tab_Compteur_1[[#This Row],[Quantité]],Tab_Compteur_1[[#This Row],[Index]])&lt;=0,"",G111)</f>
        <v/>
      </c>
      <c r="J111" s="675"/>
      <c r="K111" s="36"/>
      <c r="L111" s="36"/>
      <c r="M111" s="36"/>
      <c r="N111" s="36"/>
      <c r="O111"/>
    </row>
    <row r="112" spans="1:15">
      <c r="A112" s="421">
        <f t="shared" si="4"/>
        <v>1</v>
      </c>
      <c r="B112" s="200"/>
      <c r="C112" s="181"/>
      <c r="D112" s="685"/>
      <c r="E112" s="519"/>
      <c r="F112">
        <f t="shared" si="3"/>
        <v>0</v>
      </c>
      <c r="G112" t="str">
        <f>IF(IFERROR(IF(Str_TypeDonneesCpt1=Cpt_Index,Tab_Compteur_1[[#This Row],[Index]]-E111,Tab_Compteur_1[[#This Row],[Quantité]])/Tab_Compteur_1[[#This Row],[Delta Jour]],"")&lt;0,"",IFERROR(IF(Str_TypeDonneesCpt1=Cpt_Index,Tab_Compteur_1[[#This Row],[Index]]-E111,Tab_Compteur_1[[#This Row],[Quantité]])/Tab_Compteur_1[[#This Row],[Delta Jour]],""))</f>
        <v/>
      </c>
      <c r="H112" t="str">
        <f>IFERROR(Tab_Compteur_1[[#This Row],[Montant]]/Tab_Compteur_1[[#This Row],[Delta Jour]],"")</f>
        <v/>
      </c>
      <c r="I112" s="184" t="str">
        <f>IF(SUM(Tab_Compteur_1[[#This Row],[Quantité]],Tab_Compteur_1[[#This Row],[Index]])&lt;=0,"",G112)</f>
        <v/>
      </c>
      <c r="J112" s="675"/>
      <c r="K112" s="36"/>
      <c r="L112" s="36"/>
      <c r="M112" s="36"/>
      <c r="N112" s="36"/>
      <c r="O112"/>
    </row>
    <row r="113" spans="1:15">
      <c r="A113" s="421">
        <f t="shared" si="4"/>
        <v>1</v>
      </c>
      <c r="B113" s="200"/>
      <c r="C113" s="181"/>
      <c r="D113" s="685"/>
      <c r="E113" s="519"/>
      <c r="F113">
        <f t="shared" si="3"/>
        <v>0</v>
      </c>
      <c r="G113" t="str">
        <f>IF(IFERROR(IF(Str_TypeDonneesCpt1=Cpt_Index,Tab_Compteur_1[[#This Row],[Index]]-E112,Tab_Compteur_1[[#This Row],[Quantité]])/Tab_Compteur_1[[#This Row],[Delta Jour]],"")&lt;0,"",IFERROR(IF(Str_TypeDonneesCpt1=Cpt_Index,Tab_Compteur_1[[#This Row],[Index]]-E112,Tab_Compteur_1[[#This Row],[Quantité]])/Tab_Compteur_1[[#This Row],[Delta Jour]],""))</f>
        <v/>
      </c>
      <c r="H113" t="str">
        <f>IFERROR(Tab_Compteur_1[[#This Row],[Montant]]/Tab_Compteur_1[[#This Row],[Delta Jour]],"")</f>
        <v/>
      </c>
      <c r="I113" s="184" t="str">
        <f>IF(SUM(Tab_Compteur_1[[#This Row],[Quantité]],Tab_Compteur_1[[#This Row],[Index]])&lt;=0,"",G113)</f>
        <v/>
      </c>
      <c r="J113" s="675"/>
      <c r="K113" s="36"/>
      <c r="L113" s="36"/>
      <c r="M113" s="36"/>
      <c r="N113" s="36"/>
      <c r="O113"/>
    </row>
    <row r="114" spans="1:15">
      <c r="A114" s="421">
        <f t="shared" si="4"/>
        <v>1</v>
      </c>
      <c r="B114" s="200"/>
      <c r="C114" s="181"/>
      <c r="D114" s="685"/>
      <c r="E114" s="519"/>
      <c r="F114">
        <f t="shared" si="3"/>
        <v>0</v>
      </c>
      <c r="G114" t="str">
        <f>IF(IFERROR(IF(Str_TypeDonneesCpt1=Cpt_Index,Tab_Compteur_1[[#This Row],[Index]]-E113,Tab_Compteur_1[[#This Row],[Quantité]])/Tab_Compteur_1[[#This Row],[Delta Jour]],"")&lt;0,"",IFERROR(IF(Str_TypeDonneesCpt1=Cpt_Index,Tab_Compteur_1[[#This Row],[Index]]-E113,Tab_Compteur_1[[#This Row],[Quantité]])/Tab_Compteur_1[[#This Row],[Delta Jour]],""))</f>
        <v/>
      </c>
      <c r="H114" t="str">
        <f>IFERROR(Tab_Compteur_1[[#This Row],[Montant]]/Tab_Compteur_1[[#This Row],[Delta Jour]],"")</f>
        <v/>
      </c>
      <c r="I114" s="184" t="str">
        <f>IF(SUM(Tab_Compteur_1[[#This Row],[Quantité]],Tab_Compteur_1[[#This Row],[Index]])&lt;=0,"",G114)</f>
        <v/>
      </c>
      <c r="J114" s="675"/>
      <c r="K114" s="36"/>
      <c r="L114" s="36"/>
      <c r="M114" s="36"/>
      <c r="N114" s="36"/>
      <c r="O114"/>
    </row>
    <row r="115" spans="1:15">
      <c r="A115" s="421">
        <f t="shared" si="4"/>
        <v>1</v>
      </c>
      <c r="B115" s="200"/>
      <c r="C115" s="181"/>
      <c r="D115" s="685"/>
      <c r="E115" s="519"/>
      <c r="F115">
        <f t="shared" si="3"/>
        <v>0</v>
      </c>
      <c r="G115" t="str">
        <f>IF(IFERROR(IF(Str_TypeDonneesCpt1=Cpt_Index,Tab_Compteur_1[[#This Row],[Index]]-E114,Tab_Compteur_1[[#This Row],[Quantité]])/Tab_Compteur_1[[#This Row],[Delta Jour]],"")&lt;0,"",IFERROR(IF(Str_TypeDonneesCpt1=Cpt_Index,Tab_Compteur_1[[#This Row],[Index]]-E114,Tab_Compteur_1[[#This Row],[Quantité]])/Tab_Compteur_1[[#This Row],[Delta Jour]],""))</f>
        <v/>
      </c>
      <c r="H115" t="str">
        <f>IFERROR(Tab_Compteur_1[[#This Row],[Montant]]/Tab_Compteur_1[[#This Row],[Delta Jour]],"")</f>
        <v/>
      </c>
      <c r="I115" s="184" t="str">
        <f>IF(SUM(Tab_Compteur_1[[#This Row],[Quantité]],Tab_Compteur_1[[#This Row],[Index]])&lt;=0,"",G115)</f>
        <v/>
      </c>
      <c r="J115" s="675"/>
      <c r="K115" s="36"/>
      <c r="L115" s="36"/>
      <c r="M115" s="36"/>
      <c r="N115" s="36"/>
      <c r="O115"/>
    </row>
    <row r="116" spans="1:15">
      <c r="A116" s="421">
        <f t="shared" si="4"/>
        <v>1</v>
      </c>
      <c r="B116" s="200"/>
      <c r="C116" s="181"/>
      <c r="D116" s="685"/>
      <c r="E116" s="519"/>
      <c r="F116">
        <f t="shared" si="3"/>
        <v>0</v>
      </c>
      <c r="G116" t="str">
        <f>IF(IFERROR(IF(Str_TypeDonneesCpt1=Cpt_Index,Tab_Compteur_1[[#This Row],[Index]]-E115,Tab_Compteur_1[[#This Row],[Quantité]])/Tab_Compteur_1[[#This Row],[Delta Jour]],"")&lt;0,"",IFERROR(IF(Str_TypeDonneesCpt1=Cpt_Index,Tab_Compteur_1[[#This Row],[Index]]-E115,Tab_Compteur_1[[#This Row],[Quantité]])/Tab_Compteur_1[[#This Row],[Delta Jour]],""))</f>
        <v/>
      </c>
      <c r="H116" t="str">
        <f>IFERROR(Tab_Compteur_1[[#This Row],[Montant]]/Tab_Compteur_1[[#This Row],[Delta Jour]],"")</f>
        <v/>
      </c>
      <c r="I116" s="184" t="str">
        <f>IF(SUM(Tab_Compteur_1[[#This Row],[Quantité]],Tab_Compteur_1[[#This Row],[Index]])&lt;=0,"",G116)</f>
        <v/>
      </c>
      <c r="J116" s="675"/>
      <c r="K116" s="36"/>
      <c r="L116" s="36"/>
      <c r="M116" s="36"/>
      <c r="N116" s="36"/>
      <c r="O116"/>
    </row>
    <row r="117" spans="1:15">
      <c r="A117" s="421">
        <f t="shared" si="4"/>
        <v>1</v>
      </c>
      <c r="B117" s="200"/>
      <c r="C117" s="181"/>
      <c r="D117" s="685"/>
      <c r="E117" s="519"/>
      <c r="F117">
        <f t="shared" si="3"/>
        <v>0</v>
      </c>
      <c r="G117" t="str">
        <f>IF(IFERROR(IF(Str_TypeDonneesCpt1=Cpt_Index,Tab_Compteur_1[[#This Row],[Index]]-E116,Tab_Compteur_1[[#This Row],[Quantité]])/Tab_Compteur_1[[#This Row],[Delta Jour]],"")&lt;0,"",IFERROR(IF(Str_TypeDonneesCpt1=Cpt_Index,Tab_Compteur_1[[#This Row],[Index]]-E116,Tab_Compteur_1[[#This Row],[Quantité]])/Tab_Compteur_1[[#This Row],[Delta Jour]],""))</f>
        <v/>
      </c>
      <c r="H117" t="str">
        <f>IFERROR(Tab_Compteur_1[[#This Row],[Montant]]/Tab_Compteur_1[[#This Row],[Delta Jour]],"")</f>
        <v/>
      </c>
      <c r="I117" s="184" t="str">
        <f>IF(SUM(Tab_Compteur_1[[#This Row],[Quantité]],Tab_Compteur_1[[#This Row],[Index]])&lt;=0,"",G117)</f>
        <v/>
      </c>
      <c r="J117" s="675"/>
      <c r="K117" s="36"/>
      <c r="L117" s="36"/>
      <c r="M117" s="36"/>
      <c r="N117" s="36"/>
      <c r="O117"/>
    </row>
    <row r="118" spans="1:15">
      <c r="A118" s="421">
        <f t="shared" si="4"/>
        <v>1</v>
      </c>
      <c r="B118" s="200"/>
      <c r="C118" s="181"/>
      <c r="D118" s="685"/>
      <c r="E118" s="519"/>
      <c r="F118">
        <f t="shared" si="3"/>
        <v>0</v>
      </c>
      <c r="G118" t="str">
        <f>IF(IFERROR(IF(Str_TypeDonneesCpt1=Cpt_Index,Tab_Compteur_1[[#This Row],[Index]]-E117,Tab_Compteur_1[[#This Row],[Quantité]])/Tab_Compteur_1[[#This Row],[Delta Jour]],"")&lt;0,"",IFERROR(IF(Str_TypeDonneesCpt1=Cpt_Index,Tab_Compteur_1[[#This Row],[Index]]-E117,Tab_Compteur_1[[#This Row],[Quantité]])/Tab_Compteur_1[[#This Row],[Delta Jour]],""))</f>
        <v/>
      </c>
      <c r="H118" t="str">
        <f>IFERROR(Tab_Compteur_1[[#This Row],[Montant]]/Tab_Compteur_1[[#This Row],[Delta Jour]],"")</f>
        <v/>
      </c>
      <c r="I118" s="184" t="str">
        <f>IF(SUM(Tab_Compteur_1[[#This Row],[Quantité]],Tab_Compteur_1[[#This Row],[Index]])&lt;=0,"",G118)</f>
        <v/>
      </c>
      <c r="J118" s="675"/>
      <c r="K118" s="36"/>
      <c r="L118" s="36"/>
      <c r="M118" s="36"/>
      <c r="N118" s="36"/>
      <c r="O118"/>
    </row>
    <row r="119" spans="1:15">
      <c r="A119" s="421">
        <f t="shared" si="4"/>
        <v>1</v>
      </c>
      <c r="B119" s="200"/>
      <c r="C119" s="181"/>
      <c r="D119" s="685"/>
      <c r="E119" s="519"/>
      <c r="F119">
        <f t="shared" si="3"/>
        <v>0</v>
      </c>
      <c r="G119" t="str">
        <f>IF(IFERROR(IF(Str_TypeDonneesCpt1=Cpt_Index,Tab_Compteur_1[[#This Row],[Index]]-E118,Tab_Compteur_1[[#This Row],[Quantité]])/Tab_Compteur_1[[#This Row],[Delta Jour]],"")&lt;0,"",IFERROR(IF(Str_TypeDonneesCpt1=Cpt_Index,Tab_Compteur_1[[#This Row],[Index]]-E118,Tab_Compteur_1[[#This Row],[Quantité]])/Tab_Compteur_1[[#This Row],[Delta Jour]],""))</f>
        <v/>
      </c>
      <c r="H119" t="str">
        <f>IFERROR(Tab_Compteur_1[[#This Row],[Montant]]/Tab_Compteur_1[[#This Row],[Delta Jour]],"")</f>
        <v/>
      </c>
      <c r="I119" s="184" t="str">
        <f>IF(SUM(Tab_Compteur_1[[#This Row],[Quantité]],Tab_Compteur_1[[#This Row],[Index]])&lt;=0,"",G119)</f>
        <v/>
      </c>
      <c r="J119" s="675"/>
      <c r="K119" s="36"/>
      <c r="L119" s="36"/>
      <c r="M119" s="36"/>
      <c r="N119" s="36"/>
      <c r="O119"/>
    </row>
    <row r="120" spans="1:15">
      <c r="A120" s="421">
        <f t="shared" si="4"/>
        <v>1</v>
      </c>
      <c r="B120" s="200"/>
      <c r="C120" s="181"/>
      <c r="D120" s="685"/>
      <c r="E120" s="519"/>
      <c r="F120">
        <f t="shared" si="3"/>
        <v>0</v>
      </c>
      <c r="G120" t="str">
        <f>IF(IFERROR(IF(Str_TypeDonneesCpt1=Cpt_Index,Tab_Compteur_1[[#This Row],[Index]]-E119,Tab_Compteur_1[[#This Row],[Quantité]])/Tab_Compteur_1[[#This Row],[Delta Jour]],"")&lt;0,"",IFERROR(IF(Str_TypeDonneesCpt1=Cpt_Index,Tab_Compteur_1[[#This Row],[Index]]-E119,Tab_Compteur_1[[#This Row],[Quantité]])/Tab_Compteur_1[[#This Row],[Delta Jour]],""))</f>
        <v/>
      </c>
      <c r="H120" t="str">
        <f>IFERROR(Tab_Compteur_1[[#This Row],[Montant]]/Tab_Compteur_1[[#This Row],[Delta Jour]],"")</f>
        <v/>
      </c>
      <c r="I120" s="184" t="str">
        <f>IF(SUM(Tab_Compteur_1[[#This Row],[Quantité]],Tab_Compteur_1[[#This Row],[Index]])&lt;=0,"",G120)</f>
        <v/>
      </c>
      <c r="J120" s="675"/>
      <c r="K120" s="36"/>
      <c r="L120" s="36"/>
      <c r="M120" s="36"/>
      <c r="N120" s="36"/>
      <c r="O120"/>
    </row>
    <row r="121" spans="1:15">
      <c r="A121" s="421">
        <f t="shared" si="4"/>
        <v>1</v>
      </c>
      <c r="B121" s="200"/>
      <c r="C121" s="181"/>
      <c r="D121" s="685"/>
      <c r="E121" s="519"/>
      <c r="F121">
        <f t="shared" si="3"/>
        <v>0</v>
      </c>
      <c r="G121" t="str">
        <f>IF(IFERROR(IF(Str_TypeDonneesCpt1=Cpt_Index,Tab_Compteur_1[[#This Row],[Index]]-E120,Tab_Compteur_1[[#This Row],[Quantité]])/Tab_Compteur_1[[#This Row],[Delta Jour]],"")&lt;0,"",IFERROR(IF(Str_TypeDonneesCpt1=Cpt_Index,Tab_Compteur_1[[#This Row],[Index]]-E120,Tab_Compteur_1[[#This Row],[Quantité]])/Tab_Compteur_1[[#This Row],[Delta Jour]],""))</f>
        <v/>
      </c>
      <c r="H121" t="str">
        <f>IFERROR(Tab_Compteur_1[[#This Row],[Montant]]/Tab_Compteur_1[[#This Row],[Delta Jour]],"")</f>
        <v/>
      </c>
      <c r="I121" s="184" t="str">
        <f>IF(SUM(Tab_Compteur_1[[#This Row],[Quantité]],Tab_Compteur_1[[#This Row],[Index]])&lt;=0,"",G121)</f>
        <v/>
      </c>
      <c r="J121" s="675"/>
      <c r="K121" s="36"/>
      <c r="L121" s="36"/>
      <c r="M121" s="36"/>
      <c r="N121" s="36"/>
      <c r="O121"/>
    </row>
    <row r="122" spans="1:15">
      <c r="A122" s="421">
        <f t="shared" si="4"/>
        <v>1</v>
      </c>
      <c r="B122" s="200"/>
      <c r="C122" s="181"/>
      <c r="D122" s="685"/>
      <c r="E122" s="519"/>
      <c r="F122">
        <f t="shared" si="3"/>
        <v>0</v>
      </c>
      <c r="G122" t="str">
        <f>IF(IFERROR(IF(Str_TypeDonneesCpt1=Cpt_Index,Tab_Compteur_1[[#This Row],[Index]]-E121,Tab_Compteur_1[[#This Row],[Quantité]])/Tab_Compteur_1[[#This Row],[Delta Jour]],"")&lt;0,"",IFERROR(IF(Str_TypeDonneesCpt1=Cpt_Index,Tab_Compteur_1[[#This Row],[Index]]-E121,Tab_Compteur_1[[#This Row],[Quantité]])/Tab_Compteur_1[[#This Row],[Delta Jour]],""))</f>
        <v/>
      </c>
      <c r="H122" t="str">
        <f>IFERROR(Tab_Compteur_1[[#This Row],[Montant]]/Tab_Compteur_1[[#This Row],[Delta Jour]],"")</f>
        <v/>
      </c>
      <c r="I122" s="184" t="str">
        <f>IF(SUM(Tab_Compteur_1[[#This Row],[Quantité]],Tab_Compteur_1[[#This Row],[Index]])&lt;=0,"",G122)</f>
        <v/>
      </c>
      <c r="J122" s="675"/>
      <c r="K122" s="36"/>
      <c r="L122" s="36"/>
      <c r="M122" s="36"/>
      <c r="N122" s="36"/>
      <c r="O122"/>
    </row>
    <row r="123" spans="1:15">
      <c r="A123" s="421">
        <f t="shared" si="4"/>
        <v>1</v>
      </c>
      <c r="B123" s="200"/>
      <c r="C123" s="181"/>
      <c r="D123" s="685"/>
      <c r="E123" s="519"/>
      <c r="F123">
        <f t="shared" si="3"/>
        <v>0</v>
      </c>
      <c r="G123" t="str">
        <f>IF(IFERROR(IF(Str_TypeDonneesCpt1=Cpt_Index,Tab_Compteur_1[[#This Row],[Index]]-E122,Tab_Compteur_1[[#This Row],[Quantité]])/Tab_Compteur_1[[#This Row],[Delta Jour]],"")&lt;0,"",IFERROR(IF(Str_TypeDonneesCpt1=Cpt_Index,Tab_Compteur_1[[#This Row],[Index]]-E122,Tab_Compteur_1[[#This Row],[Quantité]])/Tab_Compteur_1[[#This Row],[Delta Jour]],""))</f>
        <v/>
      </c>
      <c r="H123" t="str">
        <f>IFERROR(Tab_Compteur_1[[#This Row],[Montant]]/Tab_Compteur_1[[#This Row],[Delta Jour]],"")</f>
        <v/>
      </c>
      <c r="I123" s="184" t="str">
        <f>IF(SUM(Tab_Compteur_1[[#This Row],[Quantité]],Tab_Compteur_1[[#This Row],[Index]])&lt;=0,"",G123)</f>
        <v/>
      </c>
      <c r="J123" s="675"/>
      <c r="K123" s="36"/>
      <c r="L123" s="36"/>
      <c r="M123" s="36"/>
      <c r="N123" s="36"/>
      <c r="O123"/>
    </row>
    <row r="124" spans="1:15">
      <c r="A124" s="421">
        <f t="shared" si="4"/>
        <v>1</v>
      </c>
      <c r="B124" s="200"/>
      <c r="C124" s="181"/>
      <c r="D124" s="685"/>
      <c r="E124" s="519"/>
      <c r="F124">
        <f t="shared" si="3"/>
        <v>0</v>
      </c>
      <c r="G124" t="str">
        <f>IF(IFERROR(IF(Str_TypeDonneesCpt1=Cpt_Index,Tab_Compteur_1[[#This Row],[Index]]-E123,Tab_Compteur_1[[#This Row],[Quantité]])/Tab_Compteur_1[[#This Row],[Delta Jour]],"")&lt;0,"",IFERROR(IF(Str_TypeDonneesCpt1=Cpt_Index,Tab_Compteur_1[[#This Row],[Index]]-E123,Tab_Compteur_1[[#This Row],[Quantité]])/Tab_Compteur_1[[#This Row],[Delta Jour]],""))</f>
        <v/>
      </c>
      <c r="H124" t="str">
        <f>IFERROR(Tab_Compteur_1[[#This Row],[Montant]]/Tab_Compteur_1[[#This Row],[Delta Jour]],"")</f>
        <v/>
      </c>
      <c r="I124" s="184" t="str">
        <f>IF(SUM(Tab_Compteur_1[[#This Row],[Quantité]],Tab_Compteur_1[[#This Row],[Index]])&lt;=0,"",G124)</f>
        <v/>
      </c>
      <c r="J124" s="675"/>
      <c r="K124" s="36"/>
      <c r="L124" s="36"/>
      <c r="M124" s="36"/>
      <c r="N124" s="36"/>
      <c r="O124"/>
    </row>
    <row r="125" spans="1:15">
      <c r="A125" s="421">
        <f t="shared" si="4"/>
        <v>1</v>
      </c>
      <c r="B125" s="200"/>
      <c r="C125" s="181"/>
      <c r="D125" s="685"/>
      <c r="E125" s="519"/>
      <c r="F125">
        <f t="shared" si="3"/>
        <v>0</v>
      </c>
      <c r="G125" t="str">
        <f>IF(IFERROR(IF(Str_TypeDonneesCpt1=Cpt_Index,Tab_Compteur_1[[#This Row],[Index]]-E124,Tab_Compteur_1[[#This Row],[Quantité]])/Tab_Compteur_1[[#This Row],[Delta Jour]],"")&lt;0,"",IFERROR(IF(Str_TypeDonneesCpt1=Cpt_Index,Tab_Compteur_1[[#This Row],[Index]]-E124,Tab_Compteur_1[[#This Row],[Quantité]])/Tab_Compteur_1[[#This Row],[Delta Jour]],""))</f>
        <v/>
      </c>
      <c r="H125" t="str">
        <f>IFERROR(Tab_Compteur_1[[#This Row],[Montant]]/Tab_Compteur_1[[#This Row],[Delta Jour]],"")</f>
        <v/>
      </c>
      <c r="I125" s="184" t="str">
        <f>IF(SUM(Tab_Compteur_1[[#This Row],[Quantité]],Tab_Compteur_1[[#This Row],[Index]])&lt;=0,"",G125)</f>
        <v/>
      </c>
      <c r="J125" s="675"/>
      <c r="K125" s="36"/>
      <c r="L125" s="36"/>
      <c r="M125" s="36"/>
      <c r="N125" s="36"/>
      <c r="O125"/>
    </row>
    <row r="126" spans="1:15">
      <c r="A126" s="421">
        <f t="shared" si="4"/>
        <v>1</v>
      </c>
      <c r="B126" s="200"/>
      <c r="C126" s="181"/>
      <c r="D126" s="685"/>
      <c r="E126" s="519"/>
      <c r="F126">
        <f t="shared" si="3"/>
        <v>0</v>
      </c>
      <c r="G126" t="str">
        <f>IF(IFERROR(IF(Str_TypeDonneesCpt1=Cpt_Index,Tab_Compteur_1[[#This Row],[Index]]-E125,Tab_Compteur_1[[#This Row],[Quantité]])/Tab_Compteur_1[[#This Row],[Delta Jour]],"")&lt;0,"",IFERROR(IF(Str_TypeDonneesCpt1=Cpt_Index,Tab_Compteur_1[[#This Row],[Index]]-E125,Tab_Compteur_1[[#This Row],[Quantité]])/Tab_Compteur_1[[#This Row],[Delta Jour]],""))</f>
        <v/>
      </c>
      <c r="H126" t="str">
        <f>IFERROR(Tab_Compteur_1[[#This Row],[Montant]]/Tab_Compteur_1[[#This Row],[Delta Jour]],"")</f>
        <v/>
      </c>
      <c r="I126" s="184" t="str">
        <f>IF(SUM(Tab_Compteur_1[[#This Row],[Quantité]],Tab_Compteur_1[[#This Row],[Index]])&lt;=0,"",G126)</f>
        <v/>
      </c>
      <c r="J126" s="675"/>
      <c r="K126" s="36"/>
      <c r="L126" s="36"/>
      <c r="M126" s="36"/>
      <c r="N126" s="36"/>
      <c r="O126"/>
    </row>
    <row r="127" spans="1:15">
      <c r="A127" s="421">
        <f t="shared" si="4"/>
        <v>1</v>
      </c>
      <c r="B127" s="200"/>
      <c r="C127" s="181"/>
      <c r="D127" s="685"/>
      <c r="E127" s="519"/>
      <c r="F127">
        <f t="shared" si="3"/>
        <v>0</v>
      </c>
      <c r="G127" t="str">
        <f>IF(IFERROR(IF(Str_TypeDonneesCpt1=Cpt_Index,Tab_Compteur_1[[#This Row],[Index]]-E126,Tab_Compteur_1[[#This Row],[Quantité]])/Tab_Compteur_1[[#This Row],[Delta Jour]],"")&lt;0,"",IFERROR(IF(Str_TypeDonneesCpt1=Cpt_Index,Tab_Compteur_1[[#This Row],[Index]]-E126,Tab_Compteur_1[[#This Row],[Quantité]])/Tab_Compteur_1[[#This Row],[Delta Jour]],""))</f>
        <v/>
      </c>
      <c r="H127" t="str">
        <f>IFERROR(Tab_Compteur_1[[#This Row],[Montant]]/Tab_Compteur_1[[#This Row],[Delta Jour]],"")</f>
        <v/>
      </c>
      <c r="I127" s="184" t="str">
        <f>IF(SUM(Tab_Compteur_1[[#This Row],[Quantité]],Tab_Compteur_1[[#This Row],[Index]])&lt;=0,"",G127)</f>
        <v/>
      </c>
      <c r="J127" s="675"/>
      <c r="K127" s="36"/>
      <c r="L127" s="36"/>
      <c r="M127" s="36"/>
      <c r="N127" s="36"/>
      <c r="O127"/>
    </row>
    <row r="128" spans="1:15">
      <c r="A128" s="421">
        <f t="shared" si="4"/>
        <v>1</v>
      </c>
      <c r="B128" s="200"/>
      <c r="C128" s="181"/>
      <c r="D128" s="685"/>
      <c r="E128" s="519"/>
      <c r="F128">
        <f t="shared" si="3"/>
        <v>0</v>
      </c>
      <c r="G128" t="str">
        <f>IF(IFERROR(IF(Str_TypeDonneesCpt1=Cpt_Index,Tab_Compteur_1[[#This Row],[Index]]-E127,Tab_Compteur_1[[#This Row],[Quantité]])/Tab_Compteur_1[[#This Row],[Delta Jour]],"")&lt;0,"",IFERROR(IF(Str_TypeDonneesCpt1=Cpt_Index,Tab_Compteur_1[[#This Row],[Index]]-E127,Tab_Compteur_1[[#This Row],[Quantité]])/Tab_Compteur_1[[#This Row],[Delta Jour]],""))</f>
        <v/>
      </c>
      <c r="H128" t="str">
        <f>IFERROR(Tab_Compteur_1[[#This Row],[Montant]]/Tab_Compteur_1[[#This Row],[Delta Jour]],"")</f>
        <v/>
      </c>
      <c r="I128" s="184" t="str">
        <f>IF(SUM(Tab_Compteur_1[[#This Row],[Quantité]],Tab_Compteur_1[[#This Row],[Index]])&lt;=0,"",G128)</f>
        <v/>
      </c>
      <c r="J128" s="675"/>
      <c r="K128" s="36"/>
      <c r="L128" s="36"/>
      <c r="M128" s="36"/>
      <c r="N128" s="36"/>
      <c r="O128"/>
    </row>
    <row r="129" spans="1:15">
      <c r="A129" s="421">
        <f t="shared" si="4"/>
        <v>1</v>
      </c>
      <c r="B129" s="200"/>
      <c r="C129" s="181"/>
      <c r="D129" s="685"/>
      <c r="E129" s="519"/>
      <c r="F129">
        <f t="shared" si="3"/>
        <v>0</v>
      </c>
      <c r="G129" t="str">
        <f>IF(IFERROR(IF(Str_TypeDonneesCpt1=Cpt_Index,Tab_Compteur_1[[#This Row],[Index]]-E128,Tab_Compteur_1[[#This Row],[Quantité]])/Tab_Compteur_1[[#This Row],[Delta Jour]],"")&lt;0,"",IFERROR(IF(Str_TypeDonneesCpt1=Cpt_Index,Tab_Compteur_1[[#This Row],[Index]]-E128,Tab_Compteur_1[[#This Row],[Quantité]])/Tab_Compteur_1[[#This Row],[Delta Jour]],""))</f>
        <v/>
      </c>
      <c r="H129" t="str">
        <f>IFERROR(Tab_Compteur_1[[#This Row],[Montant]]/Tab_Compteur_1[[#This Row],[Delta Jour]],"")</f>
        <v/>
      </c>
      <c r="I129" s="184" t="str">
        <f>IF(SUM(Tab_Compteur_1[[#This Row],[Quantité]],Tab_Compteur_1[[#This Row],[Index]])&lt;=0,"",G129)</f>
        <v/>
      </c>
      <c r="J129" s="675"/>
      <c r="K129" s="36"/>
      <c r="L129" s="36"/>
      <c r="M129" s="36"/>
      <c r="N129" s="36"/>
      <c r="O129"/>
    </row>
    <row r="130" spans="1:15">
      <c r="A130" s="421">
        <f t="shared" si="4"/>
        <v>1</v>
      </c>
      <c r="B130" s="200"/>
      <c r="C130" s="181"/>
      <c r="D130" s="685"/>
      <c r="E130" s="519"/>
      <c r="F130">
        <f t="shared" si="3"/>
        <v>0</v>
      </c>
      <c r="G130" t="str">
        <f>IF(IFERROR(IF(Str_TypeDonneesCpt1=Cpt_Index,Tab_Compteur_1[[#This Row],[Index]]-E129,Tab_Compteur_1[[#This Row],[Quantité]])/Tab_Compteur_1[[#This Row],[Delta Jour]],"")&lt;0,"",IFERROR(IF(Str_TypeDonneesCpt1=Cpt_Index,Tab_Compteur_1[[#This Row],[Index]]-E129,Tab_Compteur_1[[#This Row],[Quantité]])/Tab_Compteur_1[[#This Row],[Delta Jour]],""))</f>
        <v/>
      </c>
      <c r="H130" t="str">
        <f>IFERROR(Tab_Compteur_1[[#This Row],[Montant]]/Tab_Compteur_1[[#This Row],[Delta Jour]],"")</f>
        <v/>
      </c>
      <c r="I130" s="184" t="str">
        <f>IF(SUM(Tab_Compteur_1[[#This Row],[Quantité]],Tab_Compteur_1[[#This Row],[Index]])&lt;=0,"",G130)</f>
        <v/>
      </c>
      <c r="J130" s="675"/>
      <c r="K130" s="36"/>
      <c r="L130" s="36"/>
      <c r="M130" s="36"/>
      <c r="N130" s="36"/>
      <c r="O130"/>
    </row>
    <row r="131" spans="1:15">
      <c r="A131" s="421">
        <f t="shared" si="4"/>
        <v>1</v>
      </c>
      <c r="B131" s="200"/>
      <c r="C131" s="181"/>
      <c r="D131" s="685"/>
      <c r="E131" s="519"/>
      <c r="F131">
        <f t="shared" ref="F131:F194" si="5">IFERROR(B131-A131+1,"")</f>
        <v>0</v>
      </c>
      <c r="G131" t="str">
        <f>IF(IFERROR(IF(Str_TypeDonneesCpt1=Cpt_Index,Tab_Compteur_1[[#This Row],[Index]]-E130,Tab_Compteur_1[[#This Row],[Quantité]])/Tab_Compteur_1[[#This Row],[Delta Jour]],"")&lt;0,"",IFERROR(IF(Str_TypeDonneesCpt1=Cpt_Index,Tab_Compteur_1[[#This Row],[Index]]-E130,Tab_Compteur_1[[#This Row],[Quantité]])/Tab_Compteur_1[[#This Row],[Delta Jour]],""))</f>
        <v/>
      </c>
      <c r="H131" t="str">
        <f>IFERROR(Tab_Compteur_1[[#This Row],[Montant]]/Tab_Compteur_1[[#This Row],[Delta Jour]],"")</f>
        <v/>
      </c>
      <c r="I131" s="184" t="str">
        <f>IF(SUM(Tab_Compteur_1[[#This Row],[Quantité]],Tab_Compteur_1[[#This Row],[Index]])&lt;=0,"",G131)</f>
        <v/>
      </c>
      <c r="J131" s="675"/>
      <c r="K131" s="36"/>
      <c r="L131" s="36"/>
      <c r="M131" s="36"/>
      <c r="N131" s="36"/>
      <c r="O131"/>
    </row>
    <row r="132" spans="1:15">
      <c r="A132" s="421">
        <f t="shared" si="4"/>
        <v>1</v>
      </c>
      <c r="B132" s="200"/>
      <c r="C132" s="181"/>
      <c r="D132" s="685"/>
      <c r="E132" s="519"/>
      <c r="F132">
        <f t="shared" si="5"/>
        <v>0</v>
      </c>
      <c r="G132" t="str">
        <f>IF(IFERROR(IF(Str_TypeDonneesCpt1=Cpt_Index,Tab_Compteur_1[[#This Row],[Index]]-E131,Tab_Compteur_1[[#This Row],[Quantité]])/Tab_Compteur_1[[#This Row],[Delta Jour]],"")&lt;0,"",IFERROR(IF(Str_TypeDonneesCpt1=Cpt_Index,Tab_Compteur_1[[#This Row],[Index]]-E131,Tab_Compteur_1[[#This Row],[Quantité]])/Tab_Compteur_1[[#This Row],[Delta Jour]],""))</f>
        <v/>
      </c>
      <c r="H132" t="str">
        <f>IFERROR(Tab_Compteur_1[[#This Row],[Montant]]/Tab_Compteur_1[[#This Row],[Delta Jour]],"")</f>
        <v/>
      </c>
      <c r="I132" s="184" t="str">
        <f>IF(SUM(Tab_Compteur_1[[#This Row],[Quantité]],Tab_Compteur_1[[#This Row],[Index]])&lt;=0,"",G132)</f>
        <v/>
      </c>
      <c r="J132" s="675"/>
      <c r="K132" s="36"/>
      <c r="L132" s="36"/>
      <c r="M132" s="36"/>
      <c r="N132" s="36"/>
      <c r="O132"/>
    </row>
    <row r="133" spans="1:15">
      <c r="A133" s="421">
        <f t="shared" si="4"/>
        <v>1</v>
      </c>
      <c r="B133" s="200"/>
      <c r="C133" s="181"/>
      <c r="D133" s="685"/>
      <c r="E133" s="519"/>
      <c r="F133">
        <f t="shared" si="5"/>
        <v>0</v>
      </c>
      <c r="G133" t="str">
        <f>IF(IFERROR(IF(Str_TypeDonneesCpt1=Cpt_Index,Tab_Compteur_1[[#This Row],[Index]]-E132,Tab_Compteur_1[[#This Row],[Quantité]])/Tab_Compteur_1[[#This Row],[Delta Jour]],"")&lt;0,"",IFERROR(IF(Str_TypeDonneesCpt1=Cpt_Index,Tab_Compteur_1[[#This Row],[Index]]-E132,Tab_Compteur_1[[#This Row],[Quantité]])/Tab_Compteur_1[[#This Row],[Delta Jour]],""))</f>
        <v/>
      </c>
      <c r="H133" t="str">
        <f>IFERROR(Tab_Compteur_1[[#This Row],[Montant]]/Tab_Compteur_1[[#This Row],[Delta Jour]],"")</f>
        <v/>
      </c>
      <c r="I133" s="184" t="str">
        <f>IF(SUM(Tab_Compteur_1[[#This Row],[Quantité]],Tab_Compteur_1[[#This Row],[Index]])&lt;=0,"",G133)</f>
        <v/>
      </c>
      <c r="J133" s="675"/>
      <c r="K133" s="36"/>
      <c r="L133" s="36"/>
      <c r="M133" s="36"/>
      <c r="N133" s="36"/>
      <c r="O133"/>
    </row>
    <row r="134" spans="1:15">
      <c r="A134" s="421">
        <f t="shared" ref="A134:A197" si="6">IFERROR(B133+1,0)</f>
        <v>1</v>
      </c>
      <c r="B134" s="200"/>
      <c r="C134" s="181"/>
      <c r="D134" s="685"/>
      <c r="E134" s="519"/>
      <c r="F134">
        <f t="shared" si="5"/>
        <v>0</v>
      </c>
      <c r="G134" t="str">
        <f>IF(IFERROR(IF(Str_TypeDonneesCpt1=Cpt_Index,Tab_Compteur_1[[#This Row],[Index]]-E133,Tab_Compteur_1[[#This Row],[Quantité]])/Tab_Compteur_1[[#This Row],[Delta Jour]],"")&lt;0,"",IFERROR(IF(Str_TypeDonneesCpt1=Cpt_Index,Tab_Compteur_1[[#This Row],[Index]]-E133,Tab_Compteur_1[[#This Row],[Quantité]])/Tab_Compteur_1[[#This Row],[Delta Jour]],""))</f>
        <v/>
      </c>
      <c r="H134" t="str">
        <f>IFERROR(Tab_Compteur_1[[#This Row],[Montant]]/Tab_Compteur_1[[#This Row],[Delta Jour]],"")</f>
        <v/>
      </c>
      <c r="I134" s="184" t="str">
        <f>IF(SUM(Tab_Compteur_1[[#This Row],[Quantité]],Tab_Compteur_1[[#This Row],[Index]])&lt;=0,"",G134)</f>
        <v/>
      </c>
      <c r="J134" s="675"/>
      <c r="K134" s="36"/>
      <c r="L134" s="36"/>
      <c r="M134" s="36"/>
      <c r="N134" s="36"/>
      <c r="O134"/>
    </row>
    <row r="135" spans="1:15">
      <c r="A135" s="421">
        <f t="shared" si="6"/>
        <v>1</v>
      </c>
      <c r="B135" s="200"/>
      <c r="C135" s="181"/>
      <c r="D135" s="685"/>
      <c r="E135" s="519"/>
      <c r="F135">
        <f t="shared" si="5"/>
        <v>0</v>
      </c>
      <c r="G135" t="str">
        <f>IF(IFERROR(IF(Str_TypeDonneesCpt1=Cpt_Index,Tab_Compteur_1[[#This Row],[Index]]-E134,Tab_Compteur_1[[#This Row],[Quantité]])/Tab_Compteur_1[[#This Row],[Delta Jour]],"")&lt;0,"",IFERROR(IF(Str_TypeDonneesCpt1=Cpt_Index,Tab_Compteur_1[[#This Row],[Index]]-E134,Tab_Compteur_1[[#This Row],[Quantité]])/Tab_Compteur_1[[#This Row],[Delta Jour]],""))</f>
        <v/>
      </c>
      <c r="H135" t="str">
        <f>IFERROR(Tab_Compteur_1[[#This Row],[Montant]]/Tab_Compteur_1[[#This Row],[Delta Jour]],"")</f>
        <v/>
      </c>
      <c r="I135" s="184" t="str">
        <f>IF(SUM(Tab_Compteur_1[[#This Row],[Quantité]],Tab_Compteur_1[[#This Row],[Index]])&lt;=0,"",G135)</f>
        <v/>
      </c>
      <c r="J135" s="675"/>
      <c r="K135" s="36"/>
      <c r="L135" s="36"/>
      <c r="M135" s="36"/>
      <c r="N135" s="36"/>
      <c r="O135"/>
    </row>
    <row r="136" spans="1:15">
      <c r="A136" s="421">
        <f t="shared" si="6"/>
        <v>1</v>
      </c>
      <c r="B136" s="200"/>
      <c r="C136" s="684"/>
      <c r="D136" s="685"/>
      <c r="E136" s="519"/>
      <c r="F136">
        <f t="shared" si="5"/>
        <v>0</v>
      </c>
      <c r="G136" t="str">
        <f>IF(IFERROR(IF(Str_TypeDonneesCpt1=Cpt_Index,Tab_Compteur_1[[#This Row],[Index]]-E135,Tab_Compteur_1[[#This Row],[Quantité]])/Tab_Compteur_1[[#This Row],[Delta Jour]],"")&lt;0,"",IFERROR(IF(Str_TypeDonneesCpt1=Cpt_Index,Tab_Compteur_1[[#This Row],[Index]]-E135,Tab_Compteur_1[[#This Row],[Quantité]])/Tab_Compteur_1[[#This Row],[Delta Jour]],""))</f>
        <v/>
      </c>
      <c r="H136" t="str">
        <f>IFERROR(Tab_Compteur_1[[#This Row],[Montant]]/Tab_Compteur_1[[#This Row],[Delta Jour]],"")</f>
        <v/>
      </c>
      <c r="I136" s="184" t="str">
        <f>IF(SUM(Tab_Compteur_1[[#This Row],[Quantité]],Tab_Compteur_1[[#This Row],[Index]])&lt;=0,"",G136)</f>
        <v/>
      </c>
      <c r="J136" s="675"/>
      <c r="K136" s="36"/>
      <c r="L136" s="36"/>
      <c r="M136" s="36"/>
      <c r="N136" s="36"/>
      <c r="O136"/>
    </row>
    <row r="137" spans="1:15">
      <c r="A137" s="421">
        <f t="shared" si="6"/>
        <v>1</v>
      </c>
      <c r="B137" s="200"/>
      <c r="C137" s="684"/>
      <c r="D137" s="685"/>
      <c r="E137" s="519"/>
      <c r="F137">
        <f t="shared" si="5"/>
        <v>0</v>
      </c>
      <c r="G137" t="str">
        <f>IF(IFERROR(IF(Str_TypeDonneesCpt1=Cpt_Index,Tab_Compteur_1[[#This Row],[Index]]-E136,Tab_Compteur_1[[#This Row],[Quantité]])/Tab_Compteur_1[[#This Row],[Delta Jour]],"")&lt;0,"",IFERROR(IF(Str_TypeDonneesCpt1=Cpt_Index,Tab_Compteur_1[[#This Row],[Index]]-E136,Tab_Compteur_1[[#This Row],[Quantité]])/Tab_Compteur_1[[#This Row],[Delta Jour]],""))</f>
        <v/>
      </c>
      <c r="H137" t="str">
        <f>IFERROR(Tab_Compteur_1[[#This Row],[Montant]]/Tab_Compteur_1[[#This Row],[Delta Jour]],"")</f>
        <v/>
      </c>
      <c r="I137" s="184" t="str">
        <f>IF(SUM(Tab_Compteur_1[[#This Row],[Quantité]],Tab_Compteur_1[[#This Row],[Index]])&lt;=0,"",G137)</f>
        <v/>
      </c>
      <c r="J137" s="675"/>
      <c r="K137" s="36"/>
      <c r="L137" s="36"/>
      <c r="M137" s="36"/>
      <c r="N137" s="36"/>
      <c r="O137"/>
    </row>
    <row r="138" spans="1:15">
      <c r="A138" s="421">
        <f t="shared" si="6"/>
        <v>1</v>
      </c>
      <c r="B138" s="200"/>
      <c r="C138" s="684"/>
      <c r="D138" s="685"/>
      <c r="E138" s="519"/>
      <c r="F138">
        <f t="shared" si="5"/>
        <v>0</v>
      </c>
      <c r="G138" t="str">
        <f>IF(IFERROR(IF(Str_TypeDonneesCpt1=Cpt_Index,Tab_Compteur_1[[#This Row],[Index]]-E137,Tab_Compteur_1[[#This Row],[Quantité]])/Tab_Compteur_1[[#This Row],[Delta Jour]],"")&lt;0,"",IFERROR(IF(Str_TypeDonneesCpt1=Cpt_Index,Tab_Compteur_1[[#This Row],[Index]]-E137,Tab_Compteur_1[[#This Row],[Quantité]])/Tab_Compteur_1[[#This Row],[Delta Jour]],""))</f>
        <v/>
      </c>
      <c r="H138" t="str">
        <f>IFERROR(Tab_Compteur_1[[#This Row],[Montant]]/Tab_Compteur_1[[#This Row],[Delta Jour]],"")</f>
        <v/>
      </c>
      <c r="I138" s="184" t="str">
        <f>IF(SUM(Tab_Compteur_1[[#This Row],[Quantité]],Tab_Compteur_1[[#This Row],[Index]])&lt;=0,"",G138)</f>
        <v/>
      </c>
      <c r="J138" s="675"/>
      <c r="K138" s="36"/>
      <c r="L138" s="36"/>
      <c r="M138" s="36"/>
      <c r="N138" s="36"/>
      <c r="O138"/>
    </row>
    <row r="139" spans="1:15">
      <c r="A139" s="421">
        <f t="shared" si="6"/>
        <v>1</v>
      </c>
      <c r="B139" s="200"/>
      <c r="C139" s="684"/>
      <c r="D139" s="685"/>
      <c r="E139" s="519"/>
      <c r="F139">
        <f t="shared" si="5"/>
        <v>0</v>
      </c>
      <c r="G139" t="str">
        <f>IF(IFERROR(IF(Str_TypeDonneesCpt1=Cpt_Index,Tab_Compteur_1[[#This Row],[Index]]-E138,Tab_Compteur_1[[#This Row],[Quantité]])/Tab_Compteur_1[[#This Row],[Delta Jour]],"")&lt;0,"",IFERROR(IF(Str_TypeDonneesCpt1=Cpt_Index,Tab_Compteur_1[[#This Row],[Index]]-E138,Tab_Compteur_1[[#This Row],[Quantité]])/Tab_Compteur_1[[#This Row],[Delta Jour]],""))</f>
        <v/>
      </c>
      <c r="H139" t="str">
        <f>IFERROR(Tab_Compteur_1[[#This Row],[Montant]]/Tab_Compteur_1[[#This Row],[Delta Jour]],"")</f>
        <v/>
      </c>
      <c r="I139" s="184" t="str">
        <f>IF(SUM(Tab_Compteur_1[[#This Row],[Quantité]],Tab_Compteur_1[[#This Row],[Index]])&lt;=0,"",G139)</f>
        <v/>
      </c>
      <c r="J139" s="675"/>
      <c r="K139" s="36"/>
      <c r="L139" s="36"/>
      <c r="M139" s="36"/>
      <c r="N139" s="36"/>
      <c r="O139"/>
    </row>
    <row r="140" spans="1:15">
      <c r="A140" s="421">
        <f t="shared" si="6"/>
        <v>1</v>
      </c>
      <c r="B140" s="200"/>
      <c r="C140" s="684"/>
      <c r="D140" s="685"/>
      <c r="E140" s="519"/>
      <c r="F140">
        <f t="shared" si="5"/>
        <v>0</v>
      </c>
      <c r="G140" t="str">
        <f>IF(IFERROR(IF(Str_TypeDonneesCpt1=Cpt_Index,Tab_Compteur_1[[#This Row],[Index]]-E139,Tab_Compteur_1[[#This Row],[Quantité]])/Tab_Compteur_1[[#This Row],[Delta Jour]],"")&lt;0,"",IFERROR(IF(Str_TypeDonneesCpt1=Cpt_Index,Tab_Compteur_1[[#This Row],[Index]]-E139,Tab_Compteur_1[[#This Row],[Quantité]])/Tab_Compteur_1[[#This Row],[Delta Jour]],""))</f>
        <v/>
      </c>
      <c r="H140" t="str">
        <f>IFERROR(Tab_Compteur_1[[#This Row],[Montant]]/Tab_Compteur_1[[#This Row],[Delta Jour]],"")</f>
        <v/>
      </c>
      <c r="I140" s="184" t="str">
        <f>IF(SUM(Tab_Compteur_1[[#This Row],[Quantité]],Tab_Compteur_1[[#This Row],[Index]])&lt;=0,"",G140)</f>
        <v/>
      </c>
      <c r="J140" s="675"/>
      <c r="K140" s="36"/>
      <c r="L140" s="36"/>
      <c r="M140" s="36"/>
      <c r="N140" s="36"/>
      <c r="O140"/>
    </row>
    <row r="141" spans="1:15">
      <c r="A141" s="421">
        <f t="shared" si="6"/>
        <v>1</v>
      </c>
      <c r="B141" s="200"/>
      <c r="C141" s="684"/>
      <c r="D141" s="685"/>
      <c r="E141" s="519"/>
      <c r="F141">
        <f t="shared" si="5"/>
        <v>0</v>
      </c>
      <c r="G141" t="str">
        <f>IF(IFERROR(IF(Str_TypeDonneesCpt1=Cpt_Index,Tab_Compteur_1[[#This Row],[Index]]-E140,Tab_Compteur_1[[#This Row],[Quantité]])/Tab_Compteur_1[[#This Row],[Delta Jour]],"")&lt;0,"",IFERROR(IF(Str_TypeDonneesCpt1=Cpt_Index,Tab_Compteur_1[[#This Row],[Index]]-E140,Tab_Compteur_1[[#This Row],[Quantité]])/Tab_Compteur_1[[#This Row],[Delta Jour]],""))</f>
        <v/>
      </c>
      <c r="H141" t="str">
        <f>IFERROR(Tab_Compteur_1[[#This Row],[Montant]]/Tab_Compteur_1[[#This Row],[Delta Jour]],"")</f>
        <v/>
      </c>
      <c r="I141" s="184" t="str">
        <f>IF(SUM(Tab_Compteur_1[[#This Row],[Quantité]],Tab_Compteur_1[[#This Row],[Index]])&lt;=0,"",G141)</f>
        <v/>
      </c>
      <c r="J141" s="675"/>
      <c r="K141" s="36"/>
      <c r="L141" s="36"/>
      <c r="M141" s="36"/>
      <c r="N141" s="36"/>
      <c r="O141"/>
    </row>
    <row r="142" spans="1:15">
      <c r="A142" s="421">
        <f t="shared" si="6"/>
        <v>1</v>
      </c>
      <c r="B142" s="200"/>
      <c r="C142" s="684"/>
      <c r="D142" s="685"/>
      <c r="E142" s="519"/>
      <c r="F142">
        <f t="shared" si="5"/>
        <v>0</v>
      </c>
      <c r="G142" t="str">
        <f>IF(IFERROR(IF(Str_TypeDonneesCpt1=Cpt_Index,Tab_Compteur_1[[#This Row],[Index]]-E141,Tab_Compteur_1[[#This Row],[Quantité]])/Tab_Compteur_1[[#This Row],[Delta Jour]],"")&lt;0,"",IFERROR(IF(Str_TypeDonneesCpt1=Cpt_Index,Tab_Compteur_1[[#This Row],[Index]]-E141,Tab_Compteur_1[[#This Row],[Quantité]])/Tab_Compteur_1[[#This Row],[Delta Jour]],""))</f>
        <v/>
      </c>
      <c r="H142" t="str">
        <f>IFERROR(Tab_Compteur_1[[#This Row],[Montant]]/Tab_Compteur_1[[#This Row],[Delta Jour]],"")</f>
        <v/>
      </c>
      <c r="I142" s="184" t="str">
        <f>IF(SUM(Tab_Compteur_1[[#This Row],[Quantité]],Tab_Compteur_1[[#This Row],[Index]])&lt;=0,"",G142)</f>
        <v/>
      </c>
      <c r="J142" s="675"/>
      <c r="K142" s="36"/>
      <c r="L142" s="36"/>
      <c r="M142" s="36"/>
      <c r="N142" s="36"/>
      <c r="O142"/>
    </row>
    <row r="143" spans="1:15">
      <c r="A143" s="421">
        <f t="shared" si="6"/>
        <v>1</v>
      </c>
      <c r="B143" s="200"/>
      <c r="C143" s="684"/>
      <c r="D143" s="685"/>
      <c r="E143" s="519"/>
      <c r="F143">
        <f t="shared" si="5"/>
        <v>0</v>
      </c>
      <c r="G143" t="str">
        <f>IF(IFERROR(IF(Str_TypeDonneesCpt1=Cpt_Index,Tab_Compteur_1[[#This Row],[Index]]-E142,Tab_Compteur_1[[#This Row],[Quantité]])/Tab_Compteur_1[[#This Row],[Delta Jour]],"")&lt;0,"",IFERROR(IF(Str_TypeDonneesCpt1=Cpt_Index,Tab_Compteur_1[[#This Row],[Index]]-E142,Tab_Compteur_1[[#This Row],[Quantité]])/Tab_Compteur_1[[#This Row],[Delta Jour]],""))</f>
        <v/>
      </c>
      <c r="H143" t="str">
        <f>IFERROR(Tab_Compteur_1[[#This Row],[Montant]]/Tab_Compteur_1[[#This Row],[Delta Jour]],"")</f>
        <v/>
      </c>
      <c r="I143" s="184" t="str">
        <f>IF(SUM(Tab_Compteur_1[[#This Row],[Quantité]],Tab_Compteur_1[[#This Row],[Index]])&lt;=0,"",G143)</f>
        <v/>
      </c>
      <c r="J143" s="675"/>
      <c r="K143" s="36"/>
      <c r="L143" s="36"/>
      <c r="M143" s="36"/>
      <c r="N143" s="36"/>
      <c r="O143"/>
    </row>
    <row r="144" spans="1:15">
      <c r="A144" s="421">
        <f t="shared" si="6"/>
        <v>1</v>
      </c>
      <c r="B144" s="200"/>
      <c r="C144" s="684"/>
      <c r="D144" s="685"/>
      <c r="E144" s="519"/>
      <c r="F144">
        <f t="shared" si="5"/>
        <v>0</v>
      </c>
      <c r="G144" t="str">
        <f>IF(IFERROR(IF(Str_TypeDonneesCpt1=Cpt_Index,Tab_Compteur_1[[#This Row],[Index]]-E143,Tab_Compteur_1[[#This Row],[Quantité]])/Tab_Compteur_1[[#This Row],[Delta Jour]],"")&lt;0,"",IFERROR(IF(Str_TypeDonneesCpt1=Cpt_Index,Tab_Compteur_1[[#This Row],[Index]]-E143,Tab_Compteur_1[[#This Row],[Quantité]])/Tab_Compteur_1[[#This Row],[Delta Jour]],""))</f>
        <v/>
      </c>
      <c r="H144" t="str">
        <f>IFERROR(Tab_Compteur_1[[#This Row],[Montant]]/Tab_Compteur_1[[#This Row],[Delta Jour]],"")</f>
        <v/>
      </c>
      <c r="I144" s="184" t="str">
        <f>IF(SUM(Tab_Compteur_1[[#This Row],[Quantité]],Tab_Compteur_1[[#This Row],[Index]])&lt;=0,"",G144)</f>
        <v/>
      </c>
      <c r="J144" s="675"/>
      <c r="K144" s="36"/>
      <c r="L144" s="36"/>
      <c r="M144" s="36"/>
      <c r="N144" s="36"/>
      <c r="O144"/>
    </row>
    <row r="145" spans="1:15">
      <c r="A145" s="421">
        <f t="shared" si="6"/>
        <v>1</v>
      </c>
      <c r="B145" s="200"/>
      <c r="C145" s="684"/>
      <c r="D145" s="685"/>
      <c r="E145" s="519"/>
      <c r="F145">
        <f t="shared" si="5"/>
        <v>0</v>
      </c>
      <c r="G145" t="str">
        <f>IF(IFERROR(IF(Str_TypeDonneesCpt1=Cpt_Index,Tab_Compteur_1[[#This Row],[Index]]-E144,Tab_Compteur_1[[#This Row],[Quantité]])/Tab_Compteur_1[[#This Row],[Delta Jour]],"")&lt;0,"",IFERROR(IF(Str_TypeDonneesCpt1=Cpt_Index,Tab_Compteur_1[[#This Row],[Index]]-E144,Tab_Compteur_1[[#This Row],[Quantité]])/Tab_Compteur_1[[#This Row],[Delta Jour]],""))</f>
        <v/>
      </c>
      <c r="H145" t="str">
        <f>IFERROR(Tab_Compteur_1[[#This Row],[Montant]]/Tab_Compteur_1[[#This Row],[Delta Jour]],"")</f>
        <v/>
      </c>
      <c r="I145" s="184" t="str">
        <f>IF(SUM(Tab_Compteur_1[[#This Row],[Quantité]],Tab_Compteur_1[[#This Row],[Index]])&lt;=0,"",G145)</f>
        <v/>
      </c>
      <c r="J145" s="675"/>
      <c r="K145" s="36"/>
      <c r="L145" s="36"/>
      <c r="M145" s="36"/>
      <c r="N145" s="36"/>
      <c r="O145"/>
    </row>
    <row r="146" spans="1:15">
      <c r="A146" s="421">
        <f t="shared" si="6"/>
        <v>1</v>
      </c>
      <c r="B146" s="200"/>
      <c r="C146" s="684"/>
      <c r="D146" s="685"/>
      <c r="E146" s="519"/>
      <c r="F146">
        <f t="shared" si="5"/>
        <v>0</v>
      </c>
      <c r="G146" t="str">
        <f>IF(IFERROR(IF(Str_TypeDonneesCpt1=Cpt_Index,Tab_Compteur_1[[#This Row],[Index]]-E145,Tab_Compteur_1[[#This Row],[Quantité]])/Tab_Compteur_1[[#This Row],[Delta Jour]],"")&lt;0,"",IFERROR(IF(Str_TypeDonneesCpt1=Cpt_Index,Tab_Compteur_1[[#This Row],[Index]]-E145,Tab_Compteur_1[[#This Row],[Quantité]])/Tab_Compteur_1[[#This Row],[Delta Jour]],""))</f>
        <v/>
      </c>
      <c r="H146" t="str">
        <f>IFERROR(Tab_Compteur_1[[#This Row],[Montant]]/Tab_Compteur_1[[#This Row],[Delta Jour]],"")</f>
        <v/>
      </c>
      <c r="I146" s="184" t="str">
        <f>IF(SUM(Tab_Compteur_1[[#This Row],[Quantité]],Tab_Compteur_1[[#This Row],[Index]])&lt;=0,"",G146)</f>
        <v/>
      </c>
      <c r="J146" s="675"/>
      <c r="K146" s="36"/>
      <c r="L146" s="36"/>
      <c r="M146" s="36"/>
      <c r="N146" s="36"/>
      <c r="O146"/>
    </row>
    <row r="147" spans="1:15">
      <c r="A147" s="421">
        <f t="shared" si="6"/>
        <v>1</v>
      </c>
      <c r="B147" s="200"/>
      <c r="C147" s="684"/>
      <c r="D147" s="685"/>
      <c r="E147" s="519"/>
      <c r="F147">
        <f t="shared" si="5"/>
        <v>0</v>
      </c>
      <c r="G147" t="str">
        <f>IF(IFERROR(IF(Str_TypeDonneesCpt1=Cpt_Index,Tab_Compteur_1[[#This Row],[Index]]-E146,Tab_Compteur_1[[#This Row],[Quantité]])/Tab_Compteur_1[[#This Row],[Delta Jour]],"")&lt;0,"",IFERROR(IF(Str_TypeDonneesCpt1=Cpt_Index,Tab_Compteur_1[[#This Row],[Index]]-E146,Tab_Compteur_1[[#This Row],[Quantité]])/Tab_Compteur_1[[#This Row],[Delta Jour]],""))</f>
        <v/>
      </c>
      <c r="H147" t="str">
        <f>IFERROR(Tab_Compteur_1[[#This Row],[Montant]]/Tab_Compteur_1[[#This Row],[Delta Jour]],"")</f>
        <v/>
      </c>
      <c r="I147" s="184" t="str">
        <f>IF(SUM(Tab_Compteur_1[[#This Row],[Quantité]],Tab_Compteur_1[[#This Row],[Index]])&lt;=0,"",G147)</f>
        <v/>
      </c>
      <c r="J147" s="675"/>
      <c r="K147" s="36"/>
      <c r="L147" s="36"/>
      <c r="M147" s="36"/>
      <c r="N147" s="36"/>
      <c r="O147"/>
    </row>
    <row r="148" spans="1:15">
      <c r="A148" s="421">
        <f t="shared" si="6"/>
        <v>1</v>
      </c>
      <c r="B148" s="200"/>
      <c r="C148" s="684"/>
      <c r="D148" s="685"/>
      <c r="E148" s="519"/>
      <c r="F148">
        <f t="shared" si="5"/>
        <v>0</v>
      </c>
      <c r="G148" t="str">
        <f>IF(IFERROR(IF(Str_TypeDonneesCpt1=Cpt_Index,Tab_Compteur_1[[#This Row],[Index]]-E147,Tab_Compteur_1[[#This Row],[Quantité]])/Tab_Compteur_1[[#This Row],[Delta Jour]],"")&lt;0,"",IFERROR(IF(Str_TypeDonneesCpt1=Cpt_Index,Tab_Compteur_1[[#This Row],[Index]]-E147,Tab_Compteur_1[[#This Row],[Quantité]])/Tab_Compteur_1[[#This Row],[Delta Jour]],""))</f>
        <v/>
      </c>
      <c r="H148" t="str">
        <f>IFERROR(Tab_Compteur_1[[#This Row],[Montant]]/Tab_Compteur_1[[#This Row],[Delta Jour]],"")</f>
        <v/>
      </c>
      <c r="I148" s="184" t="str">
        <f>IF(SUM(Tab_Compteur_1[[#This Row],[Quantité]],Tab_Compteur_1[[#This Row],[Index]])&lt;=0,"",G148)</f>
        <v/>
      </c>
      <c r="J148" s="675"/>
      <c r="K148" s="36"/>
      <c r="L148" s="36"/>
      <c r="M148" s="36"/>
      <c r="N148" s="36"/>
      <c r="O148"/>
    </row>
    <row r="149" spans="1:15">
      <c r="A149" s="421">
        <f t="shared" si="6"/>
        <v>1</v>
      </c>
      <c r="B149" s="200"/>
      <c r="C149" s="684"/>
      <c r="D149" s="685"/>
      <c r="E149" s="519"/>
      <c r="F149">
        <f t="shared" si="5"/>
        <v>0</v>
      </c>
      <c r="G149" t="str">
        <f>IF(IFERROR(IF(Str_TypeDonneesCpt1=Cpt_Index,Tab_Compteur_1[[#This Row],[Index]]-E148,Tab_Compteur_1[[#This Row],[Quantité]])/Tab_Compteur_1[[#This Row],[Delta Jour]],"")&lt;0,"",IFERROR(IF(Str_TypeDonneesCpt1=Cpt_Index,Tab_Compteur_1[[#This Row],[Index]]-E148,Tab_Compteur_1[[#This Row],[Quantité]])/Tab_Compteur_1[[#This Row],[Delta Jour]],""))</f>
        <v/>
      </c>
      <c r="H149" t="str">
        <f>IFERROR(Tab_Compteur_1[[#This Row],[Montant]]/Tab_Compteur_1[[#This Row],[Delta Jour]],"")</f>
        <v/>
      </c>
      <c r="I149" s="184" t="str">
        <f>IF(SUM(Tab_Compteur_1[[#This Row],[Quantité]],Tab_Compteur_1[[#This Row],[Index]])&lt;=0,"",G149)</f>
        <v/>
      </c>
      <c r="J149" s="675"/>
      <c r="K149" s="36"/>
      <c r="L149" s="36"/>
      <c r="M149" s="36"/>
      <c r="N149" s="36"/>
      <c r="O149"/>
    </row>
    <row r="150" spans="1:15">
      <c r="A150" s="421">
        <f t="shared" si="6"/>
        <v>1</v>
      </c>
      <c r="B150" s="200"/>
      <c r="C150" s="684"/>
      <c r="D150" s="685"/>
      <c r="E150" s="519"/>
      <c r="F150">
        <f t="shared" si="5"/>
        <v>0</v>
      </c>
      <c r="G150" t="str">
        <f>IF(IFERROR(IF(Str_TypeDonneesCpt1=Cpt_Index,Tab_Compteur_1[[#This Row],[Index]]-E149,Tab_Compteur_1[[#This Row],[Quantité]])/Tab_Compteur_1[[#This Row],[Delta Jour]],"")&lt;0,"",IFERROR(IF(Str_TypeDonneesCpt1=Cpt_Index,Tab_Compteur_1[[#This Row],[Index]]-E149,Tab_Compteur_1[[#This Row],[Quantité]])/Tab_Compteur_1[[#This Row],[Delta Jour]],""))</f>
        <v/>
      </c>
      <c r="H150" t="str">
        <f>IFERROR(Tab_Compteur_1[[#This Row],[Montant]]/Tab_Compteur_1[[#This Row],[Delta Jour]],"")</f>
        <v/>
      </c>
      <c r="I150" s="184" t="str">
        <f>IF(SUM(Tab_Compteur_1[[#This Row],[Quantité]],Tab_Compteur_1[[#This Row],[Index]])&lt;=0,"",G150)</f>
        <v/>
      </c>
      <c r="J150" s="675"/>
      <c r="K150" s="36"/>
      <c r="L150" s="36"/>
      <c r="M150" s="36"/>
      <c r="N150" s="36"/>
      <c r="O150"/>
    </row>
    <row r="151" spans="1:15">
      <c r="A151" s="421">
        <f t="shared" si="6"/>
        <v>1</v>
      </c>
      <c r="B151" s="200"/>
      <c r="C151" s="684"/>
      <c r="D151" s="685"/>
      <c r="E151" s="519"/>
      <c r="F151">
        <f t="shared" si="5"/>
        <v>0</v>
      </c>
      <c r="G151" t="str">
        <f>IF(IFERROR(IF(Str_TypeDonneesCpt1=Cpt_Index,Tab_Compteur_1[[#This Row],[Index]]-E150,Tab_Compteur_1[[#This Row],[Quantité]])/Tab_Compteur_1[[#This Row],[Delta Jour]],"")&lt;0,"",IFERROR(IF(Str_TypeDonneesCpt1=Cpt_Index,Tab_Compteur_1[[#This Row],[Index]]-E150,Tab_Compteur_1[[#This Row],[Quantité]])/Tab_Compteur_1[[#This Row],[Delta Jour]],""))</f>
        <v/>
      </c>
      <c r="H151" t="str">
        <f>IFERROR(Tab_Compteur_1[[#This Row],[Montant]]/Tab_Compteur_1[[#This Row],[Delta Jour]],"")</f>
        <v/>
      </c>
      <c r="I151" s="184" t="str">
        <f>IF(SUM(Tab_Compteur_1[[#This Row],[Quantité]],Tab_Compteur_1[[#This Row],[Index]])&lt;=0,"",G151)</f>
        <v/>
      </c>
      <c r="J151" s="675"/>
      <c r="K151" s="36"/>
      <c r="L151" s="36"/>
      <c r="M151" s="36"/>
      <c r="N151" s="36"/>
      <c r="O151"/>
    </row>
    <row r="152" spans="1:15">
      <c r="A152" s="421">
        <f t="shared" si="6"/>
        <v>1</v>
      </c>
      <c r="B152" s="200"/>
      <c r="C152" s="684"/>
      <c r="D152" s="685"/>
      <c r="E152" s="519"/>
      <c r="F152">
        <f t="shared" si="5"/>
        <v>0</v>
      </c>
      <c r="G152" t="str">
        <f>IF(IFERROR(IF(Str_TypeDonneesCpt1=Cpt_Index,Tab_Compteur_1[[#This Row],[Index]]-E151,Tab_Compteur_1[[#This Row],[Quantité]])/Tab_Compteur_1[[#This Row],[Delta Jour]],"")&lt;0,"",IFERROR(IF(Str_TypeDonneesCpt1=Cpt_Index,Tab_Compteur_1[[#This Row],[Index]]-E151,Tab_Compteur_1[[#This Row],[Quantité]])/Tab_Compteur_1[[#This Row],[Delta Jour]],""))</f>
        <v/>
      </c>
      <c r="H152" t="str">
        <f>IFERROR(Tab_Compteur_1[[#This Row],[Montant]]/Tab_Compteur_1[[#This Row],[Delta Jour]],"")</f>
        <v/>
      </c>
      <c r="I152" s="184" t="str">
        <f>IF(SUM(Tab_Compteur_1[[#This Row],[Quantité]],Tab_Compteur_1[[#This Row],[Index]])&lt;=0,"",G152)</f>
        <v/>
      </c>
      <c r="J152" s="675"/>
      <c r="K152" s="36"/>
      <c r="L152" s="36"/>
      <c r="M152" s="36"/>
      <c r="N152" s="36"/>
      <c r="O152"/>
    </row>
    <row r="153" spans="1:15">
      <c r="A153" s="421">
        <f t="shared" si="6"/>
        <v>1</v>
      </c>
      <c r="B153" s="200"/>
      <c r="C153" s="684"/>
      <c r="D153" s="685"/>
      <c r="E153" s="519"/>
      <c r="F153">
        <f t="shared" si="5"/>
        <v>0</v>
      </c>
      <c r="G153" t="str">
        <f>IF(IFERROR(IF(Str_TypeDonneesCpt1=Cpt_Index,Tab_Compteur_1[[#This Row],[Index]]-E152,Tab_Compteur_1[[#This Row],[Quantité]])/Tab_Compteur_1[[#This Row],[Delta Jour]],"")&lt;0,"",IFERROR(IF(Str_TypeDonneesCpt1=Cpt_Index,Tab_Compteur_1[[#This Row],[Index]]-E152,Tab_Compteur_1[[#This Row],[Quantité]])/Tab_Compteur_1[[#This Row],[Delta Jour]],""))</f>
        <v/>
      </c>
      <c r="H153" t="str">
        <f>IFERROR(Tab_Compteur_1[[#This Row],[Montant]]/Tab_Compteur_1[[#This Row],[Delta Jour]],"")</f>
        <v/>
      </c>
      <c r="I153" s="184" t="str">
        <f>IF(SUM(Tab_Compteur_1[[#This Row],[Quantité]],Tab_Compteur_1[[#This Row],[Index]])&lt;=0,"",G153)</f>
        <v/>
      </c>
      <c r="J153" s="675"/>
      <c r="K153" s="36"/>
      <c r="L153" s="36"/>
      <c r="M153" s="36"/>
      <c r="N153" s="36"/>
      <c r="O153"/>
    </row>
    <row r="154" spans="1:15">
      <c r="A154" s="421">
        <f t="shared" si="6"/>
        <v>1</v>
      </c>
      <c r="B154" s="200"/>
      <c r="C154" s="684"/>
      <c r="D154" s="685"/>
      <c r="E154" s="519"/>
      <c r="F154">
        <f t="shared" si="5"/>
        <v>0</v>
      </c>
      <c r="G154" t="str">
        <f>IF(IFERROR(IF(Str_TypeDonneesCpt1=Cpt_Index,Tab_Compteur_1[[#This Row],[Index]]-E153,Tab_Compteur_1[[#This Row],[Quantité]])/Tab_Compteur_1[[#This Row],[Delta Jour]],"")&lt;0,"",IFERROR(IF(Str_TypeDonneesCpt1=Cpt_Index,Tab_Compteur_1[[#This Row],[Index]]-E153,Tab_Compteur_1[[#This Row],[Quantité]])/Tab_Compteur_1[[#This Row],[Delta Jour]],""))</f>
        <v/>
      </c>
      <c r="H154" t="str">
        <f>IFERROR(Tab_Compteur_1[[#This Row],[Montant]]/Tab_Compteur_1[[#This Row],[Delta Jour]],"")</f>
        <v/>
      </c>
      <c r="I154" s="184" t="str">
        <f>IF(SUM(Tab_Compteur_1[[#This Row],[Quantité]],Tab_Compteur_1[[#This Row],[Index]])&lt;=0,"",G154)</f>
        <v/>
      </c>
      <c r="J154" s="675"/>
      <c r="K154" s="36"/>
      <c r="L154" s="36"/>
      <c r="M154" s="36"/>
      <c r="N154" s="36"/>
      <c r="O154"/>
    </row>
    <row r="155" spans="1:15">
      <c r="A155" s="421">
        <f t="shared" si="6"/>
        <v>1</v>
      </c>
      <c r="B155" s="200"/>
      <c r="C155" s="181"/>
      <c r="D155" s="685"/>
      <c r="E155" s="519"/>
      <c r="F155">
        <f t="shared" si="5"/>
        <v>0</v>
      </c>
      <c r="G155" t="str">
        <f>IF(IFERROR(IF(Str_TypeDonneesCpt1=Cpt_Index,Tab_Compteur_1[[#This Row],[Index]]-E154,Tab_Compteur_1[[#This Row],[Quantité]])/Tab_Compteur_1[[#This Row],[Delta Jour]],"")&lt;0,"",IFERROR(IF(Str_TypeDonneesCpt1=Cpt_Index,Tab_Compteur_1[[#This Row],[Index]]-E154,Tab_Compteur_1[[#This Row],[Quantité]])/Tab_Compteur_1[[#This Row],[Delta Jour]],""))</f>
        <v/>
      </c>
      <c r="H155" t="str">
        <f>IFERROR(Tab_Compteur_1[[#This Row],[Montant]]/Tab_Compteur_1[[#This Row],[Delta Jour]],"")</f>
        <v/>
      </c>
      <c r="I155" s="184" t="str">
        <f>IF(SUM(Tab_Compteur_1[[#This Row],[Quantité]],Tab_Compteur_1[[#This Row],[Index]])&lt;=0,"",G155)</f>
        <v/>
      </c>
      <c r="J155" s="675"/>
      <c r="K155" s="36"/>
      <c r="L155" s="36"/>
      <c r="M155" s="36"/>
      <c r="N155" s="36"/>
      <c r="O155"/>
    </row>
    <row r="156" spans="1:15">
      <c r="A156" s="421">
        <f t="shared" si="6"/>
        <v>1</v>
      </c>
      <c r="B156" s="200"/>
      <c r="C156" s="181"/>
      <c r="D156" s="685"/>
      <c r="E156" s="519"/>
      <c r="F156">
        <f t="shared" si="5"/>
        <v>0</v>
      </c>
      <c r="G156" t="str">
        <f>IF(IFERROR(IF(Str_TypeDonneesCpt1=Cpt_Index,Tab_Compteur_1[[#This Row],[Index]]-E155,Tab_Compteur_1[[#This Row],[Quantité]])/Tab_Compteur_1[[#This Row],[Delta Jour]],"")&lt;0,"",IFERROR(IF(Str_TypeDonneesCpt1=Cpt_Index,Tab_Compteur_1[[#This Row],[Index]]-E155,Tab_Compteur_1[[#This Row],[Quantité]])/Tab_Compteur_1[[#This Row],[Delta Jour]],""))</f>
        <v/>
      </c>
      <c r="H156" t="str">
        <f>IFERROR(Tab_Compteur_1[[#This Row],[Montant]]/Tab_Compteur_1[[#This Row],[Delta Jour]],"")</f>
        <v/>
      </c>
      <c r="I156" s="184" t="str">
        <f>IF(SUM(Tab_Compteur_1[[#This Row],[Quantité]],Tab_Compteur_1[[#This Row],[Index]])&lt;=0,"",G156)</f>
        <v/>
      </c>
      <c r="J156" s="675"/>
      <c r="K156" s="36"/>
      <c r="L156" s="36"/>
      <c r="M156" s="36"/>
      <c r="N156" s="36"/>
      <c r="O156"/>
    </row>
    <row r="157" spans="1:15">
      <c r="A157" s="421">
        <f t="shared" si="6"/>
        <v>1</v>
      </c>
      <c r="B157" s="200"/>
      <c r="C157" s="181"/>
      <c r="D157" s="685"/>
      <c r="E157" s="519"/>
      <c r="F157">
        <f t="shared" si="5"/>
        <v>0</v>
      </c>
      <c r="G157" t="str">
        <f>IF(IFERROR(IF(Str_TypeDonneesCpt1=Cpt_Index,Tab_Compteur_1[[#This Row],[Index]]-E156,Tab_Compteur_1[[#This Row],[Quantité]])/Tab_Compteur_1[[#This Row],[Delta Jour]],"")&lt;0,"",IFERROR(IF(Str_TypeDonneesCpt1=Cpt_Index,Tab_Compteur_1[[#This Row],[Index]]-E156,Tab_Compteur_1[[#This Row],[Quantité]])/Tab_Compteur_1[[#This Row],[Delta Jour]],""))</f>
        <v/>
      </c>
      <c r="H157" t="str">
        <f>IFERROR(Tab_Compteur_1[[#This Row],[Montant]]/Tab_Compteur_1[[#This Row],[Delta Jour]],"")</f>
        <v/>
      </c>
      <c r="I157" s="184" t="str">
        <f>IF(SUM(Tab_Compteur_1[[#This Row],[Quantité]],Tab_Compteur_1[[#This Row],[Index]])&lt;=0,"",G157)</f>
        <v/>
      </c>
      <c r="J157" s="675"/>
      <c r="K157" s="36"/>
      <c r="L157" s="36"/>
      <c r="M157" s="36"/>
      <c r="N157" s="36"/>
      <c r="O157"/>
    </row>
    <row r="158" spans="1:15">
      <c r="A158" s="421">
        <f t="shared" si="6"/>
        <v>1</v>
      </c>
      <c r="B158" s="200"/>
      <c r="C158" s="181"/>
      <c r="D158" s="685"/>
      <c r="E158" s="519"/>
      <c r="F158">
        <f t="shared" si="5"/>
        <v>0</v>
      </c>
      <c r="G158" t="str">
        <f>IF(IFERROR(IF(Str_TypeDonneesCpt1=Cpt_Index,Tab_Compteur_1[[#This Row],[Index]]-E157,Tab_Compteur_1[[#This Row],[Quantité]])/Tab_Compteur_1[[#This Row],[Delta Jour]],"")&lt;0,"",IFERROR(IF(Str_TypeDonneesCpt1=Cpt_Index,Tab_Compteur_1[[#This Row],[Index]]-E157,Tab_Compteur_1[[#This Row],[Quantité]])/Tab_Compteur_1[[#This Row],[Delta Jour]],""))</f>
        <v/>
      </c>
      <c r="H158" t="str">
        <f>IFERROR(Tab_Compteur_1[[#This Row],[Montant]]/Tab_Compteur_1[[#This Row],[Delta Jour]],"")</f>
        <v/>
      </c>
      <c r="I158" s="184" t="str">
        <f>IF(SUM(Tab_Compteur_1[[#This Row],[Quantité]],Tab_Compteur_1[[#This Row],[Index]])&lt;=0,"",G158)</f>
        <v/>
      </c>
      <c r="J158" s="675"/>
      <c r="K158" s="36"/>
      <c r="L158" s="36"/>
      <c r="M158" s="36"/>
      <c r="N158" s="36"/>
      <c r="O158"/>
    </row>
    <row r="159" spans="1:15">
      <c r="A159" s="421">
        <f t="shared" si="6"/>
        <v>1</v>
      </c>
      <c r="B159" s="200"/>
      <c r="C159" s="181"/>
      <c r="D159" s="685"/>
      <c r="E159" s="519"/>
      <c r="F159">
        <f t="shared" si="5"/>
        <v>0</v>
      </c>
      <c r="G159" t="str">
        <f>IF(IFERROR(IF(Str_TypeDonneesCpt1=Cpt_Index,Tab_Compteur_1[[#This Row],[Index]]-E158,Tab_Compteur_1[[#This Row],[Quantité]])/Tab_Compteur_1[[#This Row],[Delta Jour]],"")&lt;0,"",IFERROR(IF(Str_TypeDonneesCpt1=Cpt_Index,Tab_Compteur_1[[#This Row],[Index]]-E158,Tab_Compteur_1[[#This Row],[Quantité]])/Tab_Compteur_1[[#This Row],[Delta Jour]],""))</f>
        <v/>
      </c>
      <c r="H159" t="str">
        <f>IFERROR(Tab_Compteur_1[[#This Row],[Montant]]/Tab_Compteur_1[[#This Row],[Delta Jour]],"")</f>
        <v/>
      </c>
      <c r="I159" s="184" t="str">
        <f>IF(SUM(Tab_Compteur_1[[#This Row],[Quantité]],Tab_Compteur_1[[#This Row],[Index]])&lt;=0,"",G159)</f>
        <v/>
      </c>
      <c r="J159" s="675"/>
      <c r="K159" s="36"/>
      <c r="L159" s="36"/>
      <c r="M159" s="36"/>
      <c r="N159" s="36"/>
      <c r="O159"/>
    </row>
    <row r="160" spans="1:15">
      <c r="A160" s="421">
        <f t="shared" si="6"/>
        <v>1</v>
      </c>
      <c r="B160" s="200"/>
      <c r="C160" s="181"/>
      <c r="D160" s="685"/>
      <c r="E160" s="519"/>
      <c r="F160">
        <f t="shared" si="5"/>
        <v>0</v>
      </c>
      <c r="G160" t="str">
        <f>IF(IFERROR(IF(Str_TypeDonneesCpt1=Cpt_Index,Tab_Compteur_1[[#This Row],[Index]]-E159,Tab_Compteur_1[[#This Row],[Quantité]])/Tab_Compteur_1[[#This Row],[Delta Jour]],"")&lt;0,"",IFERROR(IF(Str_TypeDonneesCpt1=Cpt_Index,Tab_Compteur_1[[#This Row],[Index]]-E159,Tab_Compteur_1[[#This Row],[Quantité]])/Tab_Compteur_1[[#This Row],[Delta Jour]],""))</f>
        <v/>
      </c>
      <c r="H160" t="str">
        <f>IFERROR(Tab_Compteur_1[[#This Row],[Montant]]/Tab_Compteur_1[[#This Row],[Delta Jour]],"")</f>
        <v/>
      </c>
      <c r="I160" s="184" t="str">
        <f>IF(SUM(Tab_Compteur_1[[#This Row],[Quantité]],Tab_Compteur_1[[#This Row],[Index]])&lt;=0,"",G160)</f>
        <v/>
      </c>
      <c r="J160" s="675"/>
      <c r="K160" s="36"/>
      <c r="L160" s="36"/>
      <c r="M160" s="36"/>
      <c r="N160" s="36"/>
      <c r="O160"/>
    </row>
    <row r="161" spans="1:15">
      <c r="A161" s="421">
        <f t="shared" si="6"/>
        <v>1</v>
      </c>
      <c r="B161" s="200"/>
      <c r="C161" s="181"/>
      <c r="D161" s="685"/>
      <c r="E161" s="519"/>
      <c r="F161">
        <f t="shared" si="5"/>
        <v>0</v>
      </c>
      <c r="G161" t="str">
        <f>IF(IFERROR(IF(Str_TypeDonneesCpt1=Cpt_Index,Tab_Compteur_1[[#This Row],[Index]]-E160,Tab_Compteur_1[[#This Row],[Quantité]])/Tab_Compteur_1[[#This Row],[Delta Jour]],"")&lt;0,"",IFERROR(IF(Str_TypeDonneesCpt1=Cpt_Index,Tab_Compteur_1[[#This Row],[Index]]-E160,Tab_Compteur_1[[#This Row],[Quantité]])/Tab_Compteur_1[[#This Row],[Delta Jour]],""))</f>
        <v/>
      </c>
      <c r="H161" t="str">
        <f>IFERROR(Tab_Compteur_1[[#This Row],[Montant]]/Tab_Compteur_1[[#This Row],[Delta Jour]],"")</f>
        <v/>
      </c>
      <c r="I161" s="184" t="str">
        <f>IF(SUM(Tab_Compteur_1[[#This Row],[Quantité]],Tab_Compteur_1[[#This Row],[Index]])&lt;=0,"",G161)</f>
        <v/>
      </c>
      <c r="J161" s="675"/>
      <c r="K161" s="36"/>
      <c r="L161" s="36"/>
      <c r="M161" s="36"/>
      <c r="N161" s="36"/>
      <c r="O161"/>
    </row>
    <row r="162" spans="1:15">
      <c r="A162" s="421">
        <f t="shared" si="6"/>
        <v>1</v>
      </c>
      <c r="B162" s="200"/>
      <c r="C162" s="684"/>
      <c r="D162" s="685"/>
      <c r="E162" s="519"/>
      <c r="F162">
        <f t="shared" si="5"/>
        <v>0</v>
      </c>
      <c r="G162" t="str">
        <f>IF(IFERROR(IF(Str_TypeDonneesCpt1=Cpt_Index,Tab_Compteur_1[[#This Row],[Index]]-E161,Tab_Compteur_1[[#This Row],[Quantité]])/Tab_Compteur_1[[#This Row],[Delta Jour]],"")&lt;0,"",IFERROR(IF(Str_TypeDonneesCpt1=Cpt_Index,Tab_Compteur_1[[#This Row],[Index]]-E161,Tab_Compteur_1[[#This Row],[Quantité]])/Tab_Compteur_1[[#This Row],[Delta Jour]],""))</f>
        <v/>
      </c>
      <c r="H162" t="str">
        <f>IFERROR(Tab_Compteur_1[[#This Row],[Montant]]/Tab_Compteur_1[[#This Row],[Delta Jour]],"")</f>
        <v/>
      </c>
      <c r="I162" s="184" t="str">
        <f>IF(SUM(Tab_Compteur_1[[#This Row],[Quantité]],Tab_Compteur_1[[#This Row],[Index]])&lt;=0,"",G162)</f>
        <v/>
      </c>
      <c r="J162" s="675"/>
      <c r="K162" s="36"/>
      <c r="L162" s="36"/>
      <c r="M162" s="36"/>
      <c r="N162" s="36"/>
      <c r="O162"/>
    </row>
    <row r="163" spans="1:15">
      <c r="A163" s="421">
        <f t="shared" si="6"/>
        <v>1</v>
      </c>
      <c r="B163" s="200"/>
      <c r="C163" s="684"/>
      <c r="D163" s="685"/>
      <c r="E163" s="519"/>
      <c r="F163">
        <f t="shared" si="5"/>
        <v>0</v>
      </c>
      <c r="G163" t="str">
        <f>IF(IFERROR(IF(Str_TypeDonneesCpt1=Cpt_Index,Tab_Compteur_1[[#This Row],[Index]]-E162,Tab_Compteur_1[[#This Row],[Quantité]])/Tab_Compteur_1[[#This Row],[Delta Jour]],"")&lt;0,"",IFERROR(IF(Str_TypeDonneesCpt1=Cpt_Index,Tab_Compteur_1[[#This Row],[Index]]-E162,Tab_Compteur_1[[#This Row],[Quantité]])/Tab_Compteur_1[[#This Row],[Delta Jour]],""))</f>
        <v/>
      </c>
      <c r="H163" t="str">
        <f>IFERROR(Tab_Compteur_1[[#This Row],[Montant]]/Tab_Compteur_1[[#This Row],[Delta Jour]],"")</f>
        <v/>
      </c>
      <c r="I163" s="184" t="str">
        <f>IF(SUM(Tab_Compteur_1[[#This Row],[Quantité]],Tab_Compteur_1[[#This Row],[Index]])&lt;=0,"",G163)</f>
        <v/>
      </c>
      <c r="J163" s="675"/>
      <c r="K163" s="36"/>
      <c r="L163" s="36"/>
      <c r="M163" s="36"/>
      <c r="N163" s="36"/>
      <c r="O163"/>
    </row>
    <row r="164" spans="1:15">
      <c r="A164" s="421">
        <f t="shared" si="6"/>
        <v>1</v>
      </c>
      <c r="B164" s="200"/>
      <c r="C164" s="684"/>
      <c r="D164" s="685"/>
      <c r="E164" s="519"/>
      <c r="F164">
        <f t="shared" si="5"/>
        <v>0</v>
      </c>
      <c r="G164" t="str">
        <f>IF(IFERROR(IF(Str_TypeDonneesCpt1=Cpt_Index,Tab_Compteur_1[[#This Row],[Index]]-E163,Tab_Compteur_1[[#This Row],[Quantité]])/Tab_Compteur_1[[#This Row],[Delta Jour]],"")&lt;0,"",IFERROR(IF(Str_TypeDonneesCpt1=Cpt_Index,Tab_Compteur_1[[#This Row],[Index]]-E163,Tab_Compteur_1[[#This Row],[Quantité]])/Tab_Compteur_1[[#This Row],[Delta Jour]],""))</f>
        <v/>
      </c>
      <c r="H164" t="str">
        <f>IFERROR(Tab_Compteur_1[[#This Row],[Montant]]/Tab_Compteur_1[[#This Row],[Delta Jour]],"")</f>
        <v/>
      </c>
      <c r="I164" s="184" t="str">
        <f>IF(SUM(Tab_Compteur_1[[#This Row],[Quantité]],Tab_Compteur_1[[#This Row],[Index]])&lt;=0,"",G164)</f>
        <v/>
      </c>
      <c r="J164" s="675"/>
      <c r="K164" s="36"/>
      <c r="L164" s="36"/>
      <c r="M164" s="36"/>
      <c r="N164" s="36"/>
      <c r="O164"/>
    </row>
    <row r="165" spans="1:15">
      <c r="A165" s="421">
        <f t="shared" si="6"/>
        <v>1</v>
      </c>
      <c r="B165" s="200"/>
      <c r="C165" s="684"/>
      <c r="D165" s="685"/>
      <c r="E165" s="519"/>
      <c r="F165">
        <f t="shared" si="5"/>
        <v>0</v>
      </c>
      <c r="G165" t="str">
        <f>IF(IFERROR(IF(Str_TypeDonneesCpt1=Cpt_Index,Tab_Compteur_1[[#This Row],[Index]]-E164,Tab_Compteur_1[[#This Row],[Quantité]])/Tab_Compteur_1[[#This Row],[Delta Jour]],"")&lt;0,"",IFERROR(IF(Str_TypeDonneesCpt1=Cpt_Index,Tab_Compteur_1[[#This Row],[Index]]-E164,Tab_Compteur_1[[#This Row],[Quantité]])/Tab_Compteur_1[[#This Row],[Delta Jour]],""))</f>
        <v/>
      </c>
      <c r="H165" t="str">
        <f>IFERROR(Tab_Compteur_1[[#This Row],[Montant]]/Tab_Compteur_1[[#This Row],[Delta Jour]],"")</f>
        <v/>
      </c>
      <c r="I165" s="184" t="str">
        <f>IF(SUM(Tab_Compteur_1[[#This Row],[Quantité]],Tab_Compteur_1[[#This Row],[Index]])&lt;=0,"",G165)</f>
        <v/>
      </c>
      <c r="J165" s="675"/>
      <c r="K165" s="36"/>
      <c r="L165" s="36"/>
      <c r="M165" s="36"/>
      <c r="N165" s="36"/>
      <c r="O165"/>
    </row>
    <row r="166" spans="1:15">
      <c r="A166" s="421">
        <f t="shared" si="6"/>
        <v>1</v>
      </c>
      <c r="B166" s="200"/>
      <c r="C166" s="684"/>
      <c r="D166" s="685"/>
      <c r="E166" s="519"/>
      <c r="F166">
        <f t="shared" si="5"/>
        <v>0</v>
      </c>
      <c r="G166" t="str">
        <f>IF(IFERROR(IF(Str_TypeDonneesCpt1=Cpt_Index,Tab_Compteur_1[[#This Row],[Index]]-E165,Tab_Compteur_1[[#This Row],[Quantité]])/Tab_Compteur_1[[#This Row],[Delta Jour]],"")&lt;0,"",IFERROR(IF(Str_TypeDonneesCpt1=Cpt_Index,Tab_Compteur_1[[#This Row],[Index]]-E165,Tab_Compteur_1[[#This Row],[Quantité]])/Tab_Compteur_1[[#This Row],[Delta Jour]],""))</f>
        <v/>
      </c>
      <c r="H166" t="str">
        <f>IFERROR(Tab_Compteur_1[[#This Row],[Montant]]/Tab_Compteur_1[[#This Row],[Delta Jour]],"")</f>
        <v/>
      </c>
      <c r="I166" s="184" t="str">
        <f>IF(SUM(Tab_Compteur_1[[#This Row],[Quantité]],Tab_Compteur_1[[#This Row],[Index]])&lt;=0,"",G166)</f>
        <v/>
      </c>
      <c r="J166" s="675"/>
      <c r="K166" s="36"/>
      <c r="L166" s="36"/>
      <c r="M166" s="36"/>
      <c r="N166" s="36"/>
      <c r="O166"/>
    </row>
    <row r="167" spans="1:15">
      <c r="A167" s="421">
        <f t="shared" si="6"/>
        <v>1</v>
      </c>
      <c r="B167" s="200"/>
      <c r="C167" s="684"/>
      <c r="D167" s="685"/>
      <c r="E167" s="519"/>
      <c r="F167">
        <f t="shared" si="5"/>
        <v>0</v>
      </c>
      <c r="G167" t="str">
        <f>IF(IFERROR(IF(Str_TypeDonneesCpt1=Cpt_Index,Tab_Compteur_1[[#This Row],[Index]]-E166,Tab_Compteur_1[[#This Row],[Quantité]])/Tab_Compteur_1[[#This Row],[Delta Jour]],"")&lt;0,"",IFERROR(IF(Str_TypeDonneesCpt1=Cpt_Index,Tab_Compteur_1[[#This Row],[Index]]-E166,Tab_Compteur_1[[#This Row],[Quantité]])/Tab_Compteur_1[[#This Row],[Delta Jour]],""))</f>
        <v/>
      </c>
      <c r="H167" t="str">
        <f>IFERROR(Tab_Compteur_1[[#This Row],[Montant]]/Tab_Compteur_1[[#This Row],[Delta Jour]],"")</f>
        <v/>
      </c>
      <c r="I167" s="184" t="str">
        <f>IF(SUM(Tab_Compteur_1[[#This Row],[Quantité]],Tab_Compteur_1[[#This Row],[Index]])&lt;=0,"",G167)</f>
        <v/>
      </c>
      <c r="J167" s="675"/>
      <c r="K167" s="36"/>
      <c r="L167" s="36"/>
      <c r="M167" s="36"/>
      <c r="N167" s="36"/>
      <c r="O167"/>
    </row>
    <row r="168" spans="1:15">
      <c r="A168" s="421">
        <f t="shared" si="6"/>
        <v>1</v>
      </c>
      <c r="B168" s="200"/>
      <c r="C168" s="684"/>
      <c r="D168" s="685"/>
      <c r="E168" s="519"/>
      <c r="F168">
        <f t="shared" si="5"/>
        <v>0</v>
      </c>
      <c r="G168" t="str">
        <f>IF(IFERROR(IF(Str_TypeDonneesCpt1=Cpt_Index,Tab_Compteur_1[[#This Row],[Index]]-E167,Tab_Compteur_1[[#This Row],[Quantité]])/Tab_Compteur_1[[#This Row],[Delta Jour]],"")&lt;0,"",IFERROR(IF(Str_TypeDonneesCpt1=Cpt_Index,Tab_Compteur_1[[#This Row],[Index]]-E167,Tab_Compteur_1[[#This Row],[Quantité]])/Tab_Compteur_1[[#This Row],[Delta Jour]],""))</f>
        <v/>
      </c>
      <c r="H168" t="str">
        <f>IFERROR(Tab_Compteur_1[[#This Row],[Montant]]/Tab_Compteur_1[[#This Row],[Delta Jour]],"")</f>
        <v/>
      </c>
      <c r="I168" s="184" t="str">
        <f>IF(SUM(Tab_Compteur_1[[#This Row],[Quantité]],Tab_Compteur_1[[#This Row],[Index]])&lt;=0,"",G168)</f>
        <v/>
      </c>
      <c r="J168" s="675"/>
      <c r="K168" s="36"/>
      <c r="L168" s="36"/>
      <c r="M168" s="36"/>
      <c r="N168" s="36"/>
      <c r="O168"/>
    </row>
    <row r="169" spans="1:15">
      <c r="A169" s="421">
        <f t="shared" si="6"/>
        <v>1</v>
      </c>
      <c r="B169" s="200"/>
      <c r="C169" s="684"/>
      <c r="D169" s="685"/>
      <c r="E169" s="519"/>
      <c r="F169">
        <f t="shared" si="5"/>
        <v>0</v>
      </c>
      <c r="G169" t="str">
        <f>IF(IFERROR(IF(Str_TypeDonneesCpt1=Cpt_Index,Tab_Compteur_1[[#This Row],[Index]]-E168,Tab_Compteur_1[[#This Row],[Quantité]])/Tab_Compteur_1[[#This Row],[Delta Jour]],"")&lt;0,"",IFERROR(IF(Str_TypeDonneesCpt1=Cpt_Index,Tab_Compteur_1[[#This Row],[Index]]-E168,Tab_Compteur_1[[#This Row],[Quantité]])/Tab_Compteur_1[[#This Row],[Delta Jour]],""))</f>
        <v/>
      </c>
      <c r="H169" t="str">
        <f>IFERROR(Tab_Compteur_1[[#This Row],[Montant]]/Tab_Compteur_1[[#This Row],[Delta Jour]],"")</f>
        <v/>
      </c>
      <c r="I169" s="184" t="str">
        <f>IF(SUM(Tab_Compteur_1[[#This Row],[Quantité]],Tab_Compteur_1[[#This Row],[Index]])&lt;=0,"",G169)</f>
        <v/>
      </c>
      <c r="J169" s="675"/>
      <c r="K169" s="36"/>
      <c r="L169" s="36"/>
      <c r="M169" s="36"/>
      <c r="N169" s="36"/>
      <c r="O169"/>
    </row>
    <row r="170" spans="1:15">
      <c r="A170" s="421">
        <f t="shared" si="6"/>
        <v>1</v>
      </c>
      <c r="B170" s="200"/>
      <c r="C170" s="684"/>
      <c r="D170" s="685"/>
      <c r="E170" s="519"/>
      <c r="F170">
        <f t="shared" si="5"/>
        <v>0</v>
      </c>
      <c r="G170" t="str">
        <f>IF(IFERROR(IF(Str_TypeDonneesCpt1=Cpt_Index,Tab_Compteur_1[[#This Row],[Index]]-E169,Tab_Compteur_1[[#This Row],[Quantité]])/Tab_Compteur_1[[#This Row],[Delta Jour]],"")&lt;0,"",IFERROR(IF(Str_TypeDonneesCpt1=Cpt_Index,Tab_Compteur_1[[#This Row],[Index]]-E169,Tab_Compteur_1[[#This Row],[Quantité]])/Tab_Compteur_1[[#This Row],[Delta Jour]],""))</f>
        <v/>
      </c>
      <c r="H170" t="str">
        <f>IFERROR(Tab_Compteur_1[[#This Row],[Montant]]/Tab_Compteur_1[[#This Row],[Delta Jour]],"")</f>
        <v/>
      </c>
      <c r="I170" s="184" t="str">
        <f>IF(SUM(Tab_Compteur_1[[#This Row],[Quantité]],Tab_Compteur_1[[#This Row],[Index]])&lt;=0,"",G170)</f>
        <v/>
      </c>
      <c r="J170" s="675"/>
      <c r="K170" s="36"/>
      <c r="L170" s="36"/>
      <c r="M170" s="36"/>
      <c r="N170" s="36"/>
      <c r="O170"/>
    </row>
    <row r="171" spans="1:15">
      <c r="A171" s="421">
        <f t="shared" si="6"/>
        <v>1</v>
      </c>
      <c r="B171" s="200"/>
      <c r="C171" s="684"/>
      <c r="D171" s="685"/>
      <c r="E171" s="519"/>
      <c r="F171">
        <f t="shared" si="5"/>
        <v>0</v>
      </c>
      <c r="G171" t="str">
        <f>IF(IFERROR(IF(Str_TypeDonneesCpt1=Cpt_Index,Tab_Compteur_1[[#This Row],[Index]]-E170,Tab_Compteur_1[[#This Row],[Quantité]])/Tab_Compteur_1[[#This Row],[Delta Jour]],"")&lt;0,"",IFERROR(IF(Str_TypeDonneesCpt1=Cpt_Index,Tab_Compteur_1[[#This Row],[Index]]-E170,Tab_Compteur_1[[#This Row],[Quantité]])/Tab_Compteur_1[[#This Row],[Delta Jour]],""))</f>
        <v/>
      </c>
      <c r="H171" t="str">
        <f>IFERROR(Tab_Compteur_1[[#This Row],[Montant]]/Tab_Compteur_1[[#This Row],[Delta Jour]],"")</f>
        <v/>
      </c>
      <c r="I171" s="184" t="str">
        <f>IF(SUM(Tab_Compteur_1[[#This Row],[Quantité]],Tab_Compteur_1[[#This Row],[Index]])&lt;=0,"",G171)</f>
        <v/>
      </c>
      <c r="J171" s="675"/>
      <c r="K171" s="36"/>
      <c r="L171" s="36"/>
      <c r="M171" s="36"/>
      <c r="N171" s="36"/>
      <c r="O171"/>
    </row>
    <row r="172" spans="1:15">
      <c r="A172" s="421">
        <f t="shared" si="6"/>
        <v>1</v>
      </c>
      <c r="B172" s="200"/>
      <c r="C172" s="684"/>
      <c r="D172" s="685"/>
      <c r="E172" s="519"/>
      <c r="F172">
        <f t="shared" si="5"/>
        <v>0</v>
      </c>
      <c r="G172" t="str">
        <f>IF(IFERROR(IF(Str_TypeDonneesCpt1=Cpt_Index,Tab_Compteur_1[[#This Row],[Index]]-E171,Tab_Compteur_1[[#This Row],[Quantité]])/Tab_Compteur_1[[#This Row],[Delta Jour]],"")&lt;0,"",IFERROR(IF(Str_TypeDonneesCpt1=Cpt_Index,Tab_Compteur_1[[#This Row],[Index]]-E171,Tab_Compteur_1[[#This Row],[Quantité]])/Tab_Compteur_1[[#This Row],[Delta Jour]],""))</f>
        <v/>
      </c>
      <c r="H172" t="str">
        <f>IFERROR(Tab_Compteur_1[[#This Row],[Montant]]/Tab_Compteur_1[[#This Row],[Delta Jour]],"")</f>
        <v/>
      </c>
      <c r="I172" s="184" t="str">
        <f>IF(SUM(Tab_Compteur_1[[#This Row],[Quantité]],Tab_Compteur_1[[#This Row],[Index]])&lt;=0,"",G172)</f>
        <v/>
      </c>
      <c r="J172" s="675"/>
      <c r="K172" s="36"/>
      <c r="L172" s="36"/>
      <c r="M172" s="36"/>
      <c r="N172" s="36"/>
      <c r="O172"/>
    </row>
    <row r="173" spans="1:15">
      <c r="A173" s="421">
        <f t="shared" si="6"/>
        <v>1</v>
      </c>
      <c r="B173" s="200"/>
      <c r="C173" s="684"/>
      <c r="D173" s="685"/>
      <c r="E173" s="519"/>
      <c r="F173">
        <f t="shared" si="5"/>
        <v>0</v>
      </c>
      <c r="G173" t="str">
        <f>IF(IFERROR(IF(Str_TypeDonneesCpt1=Cpt_Index,Tab_Compteur_1[[#This Row],[Index]]-E172,Tab_Compteur_1[[#This Row],[Quantité]])/Tab_Compteur_1[[#This Row],[Delta Jour]],"")&lt;0,"",IFERROR(IF(Str_TypeDonneesCpt1=Cpt_Index,Tab_Compteur_1[[#This Row],[Index]]-E172,Tab_Compteur_1[[#This Row],[Quantité]])/Tab_Compteur_1[[#This Row],[Delta Jour]],""))</f>
        <v/>
      </c>
      <c r="H173" t="str">
        <f>IFERROR(Tab_Compteur_1[[#This Row],[Montant]]/Tab_Compteur_1[[#This Row],[Delta Jour]],"")</f>
        <v/>
      </c>
      <c r="I173" s="184" t="str">
        <f>IF(SUM(Tab_Compteur_1[[#This Row],[Quantité]],Tab_Compteur_1[[#This Row],[Index]])&lt;=0,"",G173)</f>
        <v/>
      </c>
      <c r="J173" s="675"/>
      <c r="K173" s="36"/>
      <c r="L173" s="36"/>
      <c r="M173" s="36"/>
      <c r="N173" s="36"/>
      <c r="O173"/>
    </row>
    <row r="174" spans="1:15">
      <c r="A174" s="421">
        <f t="shared" si="6"/>
        <v>1</v>
      </c>
      <c r="B174" s="200"/>
      <c r="C174" s="684"/>
      <c r="D174" s="685"/>
      <c r="E174" s="519"/>
      <c r="F174">
        <f t="shared" si="5"/>
        <v>0</v>
      </c>
      <c r="G174" t="str">
        <f>IF(IFERROR(IF(Str_TypeDonneesCpt1=Cpt_Index,Tab_Compteur_1[[#This Row],[Index]]-E173,Tab_Compteur_1[[#This Row],[Quantité]])/Tab_Compteur_1[[#This Row],[Delta Jour]],"")&lt;0,"",IFERROR(IF(Str_TypeDonneesCpt1=Cpt_Index,Tab_Compteur_1[[#This Row],[Index]]-E173,Tab_Compteur_1[[#This Row],[Quantité]])/Tab_Compteur_1[[#This Row],[Delta Jour]],""))</f>
        <v/>
      </c>
      <c r="H174" t="str">
        <f>IFERROR(Tab_Compteur_1[[#This Row],[Montant]]/Tab_Compteur_1[[#This Row],[Delta Jour]],"")</f>
        <v/>
      </c>
      <c r="I174" s="184" t="str">
        <f>IF(SUM(Tab_Compteur_1[[#This Row],[Quantité]],Tab_Compteur_1[[#This Row],[Index]])&lt;=0,"",G174)</f>
        <v/>
      </c>
      <c r="J174" s="675"/>
      <c r="K174" s="36"/>
      <c r="L174" s="36"/>
      <c r="M174" s="36"/>
      <c r="N174" s="36"/>
      <c r="O174"/>
    </row>
    <row r="175" spans="1:15">
      <c r="A175" s="421">
        <f t="shared" si="6"/>
        <v>1</v>
      </c>
      <c r="B175" s="200"/>
      <c r="C175" s="684"/>
      <c r="D175" s="685"/>
      <c r="E175" s="519"/>
      <c r="F175">
        <f t="shared" si="5"/>
        <v>0</v>
      </c>
      <c r="G175" t="str">
        <f>IF(IFERROR(IF(Str_TypeDonneesCpt1=Cpt_Index,Tab_Compteur_1[[#This Row],[Index]]-E174,Tab_Compteur_1[[#This Row],[Quantité]])/Tab_Compteur_1[[#This Row],[Delta Jour]],"")&lt;0,"",IFERROR(IF(Str_TypeDonneesCpt1=Cpt_Index,Tab_Compteur_1[[#This Row],[Index]]-E174,Tab_Compteur_1[[#This Row],[Quantité]])/Tab_Compteur_1[[#This Row],[Delta Jour]],""))</f>
        <v/>
      </c>
      <c r="H175" t="str">
        <f>IFERROR(Tab_Compteur_1[[#This Row],[Montant]]/Tab_Compteur_1[[#This Row],[Delta Jour]],"")</f>
        <v/>
      </c>
      <c r="I175" s="184" t="str">
        <f>IF(SUM(Tab_Compteur_1[[#This Row],[Quantité]],Tab_Compteur_1[[#This Row],[Index]])&lt;=0,"",G175)</f>
        <v/>
      </c>
      <c r="J175" s="675"/>
      <c r="K175" s="36"/>
      <c r="L175" s="36"/>
      <c r="M175" s="36"/>
      <c r="N175" s="36"/>
      <c r="O175"/>
    </row>
    <row r="176" spans="1:15">
      <c r="A176" s="421">
        <f t="shared" si="6"/>
        <v>1</v>
      </c>
      <c r="B176" s="200"/>
      <c r="C176" s="684"/>
      <c r="D176" s="685"/>
      <c r="E176" s="519"/>
      <c r="F176">
        <f t="shared" si="5"/>
        <v>0</v>
      </c>
      <c r="G176" t="str">
        <f>IF(IFERROR(IF(Str_TypeDonneesCpt1=Cpt_Index,Tab_Compteur_1[[#This Row],[Index]]-E175,Tab_Compteur_1[[#This Row],[Quantité]])/Tab_Compteur_1[[#This Row],[Delta Jour]],"")&lt;0,"",IFERROR(IF(Str_TypeDonneesCpt1=Cpt_Index,Tab_Compteur_1[[#This Row],[Index]]-E175,Tab_Compteur_1[[#This Row],[Quantité]])/Tab_Compteur_1[[#This Row],[Delta Jour]],""))</f>
        <v/>
      </c>
      <c r="H176" t="str">
        <f>IFERROR(Tab_Compteur_1[[#This Row],[Montant]]/Tab_Compteur_1[[#This Row],[Delta Jour]],"")</f>
        <v/>
      </c>
      <c r="I176" s="184" t="str">
        <f>IF(SUM(Tab_Compteur_1[[#This Row],[Quantité]],Tab_Compteur_1[[#This Row],[Index]])&lt;=0,"",G176)</f>
        <v/>
      </c>
      <c r="J176" s="675"/>
      <c r="K176" s="36"/>
      <c r="L176" s="36"/>
      <c r="M176" s="36"/>
      <c r="N176" s="36"/>
      <c r="O176"/>
    </row>
    <row r="177" spans="1:15">
      <c r="A177" s="421">
        <f t="shared" si="6"/>
        <v>1</v>
      </c>
      <c r="B177" s="200"/>
      <c r="C177" s="684"/>
      <c r="D177" s="685"/>
      <c r="E177" s="519"/>
      <c r="F177">
        <f t="shared" si="5"/>
        <v>0</v>
      </c>
      <c r="G177" t="str">
        <f>IF(IFERROR(IF(Str_TypeDonneesCpt1=Cpt_Index,Tab_Compteur_1[[#This Row],[Index]]-E176,Tab_Compteur_1[[#This Row],[Quantité]])/Tab_Compteur_1[[#This Row],[Delta Jour]],"")&lt;0,"",IFERROR(IF(Str_TypeDonneesCpt1=Cpt_Index,Tab_Compteur_1[[#This Row],[Index]]-E176,Tab_Compteur_1[[#This Row],[Quantité]])/Tab_Compteur_1[[#This Row],[Delta Jour]],""))</f>
        <v/>
      </c>
      <c r="H177" t="str">
        <f>IFERROR(Tab_Compteur_1[[#This Row],[Montant]]/Tab_Compteur_1[[#This Row],[Delta Jour]],"")</f>
        <v/>
      </c>
      <c r="I177" s="184" t="str">
        <f>IF(SUM(Tab_Compteur_1[[#This Row],[Quantité]],Tab_Compteur_1[[#This Row],[Index]])&lt;=0,"",G177)</f>
        <v/>
      </c>
      <c r="J177" s="675"/>
      <c r="K177" s="36"/>
      <c r="L177" s="36"/>
      <c r="M177" s="36"/>
      <c r="N177" s="36"/>
      <c r="O177"/>
    </row>
    <row r="178" spans="1:15">
      <c r="A178" s="421">
        <f t="shared" si="6"/>
        <v>1</v>
      </c>
      <c r="B178" s="200"/>
      <c r="C178" s="684"/>
      <c r="D178" s="685"/>
      <c r="E178" s="519"/>
      <c r="F178">
        <f t="shared" si="5"/>
        <v>0</v>
      </c>
      <c r="G178" t="str">
        <f>IF(IFERROR(IF(Str_TypeDonneesCpt1=Cpt_Index,Tab_Compteur_1[[#This Row],[Index]]-E177,Tab_Compteur_1[[#This Row],[Quantité]])/Tab_Compteur_1[[#This Row],[Delta Jour]],"")&lt;0,"",IFERROR(IF(Str_TypeDonneesCpt1=Cpt_Index,Tab_Compteur_1[[#This Row],[Index]]-E177,Tab_Compteur_1[[#This Row],[Quantité]])/Tab_Compteur_1[[#This Row],[Delta Jour]],""))</f>
        <v/>
      </c>
      <c r="H178" t="str">
        <f>IFERROR(Tab_Compteur_1[[#This Row],[Montant]]/Tab_Compteur_1[[#This Row],[Delta Jour]],"")</f>
        <v/>
      </c>
      <c r="I178" s="184" t="str">
        <f>IF(SUM(Tab_Compteur_1[[#This Row],[Quantité]],Tab_Compteur_1[[#This Row],[Index]])&lt;=0,"",G178)</f>
        <v/>
      </c>
      <c r="J178" s="675"/>
      <c r="K178" s="36"/>
      <c r="L178" s="36"/>
      <c r="M178" s="36"/>
      <c r="N178" s="36"/>
      <c r="O178"/>
    </row>
    <row r="179" spans="1:15">
      <c r="A179" s="421">
        <f t="shared" si="6"/>
        <v>1</v>
      </c>
      <c r="B179" s="200"/>
      <c r="C179" s="684"/>
      <c r="D179" s="685"/>
      <c r="E179" s="519"/>
      <c r="F179">
        <f t="shared" si="5"/>
        <v>0</v>
      </c>
      <c r="G179" t="str">
        <f>IF(IFERROR(IF(Str_TypeDonneesCpt1=Cpt_Index,Tab_Compteur_1[[#This Row],[Index]]-E178,Tab_Compteur_1[[#This Row],[Quantité]])/Tab_Compteur_1[[#This Row],[Delta Jour]],"")&lt;0,"",IFERROR(IF(Str_TypeDonneesCpt1=Cpt_Index,Tab_Compteur_1[[#This Row],[Index]]-E178,Tab_Compteur_1[[#This Row],[Quantité]])/Tab_Compteur_1[[#This Row],[Delta Jour]],""))</f>
        <v/>
      </c>
      <c r="H179" t="str">
        <f>IFERROR(Tab_Compteur_1[[#This Row],[Montant]]/Tab_Compteur_1[[#This Row],[Delta Jour]],"")</f>
        <v/>
      </c>
      <c r="I179" s="184" t="str">
        <f>IF(SUM(Tab_Compteur_1[[#This Row],[Quantité]],Tab_Compteur_1[[#This Row],[Index]])&lt;=0,"",G179)</f>
        <v/>
      </c>
      <c r="J179" s="675"/>
      <c r="K179" s="36"/>
      <c r="L179" s="36"/>
      <c r="M179" s="36"/>
      <c r="N179" s="36"/>
      <c r="O179"/>
    </row>
    <row r="180" spans="1:15">
      <c r="A180" s="421">
        <f t="shared" si="6"/>
        <v>1</v>
      </c>
      <c r="B180" s="200"/>
      <c r="C180" s="684"/>
      <c r="D180" s="685"/>
      <c r="E180" s="519"/>
      <c r="F180">
        <f t="shared" si="5"/>
        <v>0</v>
      </c>
      <c r="G180" t="str">
        <f>IF(IFERROR(IF(Str_TypeDonneesCpt1=Cpt_Index,Tab_Compteur_1[[#This Row],[Index]]-E179,Tab_Compteur_1[[#This Row],[Quantité]])/Tab_Compteur_1[[#This Row],[Delta Jour]],"")&lt;0,"",IFERROR(IF(Str_TypeDonneesCpt1=Cpt_Index,Tab_Compteur_1[[#This Row],[Index]]-E179,Tab_Compteur_1[[#This Row],[Quantité]])/Tab_Compteur_1[[#This Row],[Delta Jour]],""))</f>
        <v/>
      </c>
      <c r="H180" t="str">
        <f>IFERROR(Tab_Compteur_1[[#This Row],[Montant]]/Tab_Compteur_1[[#This Row],[Delta Jour]],"")</f>
        <v/>
      </c>
      <c r="I180" s="184" t="str">
        <f>IF(SUM(Tab_Compteur_1[[#This Row],[Quantité]],Tab_Compteur_1[[#This Row],[Index]])&lt;=0,"",G180)</f>
        <v/>
      </c>
      <c r="J180" s="675"/>
      <c r="K180" s="36"/>
      <c r="L180" s="36"/>
      <c r="M180" s="36"/>
      <c r="N180" s="36"/>
      <c r="O180"/>
    </row>
    <row r="181" spans="1:15">
      <c r="A181" s="421">
        <f t="shared" si="6"/>
        <v>1</v>
      </c>
      <c r="B181" s="200"/>
      <c r="C181" s="684"/>
      <c r="D181" s="685"/>
      <c r="E181" s="519"/>
      <c r="F181">
        <f t="shared" si="5"/>
        <v>0</v>
      </c>
      <c r="G181" t="str">
        <f>IF(IFERROR(IF(Str_TypeDonneesCpt1=Cpt_Index,Tab_Compteur_1[[#This Row],[Index]]-E180,Tab_Compteur_1[[#This Row],[Quantité]])/Tab_Compteur_1[[#This Row],[Delta Jour]],"")&lt;0,"",IFERROR(IF(Str_TypeDonneesCpt1=Cpt_Index,Tab_Compteur_1[[#This Row],[Index]]-E180,Tab_Compteur_1[[#This Row],[Quantité]])/Tab_Compteur_1[[#This Row],[Delta Jour]],""))</f>
        <v/>
      </c>
      <c r="H181" t="str">
        <f>IFERROR(Tab_Compteur_1[[#This Row],[Montant]]/Tab_Compteur_1[[#This Row],[Delta Jour]],"")</f>
        <v/>
      </c>
      <c r="I181" s="184" t="str">
        <f>IF(SUM(Tab_Compteur_1[[#This Row],[Quantité]],Tab_Compteur_1[[#This Row],[Index]])&lt;=0,"",G181)</f>
        <v/>
      </c>
      <c r="J181" s="675"/>
      <c r="K181" s="36"/>
      <c r="L181" s="36"/>
      <c r="M181" s="36"/>
      <c r="N181" s="36"/>
      <c r="O181"/>
    </row>
    <row r="182" spans="1:15">
      <c r="A182" s="421">
        <f t="shared" si="6"/>
        <v>1</v>
      </c>
      <c r="B182" s="200"/>
      <c r="C182" s="684"/>
      <c r="D182" s="685"/>
      <c r="E182" s="519"/>
      <c r="F182">
        <f t="shared" si="5"/>
        <v>0</v>
      </c>
      <c r="G182" t="str">
        <f>IF(IFERROR(IF(Str_TypeDonneesCpt1=Cpt_Index,Tab_Compteur_1[[#This Row],[Index]]-E181,Tab_Compteur_1[[#This Row],[Quantité]])/Tab_Compteur_1[[#This Row],[Delta Jour]],"")&lt;0,"",IFERROR(IF(Str_TypeDonneesCpt1=Cpt_Index,Tab_Compteur_1[[#This Row],[Index]]-E181,Tab_Compteur_1[[#This Row],[Quantité]])/Tab_Compteur_1[[#This Row],[Delta Jour]],""))</f>
        <v/>
      </c>
      <c r="H182" t="str">
        <f>IFERROR(Tab_Compteur_1[[#This Row],[Montant]]/Tab_Compteur_1[[#This Row],[Delta Jour]],"")</f>
        <v/>
      </c>
      <c r="I182" s="184" t="str">
        <f>IF(SUM(Tab_Compteur_1[[#This Row],[Quantité]],Tab_Compteur_1[[#This Row],[Index]])&lt;=0,"",G182)</f>
        <v/>
      </c>
      <c r="J182" s="675"/>
      <c r="K182" s="36"/>
      <c r="L182" s="36"/>
      <c r="M182" s="36"/>
      <c r="N182" s="36"/>
      <c r="O182"/>
    </row>
    <row r="183" spans="1:15">
      <c r="A183" s="421">
        <f t="shared" si="6"/>
        <v>1</v>
      </c>
      <c r="B183" s="200"/>
      <c r="C183" s="684"/>
      <c r="D183" s="685"/>
      <c r="E183" s="519"/>
      <c r="F183">
        <f t="shared" si="5"/>
        <v>0</v>
      </c>
      <c r="G183" t="str">
        <f>IF(IFERROR(IF(Str_TypeDonneesCpt1=Cpt_Index,Tab_Compteur_1[[#This Row],[Index]]-E182,Tab_Compteur_1[[#This Row],[Quantité]])/Tab_Compteur_1[[#This Row],[Delta Jour]],"")&lt;0,"",IFERROR(IF(Str_TypeDonneesCpt1=Cpt_Index,Tab_Compteur_1[[#This Row],[Index]]-E182,Tab_Compteur_1[[#This Row],[Quantité]])/Tab_Compteur_1[[#This Row],[Delta Jour]],""))</f>
        <v/>
      </c>
      <c r="H183" t="str">
        <f>IFERROR(Tab_Compteur_1[[#This Row],[Montant]]/Tab_Compteur_1[[#This Row],[Delta Jour]],"")</f>
        <v/>
      </c>
      <c r="I183" s="184" t="str">
        <f>IF(SUM(Tab_Compteur_1[[#This Row],[Quantité]],Tab_Compteur_1[[#This Row],[Index]])&lt;=0,"",G183)</f>
        <v/>
      </c>
      <c r="J183" s="675"/>
      <c r="K183" s="36"/>
      <c r="L183" s="36"/>
      <c r="M183" s="36"/>
      <c r="N183" s="36"/>
      <c r="O183"/>
    </row>
    <row r="184" spans="1:15">
      <c r="A184" s="421">
        <f t="shared" si="6"/>
        <v>1</v>
      </c>
      <c r="B184" s="200"/>
      <c r="C184" s="684"/>
      <c r="D184" s="685"/>
      <c r="E184" s="519"/>
      <c r="F184">
        <f t="shared" si="5"/>
        <v>0</v>
      </c>
      <c r="G184" t="str">
        <f>IF(IFERROR(IF(Str_TypeDonneesCpt1=Cpt_Index,Tab_Compteur_1[[#This Row],[Index]]-E183,Tab_Compteur_1[[#This Row],[Quantité]])/Tab_Compteur_1[[#This Row],[Delta Jour]],"")&lt;0,"",IFERROR(IF(Str_TypeDonneesCpt1=Cpt_Index,Tab_Compteur_1[[#This Row],[Index]]-E183,Tab_Compteur_1[[#This Row],[Quantité]])/Tab_Compteur_1[[#This Row],[Delta Jour]],""))</f>
        <v/>
      </c>
      <c r="H184" t="str">
        <f>IFERROR(Tab_Compteur_1[[#This Row],[Montant]]/Tab_Compteur_1[[#This Row],[Delta Jour]],"")</f>
        <v/>
      </c>
      <c r="I184" s="184" t="str">
        <f>IF(SUM(Tab_Compteur_1[[#This Row],[Quantité]],Tab_Compteur_1[[#This Row],[Index]])&lt;=0,"",G184)</f>
        <v/>
      </c>
      <c r="J184" s="675"/>
      <c r="K184" s="36"/>
      <c r="L184" s="36"/>
      <c r="M184" s="36"/>
      <c r="N184" s="36"/>
      <c r="O184"/>
    </row>
    <row r="185" spans="1:15">
      <c r="A185" s="421">
        <f t="shared" si="6"/>
        <v>1</v>
      </c>
      <c r="B185" s="200"/>
      <c r="C185" s="684"/>
      <c r="D185" s="685"/>
      <c r="E185" s="519"/>
      <c r="F185">
        <f t="shared" si="5"/>
        <v>0</v>
      </c>
      <c r="G185" t="str">
        <f>IF(IFERROR(IF(Str_TypeDonneesCpt1=Cpt_Index,Tab_Compteur_1[[#This Row],[Index]]-E184,Tab_Compteur_1[[#This Row],[Quantité]])/Tab_Compteur_1[[#This Row],[Delta Jour]],"")&lt;0,"",IFERROR(IF(Str_TypeDonneesCpt1=Cpt_Index,Tab_Compteur_1[[#This Row],[Index]]-E184,Tab_Compteur_1[[#This Row],[Quantité]])/Tab_Compteur_1[[#This Row],[Delta Jour]],""))</f>
        <v/>
      </c>
      <c r="H185" t="str">
        <f>IFERROR(Tab_Compteur_1[[#This Row],[Montant]]/Tab_Compteur_1[[#This Row],[Delta Jour]],"")</f>
        <v/>
      </c>
      <c r="I185" s="184" t="str">
        <f>IF(SUM(Tab_Compteur_1[[#This Row],[Quantité]],Tab_Compteur_1[[#This Row],[Index]])&lt;=0,"",G185)</f>
        <v/>
      </c>
      <c r="J185" s="675"/>
      <c r="K185" s="36"/>
      <c r="L185" s="36"/>
      <c r="M185" s="36"/>
      <c r="N185" s="36"/>
      <c r="O185"/>
    </row>
    <row r="186" spans="1:15">
      <c r="A186" s="421">
        <f t="shared" si="6"/>
        <v>1</v>
      </c>
      <c r="B186" s="200"/>
      <c r="C186" s="684"/>
      <c r="D186" s="685"/>
      <c r="E186" s="519"/>
      <c r="F186">
        <f t="shared" si="5"/>
        <v>0</v>
      </c>
      <c r="G186" t="str">
        <f>IF(IFERROR(IF(Str_TypeDonneesCpt1=Cpt_Index,Tab_Compteur_1[[#This Row],[Index]]-E185,Tab_Compteur_1[[#This Row],[Quantité]])/Tab_Compteur_1[[#This Row],[Delta Jour]],"")&lt;0,"",IFERROR(IF(Str_TypeDonneesCpt1=Cpt_Index,Tab_Compteur_1[[#This Row],[Index]]-E185,Tab_Compteur_1[[#This Row],[Quantité]])/Tab_Compteur_1[[#This Row],[Delta Jour]],""))</f>
        <v/>
      </c>
      <c r="H186" t="str">
        <f>IFERROR(Tab_Compteur_1[[#This Row],[Montant]]/Tab_Compteur_1[[#This Row],[Delta Jour]],"")</f>
        <v/>
      </c>
      <c r="I186" s="184" t="str">
        <f>IF(SUM(Tab_Compteur_1[[#This Row],[Quantité]],Tab_Compteur_1[[#This Row],[Index]])&lt;=0,"",G186)</f>
        <v/>
      </c>
      <c r="J186" s="675"/>
      <c r="K186" s="36"/>
      <c r="L186" s="36"/>
      <c r="M186" s="36"/>
      <c r="N186" s="36"/>
      <c r="O186"/>
    </row>
    <row r="187" spans="1:15">
      <c r="A187" s="421">
        <f t="shared" si="6"/>
        <v>1</v>
      </c>
      <c r="B187" s="200"/>
      <c r="C187" s="684"/>
      <c r="D187" s="685"/>
      <c r="E187" s="519"/>
      <c r="F187">
        <f t="shared" si="5"/>
        <v>0</v>
      </c>
      <c r="G187" t="str">
        <f>IF(IFERROR(IF(Str_TypeDonneesCpt1=Cpt_Index,Tab_Compteur_1[[#This Row],[Index]]-E186,Tab_Compteur_1[[#This Row],[Quantité]])/Tab_Compteur_1[[#This Row],[Delta Jour]],"")&lt;0,"",IFERROR(IF(Str_TypeDonneesCpt1=Cpt_Index,Tab_Compteur_1[[#This Row],[Index]]-E186,Tab_Compteur_1[[#This Row],[Quantité]])/Tab_Compteur_1[[#This Row],[Delta Jour]],""))</f>
        <v/>
      </c>
      <c r="H187" t="str">
        <f>IFERROR(Tab_Compteur_1[[#This Row],[Montant]]/Tab_Compteur_1[[#This Row],[Delta Jour]],"")</f>
        <v/>
      </c>
      <c r="I187" s="184" t="str">
        <f>IF(SUM(Tab_Compteur_1[[#This Row],[Quantité]],Tab_Compteur_1[[#This Row],[Index]])&lt;=0,"",G187)</f>
        <v/>
      </c>
      <c r="J187" s="675"/>
      <c r="K187" s="36"/>
      <c r="L187" s="36"/>
      <c r="M187" s="36"/>
      <c r="N187" s="36"/>
      <c r="O187"/>
    </row>
    <row r="188" spans="1:15">
      <c r="A188" s="421">
        <f t="shared" si="6"/>
        <v>1</v>
      </c>
      <c r="B188" s="200"/>
      <c r="C188" s="684"/>
      <c r="D188" s="685"/>
      <c r="E188" s="519"/>
      <c r="F188">
        <f t="shared" si="5"/>
        <v>0</v>
      </c>
      <c r="G188" t="str">
        <f>IF(IFERROR(IF(Str_TypeDonneesCpt1=Cpt_Index,Tab_Compteur_1[[#This Row],[Index]]-E187,Tab_Compteur_1[[#This Row],[Quantité]])/Tab_Compteur_1[[#This Row],[Delta Jour]],"")&lt;0,"",IFERROR(IF(Str_TypeDonneesCpt1=Cpt_Index,Tab_Compteur_1[[#This Row],[Index]]-E187,Tab_Compteur_1[[#This Row],[Quantité]])/Tab_Compteur_1[[#This Row],[Delta Jour]],""))</f>
        <v/>
      </c>
      <c r="H188" t="str">
        <f>IFERROR(Tab_Compteur_1[[#This Row],[Montant]]/Tab_Compteur_1[[#This Row],[Delta Jour]],"")</f>
        <v/>
      </c>
      <c r="I188" s="184" t="str">
        <f>IF(SUM(Tab_Compteur_1[[#This Row],[Quantité]],Tab_Compteur_1[[#This Row],[Index]])&lt;=0,"",G188)</f>
        <v/>
      </c>
      <c r="J188" s="675"/>
      <c r="K188" s="36"/>
      <c r="L188" s="36"/>
      <c r="M188" s="36"/>
      <c r="N188" s="36"/>
      <c r="O188"/>
    </row>
    <row r="189" spans="1:15">
      <c r="A189" s="421">
        <f t="shared" si="6"/>
        <v>1</v>
      </c>
      <c r="B189" s="200"/>
      <c r="C189" s="684"/>
      <c r="D189" s="685"/>
      <c r="E189" s="519"/>
      <c r="F189">
        <f t="shared" si="5"/>
        <v>0</v>
      </c>
      <c r="G189" t="str">
        <f>IF(IFERROR(IF(Str_TypeDonneesCpt1=Cpt_Index,Tab_Compteur_1[[#This Row],[Index]]-E188,Tab_Compteur_1[[#This Row],[Quantité]])/Tab_Compteur_1[[#This Row],[Delta Jour]],"")&lt;0,"",IFERROR(IF(Str_TypeDonneesCpt1=Cpt_Index,Tab_Compteur_1[[#This Row],[Index]]-E188,Tab_Compteur_1[[#This Row],[Quantité]])/Tab_Compteur_1[[#This Row],[Delta Jour]],""))</f>
        <v/>
      </c>
      <c r="H189" t="str">
        <f>IFERROR(Tab_Compteur_1[[#This Row],[Montant]]/Tab_Compteur_1[[#This Row],[Delta Jour]],"")</f>
        <v/>
      </c>
      <c r="I189" s="184" t="str">
        <f>IF(SUM(Tab_Compteur_1[[#This Row],[Quantité]],Tab_Compteur_1[[#This Row],[Index]])&lt;=0,"",G189)</f>
        <v/>
      </c>
      <c r="J189" s="675"/>
      <c r="K189" s="36"/>
      <c r="L189" s="36"/>
      <c r="M189" s="36"/>
      <c r="N189" s="36"/>
      <c r="O189"/>
    </row>
    <row r="190" spans="1:15">
      <c r="A190" s="421">
        <f t="shared" si="6"/>
        <v>1</v>
      </c>
      <c r="B190" s="200"/>
      <c r="C190" s="684"/>
      <c r="D190" s="685"/>
      <c r="E190" s="519"/>
      <c r="F190">
        <f t="shared" si="5"/>
        <v>0</v>
      </c>
      <c r="G190" t="str">
        <f>IF(IFERROR(IF(Str_TypeDonneesCpt1=Cpt_Index,Tab_Compteur_1[[#This Row],[Index]]-E189,Tab_Compteur_1[[#This Row],[Quantité]])/Tab_Compteur_1[[#This Row],[Delta Jour]],"")&lt;0,"",IFERROR(IF(Str_TypeDonneesCpt1=Cpt_Index,Tab_Compteur_1[[#This Row],[Index]]-E189,Tab_Compteur_1[[#This Row],[Quantité]])/Tab_Compteur_1[[#This Row],[Delta Jour]],""))</f>
        <v/>
      </c>
      <c r="H190" t="str">
        <f>IFERROR(Tab_Compteur_1[[#This Row],[Montant]]/Tab_Compteur_1[[#This Row],[Delta Jour]],"")</f>
        <v/>
      </c>
      <c r="I190" s="184" t="str">
        <f>IF(SUM(Tab_Compteur_1[[#This Row],[Quantité]],Tab_Compteur_1[[#This Row],[Index]])&lt;=0,"",G190)</f>
        <v/>
      </c>
      <c r="J190" s="675"/>
      <c r="K190" s="36"/>
      <c r="L190" s="36"/>
      <c r="M190" s="36"/>
      <c r="N190" s="36"/>
      <c r="O190"/>
    </row>
    <row r="191" spans="1:15">
      <c r="A191" s="421">
        <f t="shared" si="6"/>
        <v>1</v>
      </c>
      <c r="B191" s="200"/>
      <c r="C191" s="684"/>
      <c r="D191" s="685"/>
      <c r="E191" s="519"/>
      <c r="F191">
        <f t="shared" si="5"/>
        <v>0</v>
      </c>
      <c r="G191" t="str">
        <f>IF(IFERROR(IF(Str_TypeDonneesCpt1=Cpt_Index,Tab_Compteur_1[[#This Row],[Index]]-E190,Tab_Compteur_1[[#This Row],[Quantité]])/Tab_Compteur_1[[#This Row],[Delta Jour]],"")&lt;0,"",IFERROR(IF(Str_TypeDonneesCpt1=Cpt_Index,Tab_Compteur_1[[#This Row],[Index]]-E190,Tab_Compteur_1[[#This Row],[Quantité]])/Tab_Compteur_1[[#This Row],[Delta Jour]],""))</f>
        <v/>
      </c>
      <c r="H191" t="str">
        <f>IFERROR(Tab_Compteur_1[[#This Row],[Montant]]/Tab_Compteur_1[[#This Row],[Delta Jour]],"")</f>
        <v/>
      </c>
      <c r="I191" s="184" t="str">
        <f>IF(SUM(Tab_Compteur_1[[#This Row],[Quantité]],Tab_Compteur_1[[#This Row],[Index]])&lt;=0,"",G191)</f>
        <v/>
      </c>
      <c r="J191" s="675"/>
      <c r="K191" s="36"/>
      <c r="L191" s="36"/>
      <c r="M191" s="36"/>
      <c r="N191" s="36"/>
      <c r="O191"/>
    </row>
    <row r="192" spans="1:15">
      <c r="A192" s="421">
        <f t="shared" si="6"/>
        <v>1</v>
      </c>
      <c r="B192" s="200"/>
      <c r="C192" s="684"/>
      <c r="D192" s="685"/>
      <c r="E192" s="519"/>
      <c r="F192">
        <f t="shared" si="5"/>
        <v>0</v>
      </c>
      <c r="G192" t="str">
        <f>IF(IFERROR(IF(Str_TypeDonneesCpt1=Cpt_Index,Tab_Compteur_1[[#This Row],[Index]]-E191,Tab_Compteur_1[[#This Row],[Quantité]])/Tab_Compteur_1[[#This Row],[Delta Jour]],"")&lt;0,"",IFERROR(IF(Str_TypeDonneesCpt1=Cpt_Index,Tab_Compteur_1[[#This Row],[Index]]-E191,Tab_Compteur_1[[#This Row],[Quantité]])/Tab_Compteur_1[[#This Row],[Delta Jour]],""))</f>
        <v/>
      </c>
      <c r="H192" t="str">
        <f>IFERROR(Tab_Compteur_1[[#This Row],[Montant]]/Tab_Compteur_1[[#This Row],[Delta Jour]],"")</f>
        <v/>
      </c>
      <c r="I192" s="184" t="str">
        <f>IF(SUM(Tab_Compteur_1[[#This Row],[Quantité]],Tab_Compteur_1[[#This Row],[Index]])&lt;=0,"",G192)</f>
        <v/>
      </c>
      <c r="J192" s="675"/>
      <c r="K192" s="36"/>
      <c r="L192" s="36"/>
      <c r="M192" s="36"/>
      <c r="N192" s="36"/>
      <c r="O192"/>
    </row>
    <row r="193" spans="1:15">
      <c r="A193" s="421">
        <f t="shared" si="6"/>
        <v>1</v>
      </c>
      <c r="B193" s="200"/>
      <c r="C193" s="684"/>
      <c r="D193" s="685"/>
      <c r="E193" s="519"/>
      <c r="F193">
        <f t="shared" si="5"/>
        <v>0</v>
      </c>
      <c r="G193" t="str">
        <f>IF(IFERROR(IF(Str_TypeDonneesCpt1=Cpt_Index,Tab_Compteur_1[[#This Row],[Index]]-E192,Tab_Compteur_1[[#This Row],[Quantité]])/Tab_Compteur_1[[#This Row],[Delta Jour]],"")&lt;0,"",IFERROR(IF(Str_TypeDonneesCpt1=Cpt_Index,Tab_Compteur_1[[#This Row],[Index]]-E192,Tab_Compteur_1[[#This Row],[Quantité]])/Tab_Compteur_1[[#This Row],[Delta Jour]],""))</f>
        <v/>
      </c>
      <c r="H193" t="str">
        <f>IFERROR(Tab_Compteur_1[[#This Row],[Montant]]/Tab_Compteur_1[[#This Row],[Delta Jour]],"")</f>
        <v/>
      </c>
      <c r="I193" s="184" t="str">
        <f>IF(SUM(Tab_Compteur_1[[#This Row],[Quantité]],Tab_Compteur_1[[#This Row],[Index]])&lt;=0,"",G193)</f>
        <v/>
      </c>
      <c r="J193" s="675"/>
      <c r="K193" s="36"/>
      <c r="L193" s="36"/>
      <c r="M193" s="36"/>
      <c r="N193" s="36"/>
      <c r="O193"/>
    </row>
    <row r="194" spans="1:15">
      <c r="A194" s="421">
        <f t="shared" si="6"/>
        <v>1</v>
      </c>
      <c r="B194" s="200"/>
      <c r="C194" s="684"/>
      <c r="D194" s="685"/>
      <c r="E194" s="519"/>
      <c r="F194">
        <f t="shared" si="5"/>
        <v>0</v>
      </c>
      <c r="G194" t="str">
        <f>IF(IFERROR(IF(Str_TypeDonneesCpt1=Cpt_Index,Tab_Compteur_1[[#This Row],[Index]]-E193,Tab_Compteur_1[[#This Row],[Quantité]])/Tab_Compteur_1[[#This Row],[Delta Jour]],"")&lt;0,"",IFERROR(IF(Str_TypeDonneesCpt1=Cpt_Index,Tab_Compteur_1[[#This Row],[Index]]-E193,Tab_Compteur_1[[#This Row],[Quantité]])/Tab_Compteur_1[[#This Row],[Delta Jour]],""))</f>
        <v/>
      </c>
      <c r="H194" t="str">
        <f>IFERROR(Tab_Compteur_1[[#This Row],[Montant]]/Tab_Compteur_1[[#This Row],[Delta Jour]],"")</f>
        <v/>
      </c>
      <c r="I194" s="184" t="str">
        <f>IF(SUM(Tab_Compteur_1[[#This Row],[Quantité]],Tab_Compteur_1[[#This Row],[Index]])&lt;=0,"",G194)</f>
        <v/>
      </c>
      <c r="J194" s="675"/>
      <c r="K194" s="36"/>
      <c r="L194" s="36"/>
      <c r="M194" s="36"/>
      <c r="N194" s="36"/>
      <c r="O194"/>
    </row>
    <row r="195" spans="1:15">
      <c r="A195" s="421">
        <f t="shared" si="6"/>
        <v>1</v>
      </c>
      <c r="B195" s="200"/>
      <c r="C195" s="684"/>
      <c r="D195" s="685"/>
      <c r="E195" s="519"/>
      <c r="F195">
        <f t="shared" ref="F195:F243" si="7">IFERROR(B195-A195+1,"")</f>
        <v>0</v>
      </c>
      <c r="G195" t="str">
        <f>IF(IFERROR(IF(Str_TypeDonneesCpt1=Cpt_Index,Tab_Compteur_1[[#This Row],[Index]]-E194,Tab_Compteur_1[[#This Row],[Quantité]])/Tab_Compteur_1[[#This Row],[Delta Jour]],"")&lt;0,"",IFERROR(IF(Str_TypeDonneesCpt1=Cpt_Index,Tab_Compteur_1[[#This Row],[Index]]-E194,Tab_Compteur_1[[#This Row],[Quantité]])/Tab_Compteur_1[[#This Row],[Delta Jour]],""))</f>
        <v/>
      </c>
      <c r="H195" t="str">
        <f>IFERROR(Tab_Compteur_1[[#This Row],[Montant]]/Tab_Compteur_1[[#This Row],[Delta Jour]],"")</f>
        <v/>
      </c>
      <c r="I195" s="184" t="str">
        <f>IF(SUM(Tab_Compteur_1[[#This Row],[Quantité]],Tab_Compteur_1[[#This Row],[Index]])&lt;=0,"",G195)</f>
        <v/>
      </c>
      <c r="J195" s="675"/>
      <c r="K195" s="36"/>
      <c r="L195" s="36"/>
      <c r="M195" s="36"/>
      <c r="N195" s="36"/>
      <c r="O195"/>
    </row>
    <row r="196" spans="1:15">
      <c r="A196" s="421">
        <f t="shared" si="6"/>
        <v>1</v>
      </c>
      <c r="B196" s="200"/>
      <c r="C196" s="686"/>
      <c r="D196" s="685"/>
      <c r="E196" s="519"/>
      <c r="F196">
        <f t="shared" si="7"/>
        <v>0</v>
      </c>
      <c r="G196" t="str">
        <f>IF(IFERROR(IF(Str_TypeDonneesCpt1=Cpt_Index,Tab_Compteur_1[[#This Row],[Index]]-E195,Tab_Compteur_1[[#This Row],[Quantité]])/Tab_Compteur_1[[#This Row],[Delta Jour]],"")&lt;0,"",IFERROR(IF(Str_TypeDonneesCpt1=Cpt_Index,Tab_Compteur_1[[#This Row],[Index]]-E195,Tab_Compteur_1[[#This Row],[Quantité]])/Tab_Compteur_1[[#This Row],[Delta Jour]],""))</f>
        <v/>
      </c>
      <c r="H196" t="str">
        <f>IFERROR(Tab_Compteur_1[[#This Row],[Montant]]/Tab_Compteur_1[[#This Row],[Delta Jour]],"")</f>
        <v/>
      </c>
      <c r="I196" s="184" t="str">
        <f>IF(SUM(Tab_Compteur_1[[#This Row],[Quantité]],Tab_Compteur_1[[#This Row],[Index]])&lt;=0,"",G196)</f>
        <v/>
      </c>
      <c r="J196" s="675"/>
      <c r="K196" s="36"/>
      <c r="L196" s="36"/>
      <c r="M196" s="36"/>
      <c r="N196" s="36"/>
      <c r="O196"/>
    </row>
    <row r="197" spans="1:15">
      <c r="A197" s="421">
        <f t="shared" si="6"/>
        <v>1</v>
      </c>
      <c r="B197" s="200"/>
      <c r="C197" s="181"/>
      <c r="D197" s="685"/>
      <c r="E197" s="519"/>
      <c r="F197">
        <f t="shared" si="7"/>
        <v>0</v>
      </c>
      <c r="G197" t="str">
        <f>IF(IFERROR(IF(Str_TypeDonneesCpt1=Cpt_Index,Tab_Compteur_1[[#This Row],[Index]]-E196,Tab_Compteur_1[[#This Row],[Quantité]])/Tab_Compteur_1[[#This Row],[Delta Jour]],"")&lt;0,"",IFERROR(IF(Str_TypeDonneesCpt1=Cpt_Index,Tab_Compteur_1[[#This Row],[Index]]-E196,Tab_Compteur_1[[#This Row],[Quantité]])/Tab_Compteur_1[[#This Row],[Delta Jour]],""))</f>
        <v/>
      </c>
      <c r="H197" t="str">
        <f>IFERROR(Tab_Compteur_1[[#This Row],[Montant]]/Tab_Compteur_1[[#This Row],[Delta Jour]],"")</f>
        <v/>
      </c>
      <c r="I197" s="184" t="str">
        <f>IF(SUM(Tab_Compteur_1[[#This Row],[Quantité]],Tab_Compteur_1[[#This Row],[Index]])&lt;=0,"",G197)</f>
        <v/>
      </c>
      <c r="J197" s="675"/>
      <c r="K197" s="36"/>
      <c r="L197" s="36"/>
      <c r="M197" s="36"/>
      <c r="N197" s="36"/>
      <c r="O197"/>
    </row>
    <row r="198" spans="1:15">
      <c r="A198" s="421">
        <f t="shared" ref="A198:A243" si="8">IFERROR(B197+1,0)</f>
        <v>1</v>
      </c>
      <c r="B198" s="200"/>
      <c r="C198" s="181"/>
      <c r="D198" s="685"/>
      <c r="E198" s="519"/>
      <c r="F198">
        <f t="shared" si="7"/>
        <v>0</v>
      </c>
      <c r="G198" t="str">
        <f>IF(IFERROR(IF(Str_TypeDonneesCpt1=Cpt_Index,Tab_Compteur_1[[#This Row],[Index]]-E197,Tab_Compteur_1[[#This Row],[Quantité]])/Tab_Compteur_1[[#This Row],[Delta Jour]],"")&lt;0,"",IFERROR(IF(Str_TypeDonneesCpt1=Cpt_Index,Tab_Compteur_1[[#This Row],[Index]]-E197,Tab_Compteur_1[[#This Row],[Quantité]])/Tab_Compteur_1[[#This Row],[Delta Jour]],""))</f>
        <v/>
      </c>
      <c r="H198" t="str">
        <f>IFERROR(Tab_Compteur_1[[#This Row],[Montant]]/Tab_Compteur_1[[#This Row],[Delta Jour]],"")</f>
        <v/>
      </c>
      <c r="I198" s="184" t="str">
        <f>IF(SUM(Tab_Compteur_1[[#This Row],[Quantité]],Tab_Compteur_1[[#This Row],[Index]])&lt;=0,"",G198)</f>
        <v/>
      </c>
      <c r="J198" s="675"/>
      <c r="K198" s="36"/>
      <c r="L198" s="36"/>
      <c r="M198" s="36"/>
      <c r="N198" s="36"/>
      <c r="O198"/>
    </row>
    <row r="199" spans="1:15">
      <c r="A199" s="421">
        <f t="shared" si="8"/>
        <v>1</v>
      </c>
      <c r="B199" s="200"/>
      <c r="C199" s="181"/>
      <c r="D199" s="685"/>
      <c r="E199" s="519"/>
      <c r="F199">
        <f t="shared" si="7"/>
        <v>0</v>
      </c>
      <c r="G199" t="str">
        <f>IF(IFERROR(IF(Str_TypeDonneesCpt1=Cpt_Index,Tab_Compteur_1[[#This Row],[Index]]-E198,Tab_Compteur_1[[#This Row],[Quantité]])/Tab_Compteur_1[[#This Row],[Delta Jour]],"")&lt;0,"",IFERROR(IF(Str_TypeDonneesCpt1=Cpt_Index,Tab_Compteur_1[[#This Row],[Index]]-E198,Tab_Compteur_1[[#This Row],[Quantité]])/Tab_Compteur_1[[#This Row],[Delta Jour]],""))</f>
        <v/>
      </c>
      <c r="H199" t="str">
        <f>IFERROR(Tab_Compteur_1[[#This Row],[Montant]]/Tab_Compteur_1[[#This Row],[Delta Jour]],"")</f>
        <v/>
      </c>
      <c r="I199" s="184" t="str">
        <f>IF(SUM(Tab_Compteur_1[[#This Row],[Quantité]],Tab_Compteur_1[[#This Row],[Index]])&lt;=0,"",G199)</f>
        <v/>
      </c>
      <c r="J199" s="675"/>
      <c r="K199" s="36"/>
      <c r="L199" s="36"/>
      <c r="M199" s="36"/>
      <c r="N199" s="36"/>
      <c r="O199"/>
    </row>
    <row r="200" spans="1:15">
      <c r="A200" s="421">
        <f t="shared" si="8"/>
        <v>1</v>
      </c>
      <c r="B200" s="200"/>
      <c r="C200" s="181"/>
      <c r="D200" s="685"/>
      <c r="E200" s="519"/>
      <c r="F200">
        <f t="shared" si="7"/>
        <v>0</v>
      </c>
      <c r="G200" t="str">
        <f>IF(IFERROR(IF(Str_TypeDonneesCpt1=Cpt_Index,Tab_Compteur_1[[#This Row],[Index]]-E199,Tab_Compteur_1[[#This Row],[Quantité]])/Tab_Compteur_1[[#This Row],[Delta Jour]],"")&lt;0,"",IFERROR(IF(Str_TypeDonneesCpt1=Cpt_Index,Tab_Compteur_1[[#This Row],[Index]]-E199,Tab_Compteur_1[[#This Row],[Quantité]])/Tab_Compteur_1[[#This Row],[Delta Jour]],""))</f>
        <v/>
      </c>
      <c r="H200" t="str">
        <f>IFERROR(Tab_Compteur_1[[#This Row],[Montant]]/Tab_Compteur_1[[#This Row],[Delta Jour]],"")</f>
        <v/>
      </c>
      <c r="I200" s="184" t="str">
        <f>IF(SUM(Tab_Compteur_1[[#This Row],[Quantité]],Tab_Compteur_1[[#This Row],[Index]])&lt;=0,"",G200)</f>
        <v/>
      </c>
      <c r="J200" s="675"/>
      <c r="K200" s="36"/>
      <c r="L200" s="36"/>
      <c r="M200" s="36"/>
      <c r="N200" s="36"/>
      <c r="O200"/>
    </row>
    <row r="201" spans="1:15">
      <c r="A201" s="421">
        <f t="shared" si="8"/>
        <v>1</v>
      </c>
      <c r="B201" s="200"/>
      <c r="C201" s="181"/>
      <c r="D201" s="685"/>
      <c r="E201" s="519"/>
      <c r="F201">
        <f t="shared" si="7"/>
        <v>0</v>
      </c>
      <c r="G201" t="str">
        <f>IF(IFERROR(IF(Str_TypeDonneesCpt1=Cpt_Index,Tab_Compteur_1[[#This Row],[Index]]-E200,Tab_Compteur_1[[#This Row],[Quantité]])/Tab_Compteur_1[[#This Row],[Delta Jour]],"")&lt;0,"",IFERROR(IF(Str_TypeDonneesCpt1=Cpt_Index,Tab_Compteur_1[[#This Row],[Index]]-E200,Tab_Compteur_1[[#This Row],[Quantité]])/Tab_Compteur_1[[#This Row],[Delta Jour]],""))</f>
        <v/>
      </c>
      <c r="H201" t="str">
        <f>IFERROR(Tab_Compteur_1[[#This Row],[Montant]]/Tab_Compteur_1[[#This Row],[Delta Jour]],"")</f>
        <v/>
      </c>
      <c r="I201" s="184" t="str">
        <f>IF(SUM(Tab_Compteur_1[[#This Row],[Quantité]],Tab_Compteur_1[[#This Row],[Index]])&lt;=0,"",G201)</f>
        <v/>
      </c>
      <c r="J201" s="675"/>
      <c r="K201" s="36"/>
      <c r="L201" s="36"/>
      <c r="M201" s="36"/>
      <c r="N201" s="36"/>
      <c r="O201"/>
    </row>
    <row r="202" spans="1:15">
      <c r="A202" s="421">
        <f t="shared" si="8"/>
        <v>1</v>
      </c>
      <c r="B202" s="200"/>
      <c r="C202" s="181"/>
      <c r="D202" s="685"/>
      <c r="E202" s="519"/>
      <c r="F202">
        <f t="shared" si="7"/>
        <v>0</v>
      </c>
      <c r="G202" t="str">
        <f>IF(IFERROR(IF(Str_TypeDonneesCpt1=Cpt_Index,Tab_Compteur_1[[#This Row],[Index]]-E201,Tab_Compteur_1[[#This Row],[Quantité]])/Tab_Compteur_1[[#This Row],[Delta Jour]],"")&lt;0,"",IFERROR(IF(Str_TypeDonneesCpt1=Cpt_Index,Tab_Compteur_1[[#This Row],[Index]]-E201,Tab_Compteur_1[[#This Row],[Quantité]])/Tab_Compteur_1[[#This Row],[Delta Jour]],""))</f>
        <v/>
      </c>
      <c r="H202" t="str">
        <f>IFERROR(Tab_Compteur_1[[#This Row],[Montant]]/Tab_Compteur_1[[#This Row],[Delta Jour]],"")</f>
        <v/>
      </c>
      <c r="I202" s="184" t="str">
        <f>IF(SUM(Tab_Compteur_1[[#This Row],[Quantité]],Tab_Compteur_1[[#This Row],[Index]])&lt;=0,"",G202)</f>
        <v/>
      </c>
      <c r="J202" s="675"/>
      <c r="K202" s="36"/>
      <c r="L202" s="36"/>
      <c r="M202" s="36"/>
      <c r="N202" s="36"/>
      <c r="O202"/>
    </row>
    <row r="203" spans="1:15">
      <c r="A203" s="421">
        <f t="shared" si="8"/>
        <v>1</v>
      </c>
      <c r="B203" s="200"/>
      <c r="C203" s="181"/>
      <c r="D203" s="685"/>
      <c r="E203" s="519"/>
      <c r="F203">
        <f t="shared" si="7"/>
        <v>0</v>
      </c>
      <c r="G203" t="str">
        <f>IF(IFERROR(IF(Str_TypeDonneesCpt1=Cpt_Index,Tab_Compteur_1[[#This Row],[Index]]-E202,Tab_Compteur_1[[#This Row],[Quantité]])/Tab_Compteur_1[[#This Row],[Delta Jour]],"")&lt;0,"",IFERROR(IF(Str_TypeDonneesCpt1=Cpt_Index,Tab_Compteur_1[[#This Row],[Index]]-E202,Tab_Compteur_1[[#This Row],[Quantité]])/Tab_Compteur_1[[#This Row],[Delta Jour]],""))</f>
        <v/>
      </c>
      <c r="H203" t="str">
        <f>IFERROR(Tab_Compteur_1[[#This Row],[Montant]]/Tab_Compteur_1[[#This Row],[Delta Jour]],"")</f>
        <v/>
      </c>
      <c r="I203" s="184" t="str">
        <f>IF(SUM(Tab_Compteur_1[[#This Row],[Quantité]],Tab_Compteur_1[[#This Row],[Index]])&lt;=0,"",G203)</f>
        <v/>
      </c>
      <c r="J203" s="675"/>
      <c r="K203" s="36"/>
      <c r="L203" s="36"/>
      <c r="M203" s="36"/>
      <c r="N203" s="36"/>
      <c r="O203"/>
    </row>
    <row r="204" spans="1:15">
      <c r="A204" s="421">
        <f t="shared" si="8"/>
        <v>1</v>
      </c>
      <c r="B204" s="200"/>
      <c r="C204" s="181"/>
      <c r="D204" s="685"/>
      <c r="E204" s="519"/>
      <c r="F204">
        <f t="shared" si="7"/>
        <v>0</v>
      </c>
      <c r="G204" t="str">
        <f>IF(IFERROR(IF(Str_TypeDonneesCpt1=Cpt_Index,Tab_Compteur_1[[#This Row],[Index]]-E203,Tab_Compteur_1[[#This Row],[Quantité]])/Tab_Compteur_1[[#This Row],[Delta Jour]],"")&lt;0,"",IFERROR(IF(Str_TypeDonneesCpt1=Cpt_Index,Tab_Compteur_1[[#This Row],[Index]]-E203,Tab_Compteur_1[[#This Row],[Quantité]])/Tab_Compteur_1[[#This Row],[Delta Jour]],""))</f>
        <v/>
      </c>
      <c r="H204" t="str">
        <f>IFERROR(Tab_Compteur_1[[#This Row],[Montant]]/Tab_Compteur_1[[#This Row],[Delta Jour]],"")</f>
        <v/>
      </c>
      <c r="I204" s="184" t="str">
        <f>IF(SUM(Tab_Compteur_1[[#This Row],[Quantité]],Tab_Compteur_1[[#This Row],[Index]])&lt;=0,"",G204)</f>
        <v/>
      </c>
      <c r="J204" s="675"/>
      <c r="K204" s="36"/>
      <c r="L204" s="36"/>
      <c r="M204" s="36"/>
      <c r="N204" s="36"/>
      <c r="O204"/>
    </row>
    <row r="205" spans="1:15">
      <c r="A205" s="421">
        <f t="shared" si="8"/>
        <v>1</v>
      </c>
      <c r="B205" s="200"/>
      <c r="C205" s="181"/>
      <c r="D205" s="685"/>
      <c r="E205" s="519"/>
      <c r="F205">
        <f t="shared" si="7"/>
        <v>0</v>
      </c>
      <c r="G205" t="str">
        <f>IF(IFERROR(IF(Str_TypeDonneesCpt1=Cpt_Index,Tab_Compteur_1[[#This Row],[Index]]-E204,Tab_Compteur_1[[#This Row],[Quantité]])/Tab_Compteur_1[[#This Row],[Delta Jour]],"")&lt;0,"",IFERROR(IF(Str_TypeDonneesCpt1=Cpt_Index,Tab_Compteur_1[[#This Row],[Index]]-E204,Tab_Compteur_1[[#This Row],[Quantité]])/Tab_Compteur_1[[#This Row],[Delta Jour]],""))</f>
        <v/>
      </c>
      <c r="H205" t="str">
        <f>IFERROR(Tab_Compteur_1[[#This Row],[Montant]]/Tab_Compteur_1[[#This Row],[Delta Jour]],"")</f>
        <v/>
      </c>
      <c r="I205" s="184" t="str">
        <f>IF(SUM(Tab_Compteur_1[[#This Row],[Quantité]],Tab_Compteur_1[[#This Row],[Index]])&lt;=0,"",G205)</f>
        <v/>
      </c>
      <c r="J205" s="675"/>
      <c r="K205" s="36"/>
      <c r="L205" s="36"/>
      <c r="M205" s="36"/>
      <c r="N205" s="36"/>
      <c r="O205"/>
    </row>
    <row r="206" spans="1:15">
      <c r="A206" s="421">
        <f t="shared" si="8"/>
        <v>1</v>
      </c>
      <c r="B206" s="200"/>
      <c r="C206" s="181"/>
      <c r="D206" s="685"/>
      <c r="E206" s="519"/>
      <c r="F206">
        <f t="shared" si="7"/>
        <v>0</v>
      </c>
      <c r="G206" t="str">
        <f>IF(IFERROR(IF(Str_TypeDonneesCpt1=Cpt_Index,Tab_Compteur_1[[#This Row],[Index]]-E205,Tab_Compteur_1[[#This Row],[Quantité]])/Tab_Compteur_1[[#This Row],[Delta Jour]],"")&lt;0,"",IFERROR(IF(Str_TypeDonneesCpt1=Cpt_Index,Tab_Compteur_1[[#This Row],[Index]]-E205,Tab_Compteur_1[[#This Row],[Quantité]])/Tab_Compteur_1[[#This Row],[Delta Jour]],""))</f>
        <v/>
      </c>
      <c r="H206" t="str">
        <f>IFERROR(Tab_Compteur_1[[#This Row],[Montant]]/Tab_Compteur_1[[#This Row],[Delta Jour]],"")</f>
        <v/>
      </c>
      <c r="I206" s="184" t="str">
        <f>IF(SUM(Tab_Compteur_1[[#This Row],[Quantité]],Tab_Compteur_1[[#This Row],[Index]])&lt;=0,"",G206)</f>
        <v/>
      </c>
      <c r="J206" s="675"/>
      <c r="K206" s="36"/>
      <c r="L206" s="36"/>
      <c r="M206" s="36"/>
      <c r="N206" s="36"/>
      <c r="O206"/>
    </row>
    <row r="207" spans="1:15">
      <c r="A207" s="421">
        <f t="shared" si="8"/>
        <v>1</v>
      </c>
      <c r="B207" s="200"/>
      <c r="C207" s="181"/>
      <c r="D207" s="685"/>
      <c r="E207" s="519"/>
      <c r="F207">
        <f t="shared" si="7"/>
        <v>0</v>
      </c>
      <c r="G207" t="str">
        <f>IF(IFERROR(IF(Str_TypeDonneesCpt1=Cpt_Index,Tab_Compteur_1[[#This Row],[Index]]-E206,Tab_Compteur_1[[#This Row],[Quantité]])/Tab_Compteur_1[[#This Row],[Delta Jour]],"")&lt;0,"",IFERROR(IF(Str_TypeDonneesCpt1=Cpt_Index,Tab_Compteur_1[[#This Row],[Index]]-E206,Tab_Compteur_1[[#This Row],[Quantité]])/Tab_Compteur_1[[#This Row],[Delta Jour]],""))</f>
        <v/>
      </c>
      <c r="H207" t="str">
        <f>IFERROR(Tab_Compteur_1[[#This Row],[Montant]]/Tab_Compteur_1[[#This Row],[Delta Jour]],"")</f>
        <v/>
      </c>
      <c r="I207" s="184" t="str">
        <f>IF(SUM(Tab_Compteur_1[[#This Row],[Quantité]],Tab_Compteur_1[[#This Row],[Index]])&lt;=0,"",G207)</f>
        <v/>
      </c>
      <c r="J207" s="675"/>
      <c r="K207" s="36"/>
      <c r="L207" s="36"/>
      <c r="M207" s="36"/>
      <c r="N207" s="36"/>
      <c r="O207"/>
    </row>
    <row r="208" spans="1:15">
      <c r="A208" s="421">
        <f t="shared" si="8"/>
        <v>1</v>
      </c>
      <c r="B208" s="200"/>
      <c r="C208" s="181"/>
      <c r="D208" s="685"/>
      <c r="E208" s="519"/>
      <c r="F208">
        <f t="shared" si="7"/>
        <v>0</v>
      </c>
      <c r="G208" t="str">
        <f>IF(IFERROR(IF(Str_TypeDonneesCpt1=Cpt_Index,Tab_Compteur_1[[#This Row],[Index]]-E207,Tab_Compteur_1[[#This Row],[Quantité]])/Tab_Compteur_1[[#This Row],[Delta Jour]],"")&lt;0,"",IFERROR(IF(Str_TypeDonneesCpt1=Cpt_Index,Tab_Compteur_1[[#This Row],[Index]]-E207,Tab_Compteur_1[[#This Row],[Quantité]])/Tab_Compteur_1[[#This Row],[Delta Jour]],""))</f>
        <v/>
      </c>
      <c r="H208" t="str">
        <f>IFERROR(Tab_Compteur_1[[#This Row],[Montant]]/Tab_Compteur_1[[#This Row],[Delta Jour]],"")</f>
        <v/>
      </c>
      <c r="I208" s="184" t="str">
        <f>IF(SUM(Tab_Compteur_1[[#This Row],[Quantité]],Tab_Compteur_1[[#This Row],[Index]])&lt;=0,"",G208)</f>
        <v/>
      </c>
      <c r="J208" s="675"/>
      <c r="K208" s="36"/>
      <c r="L208" s="36"/>
      <c r="M208" s="36"/>
      <c r="N208" s="36"/>
      <c r="O208"/>
    </row>
    <row r="209" spans="1:15">
      <c r="A209" s="421">
        <f t="shared" si="8"/>
        <v>1</v>
      </c>
      <c r="B209" s="200"/>
      <c r="C209" s="181"/>
      <c r="D209" s="685"/>
      <c r="E209" s="519"/>
      <c r="F209">
        <f t="shared" si="7"/>
        <v>0</v>
      </c>
      <c r="G209" t="str">
        <f>IF(IFERROR(IF(Str_TypeDonneesCpt1=Cpt_Index,Tab_Compteur_1[[#This Row],[Index]]-E208,Tab_Compteur_1[[#This Row],[Quantité]])/Tab_Compteur_1[[#This Row],[Delta Jour]],"")&lt;0,"",IFERROR(IF(Str_TypeDonneesCpt1=Cpt_Index,Tab_Compteur_1[[#This Row],[Index]]-E208,Tab_Compteur_1[[#This Row],[Quantité]])/Tab_Compteur_1[[#This Row],[Delta Jour]],""))</f>
        <v/>
      </c>
      <c r="H209" t="str">
        <f>IFERROR(Tab_Compteur_1[[#This Row],[Montant]]/Tab_Compteur_1[[#This Row],[Delta Jour]],"")</f>
        <v/>
      </c>
      <c r="I209" s="184" t="str">
        <f>IF(SUM(Tab_Compteur_1[[#This Row],[Quantité]],Tab_Compteur_1[[#This Row],[Index]])&lt;=0,"",G209)</f>
        <v/>
      </c>
      <c r="J209" s="675"/>
      <c r="K209" s="36"/>
      <c r="L209" s="36"/>
      <c r="M209" s="36"/>
      <c r="N209" s="36"/>
      <c r="O209"/>
    </row>
    <row r="210" spans="1:15">
      <c r="A210" s="421">
        <f t="shared" si="8"/>
        <v>1</v>
      </c>
      <c r="B210" s="200"/>
      <c r="C210" s="181"/>
      <c r="D210" s="685"/>
      <c r="E210" s="519"/>
      <c r="F210">
        <f t="shared" si="7"/>
        <v>0</v>
      </c>
      <c r="G210" t="str">
        <f>IF(IFERROR(IF(Str_TypeDonneesCpt1=Cpt_Index,Tab_Compteur_1[[#This Row],[Index]]-E209,Tab_Compteur_1[[#This Row],[Quantité]])/Tab_Compteur_1[[#This Row],[Delta Jour]],"")&lt;0,"",IFERROR(IF(Str_TypeDonneesCpt1=Cpt_Index,Tab_Compteur_1[[#This Row],[Index]]-E209,Tab_Compteur_1[[#This Row],[Quantité]])/Tab_Compteur_1[[#This Row],[Delta Jour]],""))</f>
        <v/>
      </c>
      <c r="H210" t="str">
        <f>IFERROR(Tab_Compteur_1[[#This Row],[Montant]]/Tab_Compteur_1[[#This Row],[Delta Jour]],"")</f>
        <v/>
      </c>
      <c r="I210" s="184" t="str">
        <f>IF(SUM(Tab_Compteur_1[[#This Row],[Quantité]],Tab_Compteur_1[[#This Row],[Index]])&lt;=0,"",G210)</f>
        <v/>
      </c>
      <c r="J210" s="675"/>
      <c r="K210" s="36"/>
      <c r="L210" s="36"/>
      <c r="M210" s="36"/>
      <c r="N210" s="36"/>
      <c r="O210"/>
    </row>
    <row r="211" spans="1:15">
      <c r="A211" s="421">
        <f t="shared" si="8"/>
        <v>1</v>
      </c>
      <c r="B211" s="200"/>
      <c r="C211" s="181"/>
      <c r="D211" s="685"/>
      <c r="E211" s="519"/>
      <c r="F211">
        <f t="shared" si="7"/>
        <v>0</v>
      </c>
      <c r="G211" t="str">
        <f>IF(IFERROR(IF(Str_TypeDonneesCpt1=Cpt_Index,Tab_Compteur_1[[#This Row],[Index]]-E210,Tab_Compteur_1[[#This Row],[Quantité]])/Tab_Compteur_1[[#This Row],[Delta Jour]],"")&lt;0,"",IFERROR(IF(Str_TypeDonneesCpt1=Cpt_Index,Tab_Compteur_1[[#This Row],[Index]]-E210,Tab_Compteur_1[[#This Row],[Quantité]])/Tab_Compteur_1[[#This Row],[Delta Jour]],""))</f>
        <v/>
      </c>
      <c r="H211" t="str">
        <f>IFERROR(Tab_Compteur_1[[#This Row],[Montant]]/Tab_Compteur_1[[#This Row],[Delta Jour]],"")</f>
        <v/>
      </c>
      <c r="I211" s="184" t="str">
        <f>IF(SUM(Tab_Compteur_1[[#This Row],[Quantité]],Tab_Compteur_1[[#This Row],[Index]])&lt;=0,"",G211)</f>
        <v/>
      </c>
      <c r="J211" s="675"/>
      <c r="K211" s="36"/>
      <c r="L211" s="36"/>
      <c r="M211" s="36"/>
      <c r="N211" s="36"/>
      <c r="O211"/>
    </row>
    <row r="212" spans="1:15">
      <c r="A212" s="421">
        <f t="shared" si="8"/>
        <v>1</v>
      </c>
      <c r="B212" s="200"/>
      <c r="C212" s="181"/>
      <c r="D212" s="685"/>
      <c r="E212" s="519"/>
      <c r="F212">
        <f t="shared" si="7"/>
        <v>0</v>
      </c>
      <c r="G212" t="str">
        <f>IF(IFERROR(IF(Str_TypeDonneesCpt1=Cpt_Index,Tab_Compteur_1[[#This Row],[Index]]-E211,Tab_Compteur_1[[#This Row],[Quantité]])/Tab_Compteur_1[[#This Row],[Delta Jour]],"")&lt;0,"",IFERROR(IF(Str_TypeDonneesCpt1=Cpt_Index,Tab_Compteur_1[[#This Row],[Index]]-E211,Tab_Compteur_1[[#This Row],[Quantité]])/Tab_Compteur_1[[#This Row],[Delta Jour]],""))</f>
        <v/>
      </c>
      <c r="H212" t="str">
        <f>IFERROR(Tab_Compteur_1[[#This Row],[Montant]]/Tab_Compteur_1[[#This Row],[Delta Jour]],"")</f>
        <v/>
      </c>
      <c r="I212" s="184" t="str">
        <f>IF(SUM(Tab_Compteur_1[[#This Row],[Quantité]],Tab_Compteur_1[[#This Row],[Index]])&lt;=0,"",G212)</f>
        <v/>
      </c>
      <c r="J212" s="675"/>
      <c r="K212" s="36"/>
      <c r="L212" s="36"/>
      <c r="M212" s="36"/>
      <c r="N212" s="36"/>
      <c r="O212"/>
    </row>
    <row r="213" spans="1:15">
      <c r="A213" s="421">
        <f t="shared" si="8"/>
        <v>1</v>
      </c>
      <c r="B213" s="200"/>
      <c r="C213" s="181"/>
      <c r="D213" s="685"/>
      <c r="E213" s="519"/>
      <c r="F213">
        <f t="shared" si="7"/>
        <v>0</v>
      </c>
      <c r="G213" t="str">
        <f>IF(IFERROR(IF(Str_TypeDonneesCpt1=Cpt_Index,Tab_Compteur_1[[#This Row],[Index]]-E212,Tab_Compteur_1[[#This Row],[Quantité]])/Tab_Compteur_1[[#This Row],[Delta Jour]],"")&lt;0,"",IFERROR(IF(Str_TypeDonneesCpt1=Cpt_Index,Tab_Compteur_1[[#This Row],[Index]]-E212,Tab_Compteur_1[[#This Row],[Quantité]])/Tab_Compteur_1[[#This Row],[Delta Jour]],""))</f>
        <v/>
      </c>
      <c r="H213" t="str">
        <f>IFERROR(Tab_Compteur_1[[#This Row],[Montant]]/Tab_Compteur_1[[#This Row],[Delta Jour]],"")</f>
        <v/>
      </c>
      <c r="I213" s="184" t="str">
        <f>IF(SUM(Tab_Compteur_1[[#This Row],[Quantité]],Tab_Compteur_1[[#This Row],[Index]])&lt;=0,"",G213)</f>
        <v/>
      </c>
      <c r="J213" s="675"/>
      <c r="K213" s="36"/>
      <c r="L213" s="36"/>
      <c r="M213" s="36"/>
      <c r="N213" s="36"/>
      <c r="O213"/>
    </row>
    <row r="214" spans="1:15">
      <c r="A214" s="421">
        <f t="shared" si="8"/>
        <v>1</v>
      </c>
      <c r="B214" s="200"/>
      <c r="C214" s="181"/>
      <c r="D214" s="685"/>
      <c r="E214" s="519"/>
      <c r="F214">
        <f t="shared" si="7"/>
        <v>0</v>
      </c>
      <c r="G214" t="str">
        <f>IF(IFERROR(IF(Str_TypeDonneesCpt1=Cpt_Index,Tab_Compteur_1[[#This Row],[Index]]-E213,Tab_Compteur_1[[#This Row],[Quantité]])/Tab_Compteur_1[[#This Row],[Delta Jour]],"")&lt;0,"",IFERROR(IF(Str_TypeDonneesCpt1=Cpt_Index,Tab_Compteur_1[[#This Row],[Index]]-E213,Tab_Compteur_1[[#This Row],[Quantité]])/Tab_Compteur_1[[#This Row],[Delta Jour]],""))</f>
        <v/>
      </c>
      <c r="H214" t="str">
        <f>IFERROR(Tab_Compteur_1[[#This Row],[Montant]]/Tab_Compteur_1[[#This Row],[Delta Jour]],"")</f>
        <v/>
      </c>
      <c r="I214" s="184" t="str">
        <f>IF(SUM(Tab_Compteur_1[[#This Row],[Quantité]],Tab_Compteur_1[[#This Row],[Index]])&lt;=0,"",G214)</f>
        <v/>
      </c>
      <c r="J214" s="675"/>
      <c r="K214" s="36"/>
      <c r="L214" s="36"/>
      <c r="M214" s="36"/>
      <c r="N214" s="36"/>
      <c r="O214"/>
    </row>
    <row r="215" spans="1:15">
      <c r="A215" s="421">
        <f t="shared" si="8"/>
        <v>1</v>
      </c>
      <c r="B215" s="200"/>
      <c r="C215" s="181"/>
      <c r="D215" s="685"/>
      <c r="E215" s="519"/>
      <c r="F215">
        <f t="shared" si="7"/>
        <v>0</v>
      </c>
      <c r="G215" t="str">
        <f>IF(IFERROR(IF(Str_TypeDonneesCpt1=Cpt_Index,Tab_Compteur_1[[#This Row],[Index]]-E214,Tab_Compteur_1[[#This Row],[Quantité]])/Tab_Compteur_1[[#This Row],[Delta Jour]],"")&lt;0,"",IFERROR(IF(Str_TypeDonneesCpt1=Cpt_Index,Tab_Compteur_1[[#This Row],[Index]]-E214,Tab_Compteur_1[[#This Row],[Quantité]])/Tab_Compteur_1[[#This Row],[Delta Jour]],""))</f>
        <v/>
      </c>
      <c r="H215" t="str">
        <f>IFERROR(Tab_Compteur_1[[#This Row],[Montant]]/Tab_Compteur_1[[#This Row],[Delta Jour]],"")</f>
        <v/>
      </c>
      <c r="I215" s="184" t="str">
        <f>IF(SUM(Tab_Compteur_1[[#This Row],[Quantité]],Tab_Compteur_1[[#This Row],[Index]])&lt;=0,"",G215)</f>
        <v/>
      </c>
      <c r="J215" s="675"/>
      <c r="K215" s="36"/>
      <c r="L215" s="36"/>
      <c r="M215" s="36"/>
      <c r="N215" s="36"/>
      <c r="O215"/>
    </row>
    <row r="216" spans="1:15">
      <c r="A216" s="421">
        <f t="shared" si="8"/>
        <v>1</v>
      </c>
      <c r="B216" s="200"/>
      <c r="C216" s="181"/>
      <c r="D216" s="685"/>
      <c r="E216" s="519"/>
      <c r="F216">
        <f t="shared" si="7"/>
        <v>0</v>
      </c>
      <c r="G216" t="str">
        <f>IF(IFERROR(IF(Str_TypeDonneesCpt1=Cpt_Index,Tab_Compteur_1[[#This Row],[Index]]-E215,Tab_Compteur_1[[#This Row],[Quantité]])/Tab_Compteur_1[[#This Row],[Delta Jour]],"")&lt;0,"",IFERROR(IF(Str_TypeDonneesCpt1=Cpt_Index,Tab_Compteur_1[[#This Row],[Index]]-E215,Tab_Compteur_1[[#This Row],[Quantité]])/Tab_Compteur_1[[#This Row],[Delta Jour]],""))</f>
        <v/>
      </c>
      <c r="H216" t="str">
        <f>IFERROR(Tab_Compteur_1[[#This Row],[Montant]]/Tab_Compteur_1[[#This Row],[Delta Jour]],"")</f>
        <v/>
      </c>
      <c r="I216" s="184" t="str">
        <f>IF(SUM(Tab_Compteur_1[[#This Row],[Quantité]],Tab_Compteur_1[[#This Row],[Index]])&lt;=0,"",G216)</f>
        <v/>
      </c>
      <c r="J216" s="675"/>
      <c r="K216" s="36"/>
      <c r="L216" s="36"/>
      <c r="M216" s="36"/>
      <c r="N216" s="36"/>
      <c r="O216"/>
    </row>
    <row r="217" spans="1:15">
      <c r="A217" s="421">
        <f t="shared" si="8"/>
        <v>1</v>
      </c>
      <c r="B217" s="200"/>
      <c r="C217" s="181"/>
      <c r="D217" s="685"/>
      <c r="E217" s="519"/>
      <c r="F217">
        <f t="shared" si="7"/>
        <v>0</v>
      </c>
      <c r="G217" t="str">
        <f>IF(IFERROR(IF(Str_TypeDonneesCpt1=Cpt_Index,Tab_Compteur_1[[#This Row],[Index]]-E216,Tab_Compteur_1[[#This Row],[Quantité]])/Tab_Compteur_1[[#This Row],[Delta Jour]],"")&lt;0,"",IFERROR(IF(Str_TypeDonneesCpt1=Cpt_Index,Tab_Compteur_1[[#This Row],[Index]]-E216,Tab_Compteur_1[[#This Row],[Quantité]])/Tab_Compteur_1[[#This Row],[Delta Jour]],""))</f>
        <v/>
      </c>
      <c r="H217" t="str">
        <f>IFERROR(Tab_Compteur_1[[#This Row],[Montant]]/Tab_Compteur_1[[#This Row],[Delta Jour]],"")</f>
        <v/>
      </c>
      <c r="I217" s="184" t="str">
        <f>IF(SUM(Tab_Compteur_1[[#This Row],[Quantité]],Tab_Compteur_1[[#This Row],[Index]])&lt;=0,"",G217)</f>
        <v/>
      </c>
      <c r="J217" s="675"/>
      <c r="K217" s="36"/>
      <c r="L217" s="36"/>
      <c r="M217" s="36"/>
      <c r="N217" s="36"/>
      <c r="O217"/>
    </row>
    <row r="218" spans="1:15">
      <c r="A218" s="421">
        <f t="shared" si="8"/>
        <v>1</v>
      </c>
      <c r="B218" s="200"/>
      <c r="C218" s="181"/>
      <c r="D218" s="685"/>
      <c r="E218" s="519"/>
      <c r="F218">
        <f t="shared" si="7"/>
        <v>0</v>
      </c>
      <c r="G218" t="str">
        <f>IF(IFERROR(IF(Str_TypeDonneesCpt1=Cpt_Index,Tab_Compteur_1[[#This Row],[Index]]-E217,Tab_Compteur_1[[#This Row],[Quantité]])/Tab_Compteur_1[[#This Row],[Delta Jour]],"")&lt;0,"",IFERROR(IF(Str_TypeDonneesCpt1=Cpt_Index,Tab_Compteur_1[[#This Row],[Index]]-E217,Tab_Compteur_1[[#This Row],[Quantité]])/Tab_Compteur_1[[#This Row],[Delta Jour]],""))</f>
        <v/>
      </c>
      <c r="H218" t="str">
        <f>IFERROR(Tab_Compteur_1[[#This Row],[Montant]]/Tab_Compteur_1[[#This Row],[Delta Jour]],"")</f>
        <v/>
      </c>
      <c r="I218" s="184" t="str">
        <f>IF(SUM(Tab_Compteur_1[[#This Row],[Quantité]],Tab_Compteur_1[[#This Row],[Index]])&lt;=0,"",G218)</f>
        <v/>
      </c>
      <c r="J218" s="675"/>
      <c r="K218" s="36"/>
      <c r="L218" s="36"/>
      <c r="M218" s="36"/>
      <c r="N218" s="36"/>
      <c r="O218"/>
    </row>
    <row r="219" spans="1:15">
      <c r="A219" s="421">
        <f t="shared" si="8"/>
        <v>1</v>
      </c>
      <c r="B219" s="200"/>
      <c r="C219" s="181"/>
      <c r="D219" s="685"/>
      <c r="E219" s="519"/>
      <c r="F219">
        <f t="shared" si="7"/>
        <v>0</v>
      </c>
      <c r="G219" t="str">
        <f>IF(IFERROR(IF(Str_TypeDonneesCpt1=Cpt_Index,Tab_Compteur_1[[#This Row],[Index]]-E218,Tab_Compteur_1[[#This Row],[Quantité]])/Tab_Compteur_1[[#This Row],[Delta Jour]],"")&lt;0,"",IFERROR(IF(Str_TypeDonneesCpt1=Cpt_Index,Tab_Compteur_1[[#This Row],[Index]]-E218,Tab_Compteur_1[[#This Row],[Quantité]])/Tab_Compteur_1[[#This Row],[Delta Jour]],""))</f>
        <v/>
      </c>
      <c r="H219" t="str">
        <f>IFERROR(Tab_Compteur_1[[#This Row],[Montant]]/Tab_Compteur_1[[#This Row],[Delta Jour]],"")</f>
        <v/>
      </c>
      <c r="I219" s="184" t="str">
        <f>IF(SUM(Tab_Compteur_1[[#This Row],[Quantité]],Tab_Compteur_1[[#This Row],[Index]])&lt;=0,"",G219)</f>
        <v/>
      </c>
      <c r="J219" s="675"/>
      <c r="K219" s="36"/>
      <c r="L219" s="36"/>
      <c r="M219" s="36"/>
      <c r="N219" s="36"/>
      <c r="O219"/>
    </row>
    <row r="220" spans="1:15">
      <c r="A220" s="421">
        <f t="shared" si="8"/>
        <v>1</v>
      </c>
      <c r="B220" s="200"/>
      <c r="C220" s="181"/>
      <c r="D220" s="685"/>
      <c r="E220" s="519"/>
      <c r="F220">
        <f t="shared" si="7"/>
        <v>0</v>
      </c>
      <c r="G220" t="str">
        <f>IF(IFERROR(IF(Str_TypeDonneesCpt1=Cpt_Index,Tab_Compteur_1[[#This Row],[Index]]-E219,Tab_Compteur_1[[#This Row],[Quantité]])/Tab_Compteur_1[[#This Row],[Delta Jour]],"")&lt;0,"",IFERROR(IF(Str_TypeDonneesCpt1=Cpt_Index,Tab_Compteur_1[[#This Row],[Index]]-E219,Tab_Compteur_1[[#This Row],[Quantité]])/Tab_Compteur_1[[#This Row],[Delta Jour]],""))</f>
        <v/>
      </c>
      <c r="H220" t="str">
        <f>IFERROR(Tab_Compteur_1[[#This Row],[Montant]]/Tab_Compteur_1[[#This Row],[Delta Jour]],"")</f>
        <v/>
      </c>
      <c r="I220" s="184" t="str">
        <f>IF(SUM(Tab_Compteur_1[[#This Row],[Quantité]],Tab_Compteur_1[[#This Row],[Index]])&lt;=0,"",G220)</f>
        <v/>
      </c>
      <c r="J220" s="675"/>
      <c r="K220" s="36"/>
      <c r="L220" s="36"/>
      <c r="M220" s="36"/>
      <c r="N220" s="36"/>
      <c r="O220"/>
    </row>
    <row r="221" spans="1:15">
      <c r="A221" s="421">
        <f t="shared" si="8"/>
        <v>1</v>
      </c>
      <c r="B221" s="200"/>
      <c r="C221" s="181"/>
      <c r="D221" s="685"/>
      <c r="E221" s="519"/>
      <c r="F221">
        <f t="shared" si="7"/>
        <v>0</v>
      </c>
      <c r="G221" t="str">
        <f>IF(IFERROR(IF(Str_TypeDonneesCpt1=Cpt_Index,Tab_Compteur_1[[#This Row],[Index]]-E220,Tab_Compteur_1[[#This Row],[Quantité]])/Tab_Compteur_1[[#This Row],[Delta Jour]],"")&lt;0,"",IFERROR(IF(Str_TypeDonneesCpt1=Cpt_Index,Tab_Compteur_1[[#This Row],[Index]]-E220,Tab_Compteur_1[[#This Row],[Quantité]])/Tab_Compteur_1[[#This Row],[Delta Jour]],""))</f>
        <v/>
      </c>
      <c r="H221" t="str">
        <f>IFERROR(Tab_Compteur_1[[#This Row],[Montant]]/Tab_Compteur_1[[#This Row],[Delta Jour]],"")</f>
        <v/>
      </c>
      <c r="I221" s="184" t="str">
        <f>IF(SUM(Tab_Compteur_1[[#This Row],[Quantité]],Tab_Compteur_1[[#This Row],[Index]])&lt;=0,"",G221)</f>
        <v/>
      </c>
      <c r="J221" s="675"/>
      <c r="K221" s="36"/>
      <c r="L221" s="36"/>
      <c r="M221" s="36"/>
      <c r="N221" s="36"/>
      <c r="O221"/>
    </row>
    <row r="222" spans="1:15">
      <c r="A222" s="421">
        <f t="shared" si="8"/>
        <v>1</v>
      </c>
      <c r="B222" s="200"/>
      <c r="C222" s="181"/>
      <c r="D222" s="685"/>
      <c r="E222" s="519"/>
      <c r="F222">
        <f t="shared" si="7"/>
        <v>0</v>
      </c>
      <c r="G222" t="str">
        <f>IF(IFERROR(IF(Str_TypeDonneesCpt1=Cpt_Index,Tab_Compteur_1[[#This Row],[Index]]-E221,Tab_Compteur_1[[#This Row],[Quantité]])/Tab_Compteur_1[[#This Row],[Delta Jour]],"")&lt;0,"",IFERROR(IF(Str_TypeDonneesCpt1=Cpt_Index,Tab_Compteur_1[[#This Row],[Index]]-E221,Tab_Compteur_1[[#This Row],[Quantité]])/Tab_Compteur_1[[#This Row],[Delta Jour]],""))</f>
        <v/>
      </c>
      <c r="H222" t="str">
        <f>IFERROR(Tab_Compteur_1[[#This Row],[Montant]]/Tab_Compteur_1[[#This Row],[Delta Jour]],"")</f>
        <v/>
      </c>
      <c r="I222" s="184" t="str">
        <f>IF(SUM(Tab_Compteur_1[[#This Row],[Quantité]],Tab_Compteur_1[[#This Row],[Index]])&lt;=0,"",G222)</f>
        <v/>
      </c>
      <c r="J222" s="675"/>
      <c r="K222" s="36"/>
      <c r="L222" s="36"/>
      <c r="M222" s="36"/>
      <c r="N222" s="36"/>
      <c r="O222"/>
    </row>
    <row r="223" spans="1:15">
      <c r="A223" s="421">
        <f t="shared" si="8"/>
        <v>1</v>
      </c>
      <c r="B223" s="200"/>
      <c r="C223" s="181"/>
      <c r="D223" s="685"/>
      <c r="E223" s="519"/>
      <c r="F223">
        <f t="shared" si="7"/>
        <v>0</v>
      </c>
      <c r="G223" t="str">
        <f>IF(IFERROR(IF(Str_TypeDonneesCpt1=Cpt_Index,Tab_Compteur_1[[#This Row],[Index]]-E222,Tab_Compteur_1[[#This Row],[Quantité]])/Tab_Compteur_1[[#This Row],[Delta Jour]],"")&lt;0,"",IFERROR(IF(Str_TypeDonneesCpt1=Cpt_Index,Tab_Compteur_1[[#This Row],[Index]]-E222,Tab_Compteur_1[[#This Row],[Quantité]])/Tab_Compteur_1[[#This Row],[Delta Jour]],""))</f>
        <v/>
      </c>
      <c r="H223" t="str">
        <f>IFERROR(Tab_Compteur_1[[#This Row],[Montant]]/Tab_Compteur_1[[#This Row],[Delta Jour]],"")</f>
        <v/>
      </c>
      <c r="I223" s="184" t="str">
        <f>IF(SUM(Tab_Compteur_1[[#This Row],[Quantité]],Tab_Compteur_1[[#This Row],[Index]])&lt;=0,"",G223)</f>
        <v/>
      </c>
      <c r="J223" s="675"/>
      <c r="K223" s="36"/>
      <c r="L223" s="36"/>
      <c r="M223" s="36"/>
      <c r="N223" s="36"/>
      <c r="O223"/>
    </row>
    <row r="224" spans="1:15">
      <c r="A224" s="421">
        <f t="shared" si="8"/>
        <v>1</v>
      </c>
      <c r="B224" s="200"/>
      <c r="C224" s="181"/>
      <c r="D224" s="685"/>
      <c r="E224" s="519"/>
      <c r="F224">
        <f t="shared" si="7"/>
        <v>0</v>
      </c>
      <c r="G224" t="str">
        <f>IF(IFERROR(IF(Str_TypeDonneesCpt1=Cpt_Index,Tab_Compteur_1[[#This Row],[Index]]-E223,Tab_Compteur_1[[#This Row],[Quantité]])/Tab_Compteur_1[[#This Row],[Delta Jour]],"")&lt;0,"",IFERROR(IF(Str_TypeDonneesCpt1=Cpt_Index,Tab_Compteur_1[[#This Row],[Index]]-E223,Tab_Compteur_1[[#This Row],[Quantité]])/Tab_Compteur_1[[#This Row],[Delta Jour]],""))</f>
        <v/>
      </c>
      <c r="H224" t="str">
        <f>IFERROR(Tab_Compteur_1[[#This Row],[Montant]]/Tab_Compteur_1[[#This Row],[Delta Jour]],"")</f>
        <v/>
      </c>
      <c r="I224" s="184" t="str">
        <f>IF(SUM(Tab_Compteur_1[[#This Row],[Quantité]],Tab_Compteur_1[[#This Row],[Index]])&lt;=0,"",G224)</f>
        <v/>
      </c>
      <c r="J224" s="675"/>
      <c r="K224" s="36"/>
      <c r="L224" s="36"/>
      <c r="M224" s="36"/>
      <c r="N224" s="36"/>
      <c r="O224"/>
    </row>
    <row r="225" spans="1:15">
      <c r="A225" s="421">
        <f t="shared" si="8"/>
        <v>1</v>
      </c>
      <c r="B225" s="200"/>
      <c r="C225" s="181"/>
      <c r="D225" s="685"/>
      <c r="E225" s="519"/>
      <c r="F225">
        <f t="shared" si="7"/>
        <v>0</v>
      </c>
      <c r="G225" t="str">
        <f>IF(IFERROR(IF(Str_TypeDonneesCpt1=Cpt_Index,Tab_Compteur_1[[#This Row],[Index]]-E224,Tab_Compteur_1[[#This Row],[Quantité]])/Tab_Compteur_1[[#This Row],[Delta Jour]],"")&lt;0,"",IFERROR(IF(Str_TypeDonneesCpt1=Cpt_Index,Tab_Compteur_1[[#This Row],[Index]]-E224,Tab_Compteur_1[[#This Row],[Quantité]])/Tab_Compteur_1[[#This Row],[Delta Jour]],""))</f>
        <v/>
      </c>
      <c r="H225" t="str">
        <f>IFERROR(Tab_Compteur_1[[#This Row],[Montant]]/Tab_Compteur_1[[#This Row],[Delta Jour]],"")</f>
        <v/>
      </c>
      <c r="I225" s="184" t="str">
        <f>IF(SUM(Tab_Compteur_1[[#This Row],[Quantité]],Tab_Compteur_1[[#This Row],[Index]])&lt;=0,"",G225)</f>
        <v/>
      </c>
      <c r="J225" s="675"/>
      <c r="K225" s="36"/>
      <c r="L225" s="36"/>
      <c r="M225" s="36"/>
      <c r="N225" s="36"/>
      <c r="O225"/>
    </row>
    <row r="226" spans="1:15">
      <c r="A226" s="421">
        <f t="shared" si="8"/>
        <v>1</v>
      </c>
      <c r="B226" s="200"/>
      <c r="C226" s="181"/>
      <c r="D226" s="685"/>
      <c r="E226" s="519"/>
      <c r="F226">
        <f t="shared" si="7"/>
        <v>0</v>
      </c>
      <c r="G226" t="str">
        <f>IF(IFERROR(IF(Str_TypeDonneesCpt1=Cpt_Index,Tab_Compteur_1[[#This Row],[Index]]-E225,Tab_Compteur_1[[#This Row],[Quantité]])/Tab_Compteur_1[[#This Row],[Delta Jour]],"")&lt;0,"",IFERROR(IF(Str_TypeDonneesCpt1=Cpt_Index,Tab_Compteur_1[[#This Row],[Index]]-E225,Tab_Compteur_1[[#This Row],[Quantité]])/Tab_Compteur_1[[#This Row],[Delta Jour]],""))</f>
        <v/>
      </c>
      <c r="H226" t="str">
        <f>IFERROR(Tab_Compteur_1[[#This Row],[Montant]]/Tab_Compteur_1[[#This Row],[Delta Jour]],"")</f>
        <v/>
      </c>
      <c r="I226" s="184" t="str">
        <f>IF(SUM(Tab_Compteur_1[[#This Row],[Quantité]],Tab_Compteur_1[[#This Row],[Index]])&lt;=0,"",G226)</f>
        <v/>
      </c>
      <c r="J226" s="675"/>
      <c r="K226" s="36"/>
      <c r="L226" s="36"/>
      <c r="M226" s="36"/>
      <c r="N226" s="36"/>
      <c r="O226"/>
    </row>
    <row r="227" spans="1:15">
      <c r="A227" s="421">
        <f t="shared" si="8"/>
        <v>1</v>
      </c>
      <c r="B227" s="200"/>
      <c r="C227" s="181"/>
      <c r="D227" s="685"/>
      <c r="E227" s="519"/>
      <c r="F227">
        <f t="shared" si="7"/>
        <v>0</v>
      </c>
      <c r="G227" t="str">
        <f>IF(IFERROR(IF(Str_TypeDonneesCpt1=Cpt_Index,Tab_Compteur_1[[#This Row],[Index]]-E226,Tab_Compteur_1[[#This Row],[Quantité]])/Tab_Compteur_1[[#This Row],[Delta Jour]],"")&lt;0,"",IFERROR(IF(Str_TypeDonneesCpt1=Cpt_Index,Tab_Compteur_1[[#This Row],[Index]]-E226,Tab_Compteur_1[[#This Row],[Quantité]])/Tab_Compteur_1[[#This Row],[Delta Jour]],""))</f>
        <v/>
      </c>
      <c r="H227" t="str">
        <f>IFERROR(Tab_Compteur_1[[#This Row],[Montant]]/Tab_Compteur_1[[#This Row],[Delta Jour]],"")</f>
        <v/>
      </c>
      <c r="I227" s="184" t="str">
        <f>IF(SUM(Tab_Compteur_1[[#This Row],[Quantité]],Tab_Compteur_1[[#This Row],[Index]])&lt;=0,"",G227)</f>
        <v/>
      </c>
      <c r="J227" s="675"/>
      <c r="K227" s="36"/>
      <c r="L227" s="36"/>
      <c r="M227" s="36"/>
      <c r="N227" s="36"/>
      <c r="O227"/>
    </row>
    <row r="228" spans="1:15">
      <c r="A228" s="421">
        <f t="shared" si="8"/>
        <v>1</v>
      </c>
      <c r="B228" s="200"/>
      <c r="C228" s="181"/>
      <c r="D228" s="685"/>
      <c r="E228" s="519"/>
      <c r="F228">
        <f t="shared" si="7"/>
        <v>0</v>
      </c>
      <c r="G228" t="str">
        <f>IF(IFERROR(IF(Str_TypeDonneesCpt1=Cpt_Index,Tab_Compteur_1[[#This Row],[Index]]-E227,Tab_Compteur_1[[#This Row],[Quantité]])/Tab_Compteur_1[[#This Row],[Delta Jour]],"")&lt;0,"",IFERROR(IF(Str_TypeDonneesCpt1=Cpt_Index,Tab_Compteur_1[[#This Row],[Index]]-E227,Tab_Compteur_1[[#This Row],[Quantité]])/Tab_Compteur_1[[#This Row],[Delta Jour]],""))</f>
        <v/>
      </c>
      <c r="H228" t="str">
        <f>IFERROR(Tab_Compteur_1[[#This Row],[Montant]]/Tab_Compteur_1[[#This Row],[Delta Jour]],"")</f>
        <v/>
      </c>
      <c r="I228" s="184" t="str">
        <f>IF(SUM(Tab_Compteur_1[[#This Row],[Quantité]],Tab_Compteur_1[[#This Row],[Index]])&lt;=0,"",G228)</f>
        <v/>
      </c>
      <c r="J228" s="675"/>
      <c r="K228" s="36"/>
      <c r="L228" s="36"/>
      <c r="M228" s="36"/>
      <c r="N228" s="36"/>
      <c r="O228"/>
    </row>
    <row r="229" spans="1:15">
      <c r="A229" s="421">
        <f t="shared" si="8"/>
        <v>1</v>
      </c>
      <c r="B229" s="200"/>
      <c r="C229" s="181"/>
      <c r="D229" s="685"/>
      <c r="E229" s="519"/>
      <c r="F229">
        <f t="shared" si="7"/>
        <v>0</v>
      </c>
      <c r="G229" t="str">
        <f>IF(IFERROR(IF(Str_TypeDonneesCpt1=Cpt_Index,Tab_Compteur_1[[#This Row],[Index]]-E228,Tab_Compteur_1[[#This Row],[Quantité]])/Tab_Compteur_1[[#This Row],[Delta Jour]],"")&lt;0,"",IFERROR(IF(Str_TypeDonneesCpt1=Cpt_Index,Tab_Compteur_1[[#This Row],[Index]]-E228,Tab_Compteur_1[[#This Row],[Quantité]])/Tab_Compteur_1[[#This Row],[Delta Jour]],""))</f>
        <v/>
      </c>
      <c r="H229" t="str">
        <f>IFERROR(Tab_Compteur_1[[#This Row],[Montant]]/Tab_Compteur_1[[#This Row],[Delta Jour]],"")</f>
        <v/>
      </c>
      <c r="I229" s="184" t="str">
        <f>IF(SUM(Tab_Compteur_1[[#This Row],[Quantité]],Tab_Compteur_1[[#This Row],[Index]])&lt;=0,"",G229)</f>
        <v/>
      </c>
      <c r="J229" s="675"/>
      <c r="K229" s="36"/>
      <c r="L229" s="36"/>
      <c r="M229" s="36"/>
      <c r="N229" s="36"/>
      <c r="O229"/>
    </row>
    <row r="230" spans="1:15">
      <c r="A230" s="421">
        <f t="shared" si="8"/>
        <v>1</v>
      </c>
      <c r="B230" s="200"/>
      <c r="C230" s="181"/>
      <c r="D230" s="685"/>
      <c r="E230" s="519"/>
      <c r="F230">
        <f t="shared" si="7"/>
        <v>0</v>
      </c>
      <c r="G230" t="str">
        <f>IF(IFERROR(IF(Str_TypeDonneesCpt1=Cpt_Index,Tab_Compteur_1[[#This Row],[Index]]-E229,Tab_Compteur_1[[#This Row],[Quantité]])/Tab_Compteur_1[[#This Row],[Delta Jour]],"")&lt;0,"",IFERROR(IF(Str_TypeDonneesCpt1=Cpt_Index,Tab_Compteur_1[[#This Row],[Index]]-E229,Tab_Compteur_1[[#This Row],[Quantité]])/Tab_Compteur_1[[#This Row],[Delta Jour]],""))</f>
        <v/>
      </c>
      <c r="H230" t="str">
        <f>IFERROR(Tab_Compteur_1[[#This Row],[Montant]]/Tab_Compteur_1[[#This Row],[Delta Jour]],"")</f>
        <v/>
      </c>
      <c r="I230" s="184" t="str">
        <f>IF(SUM(Tab_Compteur_1[[#This Row],[Quantité]],Tab_Compteur_1[[#This Row],[Index]])&lt;=0,"",G230)</f>
        <v/>
      </c>
      <c r="J230" s="675"/>
      <c r="K230" s="36"/>
      <c r="L230" s="36"/>
      <c r="M230" s="36"/>
      <c r="N230" s="36"/>
      <c r="O230"/>
    </row>
    <row r="231" spans="1:15">
      <c r="A231" s="421">
        <f t="shared" si="8"/>
        <v>1</v>
      </c>
      <c r="B231" s="200"/>
      <c r="C231" s="181"/>
      <c r="D231" s="685"/>
      <c r="E231" s="519"/>
      <c r="F231">
        <f t="shared" si="7"/>
        <v>0</v>
      </c>
      <c r="G231" t="str">
        <f>IF(IFERROR(IF(Str_TypeDonneesCpt1=Cpt_Index,Tab_Compteur_1[[#This Row],[Index]]-E230,Tab_Compteur_1[[#This Row],[Quantité]])/Tab_Compteur_1[[#This Row],[Delta Jour]],"")&lt;0,"",IFERROR(IF(Str_TypeDonneesCpt1=Cpt_Index,Tab_Compteur_1[[#This Row],[Index]]-E230,Tab_Compteur_1[[#This Row],[Quantité]])/Tab_Compteur_1[[#This Row],[Delta Jour]],""))</f>
        <v/>
      </c>
      <c r="H231" t="str">
        <f>IFERROR(Tab_Compteur_1[[#This Row],[Montant]]/Tab_Compteur_1[[#This Row],[Delta Jour]],"")</f>
        <v/>
      </c>
      <c r="I231" s="184" t="str">
        <f>IF(SUM(Tab_Compteur_1[[#This Row],[Quantité]],Tab_Compteur_1[[#This Row],[Index]])&lt;=0,"",G231)</f>
        <v/>
      </c>
      <c r="J231" s="675"/>
      <c r="K231" s="36"/>
      <c r="L231" s="36"/>
      <c r="M231" s="36"/>
      <c r="N231" s="36"/>
      <c r="O231"/>
    </row>
    <row r="232" spans="1:15">
      <c r="A232" s="421">
        <f t="shared" si="8"/>
        <v>1</v>
      </c>
      <c r="B232" s="200"/>
      <c r="C232" s="181"/>
      <c r="D232" s="685"/>
      <c r="E232" s="519"/>
      <c r="F232">
        <f t="shared" si="7"/>
        <v>0</v>
      </c>
      <c r="G232" t="str">
        <f>IF(IFERROR(IF(Str_TypeDonneesCpt1=Cpt_Index,Tab_Compteur_1[[#This Row],[Index]]-E231,Tab_Compteur_1[[#This Row],[Quantité]])/Tab_Compteur_1[[#This Row],[Delta Jour]],"")&lt;0,"",IFERROR(IF(Str_TypeDonneesCpt1=Cpt_Index,Tab_Compteur_1[[#This Row],[Index]]-E231,Tab_Compteur_1[[#This Row],[Quantité]])/Tab_Compteur_1[[#This Row],[Delta Jour]],""))</f>
        <v/>
      </c>
      <c r="H232" t="str">
        <f>IFERROR(Tab_Compteur_1[[#This Row],[Montant]]/Tab_Compteur_1[[#This Row],[Delta Jour]],"")</f>
        <v/>
      </c>
      <c r="I232" s="184" t="str">
        <f>IF(SUM(Tab_Compteur_1[[#This Row],[Quantité]],Tab_Compteur_1[[#This Row],[Index]])&lt;=0,"",G232)</f>
        <v/>
      </c>
      <c r="J232" s="675"/>
      <c r="K232" s="36"/>
      <c r="L232" s="36"/>
      <c r="M232" s="36"/>
      <c r="N232" s="36"/>
      <c r="O232"/>
    </row>
    <row r="233" spans="1:15">
      <c r="A233" s="421">
        <f t="shared" si="8"/>
        <v>1</v>
      </c>
      <c r="B233" s="200"/>
      <c r="C233" s="181"/>
      <c r="D233" s="685"/>
      <c r="E233" s="519"/>
      <c r="F233">
        <f t="shared" si="7"/>
        <v>0</v>
      </c>
      <c r="G233" t="str">
        <f>IF(IFERROR(IF(Str_TypeDonneesCpt1=Cpt_Index,Tab_Compteur_1[[#This Row],[Index]]-E232,Tab_Compteur_1[[#This Row],[Quantité]])/Tab_Compteur_1[[#This Row],[Delta Jour]],"")&lt;0,"",IFERROR(IF(Str_TypeDonneesCpt1=Cpt_Index,Tab_Compteur_1[[#This Row],[Index]]-E232,Tab_Compteur_1[[#This Row],[Quantité]])/Tab_Compteur_1[[#This Row],[Delta Jour]],""))</f>
        <v/>
      </c>
      <c r="H233" t="str">
        <f>IFERROR(Tab_Compteur_1[[#This Row],[Montant]]/Tab_Compteur_1[[#This Row],[Delta Jour]],"")</f>
        <v/>
      </c>
      <c r="I233" s="184" t="str">
        <f>IF(SUM(Tab_Compteur_1[[#This Row],[Quantité]],Tab_Compteur_1[[#This Row],[Index]])&lt;=0,"",G233)</f>
        <v/>
      </c>
      <c r="J233" s="675"/>
      <c r="K233" s="36"/>
      <c r="L233" s="36"/>
      <c r="M233" s="36"/>
      <c r="N233" s="36"/>
      <c r="O233"/>
    </row>
    <row r="234" spans="1:15">
      <c r="A234" s="421">
        <f t="shared" si="8"/>
        <v>1</v>
      </c>
      <c r="B234" s="200"/>
      <c r="C234" s="181"/>
      <c r="D234" s="685"/>
      <c r="E234" s="519"/>
      <c r="F234">
        <f t="shared" si="7"/>
        <v>0</v>
      </c>
      <c r="G234" t="str">
        <f>IF(IFERROR(IF(Str_TypeDonneesCpt1=Cpt_Index,Tab_Compteur_1[[#This Row],[Index]]-E233,Tab_Compteur_1[[#This Row],[Quantité]])/Tab_Compteur_1[[#This Row],[Delta Jour]],"")&lt;0,"",IFERROR(IF(Str_TypeDonneesCpt1=Cpt_Index,Tab_Compteur_1[[#This Row],[Index]]-E233,Tab_Compteur_1[[#This Row],[Quantité]])/Tab_Compteur_1[[#This Row],[Delta Jour]],""))</f>
        <v/>
      </c>
      <c r="H234" t="str">
        <f>IFERROR(Tab_Compteur_1[[#This Row],[Montant]]/Tab_Compteur_1[[#This Row],[Delta Jour]],"")</f>
        <v/>
      </c>
      <c r="I234" s="184" t="str">
        <f>IF(SUM(Tab_Compteur_1[[#This Row],[Quantité]],Tab_Compteur_1[[#This Row],[Index]])&lt;=0,"",G234)</f>
        <v/>
      </c>
      <c r="J234" s="675"/>
      <c r="K234" s="36"/>
      <c r="L234" s="36"/>
      <c r="M234" s="36"/>
      <c r="N234" s="36"/>
      <c r="O234"/>
    </row>
    <row r="235" spans="1:15">
      <c r="A235" s="421">
        <f t="shared" si="8"/>
        <v>1</v>
      </c>
      <c r="B235" s="200"/>
      <c r="C235" s="181"/>
      <c r="D235" s="685"/>
      <c r="E235" s="519"/>
      <c r="F235">
        <f t="shared" si="7"/>
        <v>0</v>
      </c>
      <c r="G235" t="str">
        <f>IF(IFERROR(IF(Str_TypeDonneesCpt1=Cpt_Index,Tab_Compteur_1[[#This Row],[Index]]-E234,Tab_Compteur_1[[#This Row],[Quantité]])/Tab_Compteur_1[[#This Row],[Delta Jour]],"")&lt;0,"",IFERROR(IF(Str_TypeDonneesCpt1=Cpt_Index,Tab_Compteur_1[[#This Row],[Index]]-E234,Tab_Compteur_1[[#This Row],[Quantité]])/Tab_Compteur_1[[#This Row],[Delta Jour]],""))</f>
        <v/>
      </c>
      <c r="H235" t="str">
        <f>IFERROR(Tab_Compteur_1[[#This Row],[Montant]]/Tab_Compteur_1[[#This Row],[Delta Jour]],"")</f>
        <v/>
      </c>
      <c r="I235" s="184" t="str">
        <f>IF(SUM(Tab_Compteur_1[[#This Row],[Quantité]],Tab_Compteur_1[[#This Row],[Index]])&lt;=0,"",G235)</f>
        <v/>
      </c>
      <c r="J235" s="675"/>
      <c r="K235" s="36"/>
      <c r="L235" s="36"/>
      <c r="M235" s="36"/>
      <c r="N235" s="36"/>
      <c r="O235"/>
    </row>
    <row r="236" spans="1:15">
      <c r="A236" s="421">
        <f t="shared" si="8"/>
        <v>1</v>
      </c>
      <c r="B236" s="200"/>
      <c r="C236" s="181"/>
      <c r="D236" s="685"/>
      <c r="E236" s="519"/>
      <c r="F236">
        <f t="shared" si="7"/>
        <v>0</v>
      </c>
      <c r="G236" t="str">
        <f>IF(IFERROR(IF(Str_TypeDonneesCpt1=Cpt_Index,Tab_Compteur_1[[#This Row],[Index]]-E235,Tab_Compteur_1[[#This Row],[Quantité]])/Tab_Compteur_1[[#This Row],[Delta Jour]],"")&lt;0,"",IFERROR(IF(Str_TypeDonneesCpt1=Cpt_Index,Tab_Compteur_1[[#This Row],[Index]]-E235,Tab_Compteur_1[[#This Row],[Quantité]])/Tab_Compteur_1[[#This Row],[Delta Jour]],""))</f>
        <v/>
      </c>
      <c r="H236" t="str">
        <f>IFERROR(Tab_Compteur_1[[#This Row],[Montant]]/Tab_Compteur_1[[#This Row],[Delta Jour]],"")</f>
        <v/>
      </c>
      <c r="I236" s="184" t="str">
        <f>IF(SUM(Tab_Compteur_1[[#This Row],[Quantité]],Tab_Compteur_1[[#This Row],[Index]])&lt;=0,"",G236)</f>
        <v/>
      </c>
      <c r="J236" s="675"/>
      <c r="K236" s="36"/>
      <c r="L236" s="36"/>
      <c r="M236" s="36"/>
      <c r="N236" s="36"/>
      <c r="O236"/>
    </row>
    <row r="237" spans="1:15">
      <c r="A237" s="421">
        <f t="shared" si="8"/>
        <v>1</v>
      </c>
      <c r="B237" s="200"/>
      <c r="C237" s="181"/>
      <c r="D237" s="685"/>
      <c r="E237" s="519"/>
      <c r="F237">
        <f t="shared" si="7"/>
        <v>0</v>
      </c>
      <c r="G237" t="str">
        <f>IF(IFERROR(IF(Str_TypeDonneesCpt1=Cpt_Index,Tab_Compteur_1[[#This Row],[Index]]-E236,Tab_Compteur_1[[#This Row],[Quantité]])/Tab_Compteur_1[[#This Row],[Delta Jour]],"")&lt;0,"",IFERROR(IF(Str_TypeDonneesCpt1=Cpt_Index,Tab_Compteur_1[[#This Row],[Index]]-E236,Tab_Compteur_1[[#This Row],[Quantité]])/Tab_Compteur_1[[#This Row],[Delta Jour]],""))</f>
        <v/>
      </c>
      <c r="H237" t="str">
        <f>IFERROR(Tab_Compteur_1[[#This Row],[Montant]]/Tab_Compteur_1[[#This Row],[Delta Jour]],"")</f>
        <v/>
      </c>
      <c r="I237" s="184" t="str">
        <f>IF(SUM(Tab_Compteur_1[[#This Row],[Quantité]],Tab_Compteur_1[[#This Row],[Index]])&lt;=0,"",G237)</f>
        <v/>
      </c>
      <c r="J237" s="675"/>
      <c r="K237" s="36"/>
      <c r="L237" s="36"/>
      <c r="M237" s="36"/>
      <c r="N237" s="36"/>
      <c r="O237"/>
    </row>
    <row r="238" spans="1:15">
      <c r="A238" s="421">
        <f t="shared" si="8"/>
        <v>1</v>
      </c>
      <c r="B238" s="200"/>
      <c r="C238" s="181"/>
      <c r="D238" s="685"/>
      <c r="E238" s="519"/>
      <c r="F238">
        <f t="shared" si="7"/>
        <v>0</v>
      </c>
      <c r="G238" t="str">
        <f>IF(IFERROR(IF(Str_TypeDonneesCpt1=Cpt_Index,Tab_Compteur_1[[#This Row],[Index]]-E237,Tab_Compteur_1[[#This Row],[Quantité]])/Tab_Compteur_1[[#This Row],[Delta Jour]],"")&lt;0,"",IFERROR(IF(Str_TypeDonneesCpt1=Cpt_Index,Tab_Compteur_1[[#This Row],[Index]]-E237,Tab_Compteur_1[[#This Row],[Quantité]])/Tab_Compteur_1[[#This Row],[Delta Jour]],""))</f>
        <v/>
      </c>
      <c r="H238" t="str">
        <f>IFERROR(Tab_Compteur_1[[#This Row],[Montant]]/Tab_Compteur_1[[#This Row],[Delta Jour]],"")</f>
        <v/>
      </c>
      <c r="I238" s="184" t="str">
        <f>IF(SUM(Tab_Compteur_1[[#This Row],[Quantité]],Tab_Compteur_1[[#This Row],[Index]])&lt;=0,"",G238)</f>
        <v/>
      </c>
      <c r="J238" s="675"/>
      <c r="K238" s="36"/>
      <c r="L238" s="36"/>
      <c r="M238" s="36"/>
      <c r="N238" s="36"/>
      <c r="O238"/>
    </row>
    <row r="239" spans="1:15">
      <c r="A239" s="421">
        <f t="shared" si="8"/>
        <v>1</v>
      </c>
      <c r="B239" s="200"/>
      <c r="C239" s="181"/>
      <c r="D239" s="685"/>
      <c r="E239" s="519"/>
      <c r="F239">
        <f t="shared" si="7"/>
        <v>0</v>
      </c>
      <c r="G239" t="str">
        <f>IF(IFERROR(IF(Str_TypeDonneesCpt1=Cpt_Index,Tab_Compteur_1[[#This Row],[Index]]-E238,Tab_Compteur_1[[#This Row],[Quantité]])/Tab_Compteur_1[[#This Row],[Delta Jour]],"")&lt;0,"",IFERROR(IF(Str_TypeDonneesCpt1=Cpt_Index,Tab_Compteur_1[[#This Row],[Index]]-E238,Tab_Compteur_1[[#This Row],[Quantité]])/Tab_Compteur_1[[#This Row],[Delta Jour]],""))</f>
        <v/>
      </c>
      <c r="H239" t="str">
        <f>IFERROR(Tab_Compteur_1[[#This Row],[Montant]]/Tab_Compteur_1[[#This Row],[Delta Jour]],"")</f>
        <v/>
      </c>
      <c r="I239" s="184" t="str">
        <f>IF(SUM(Tab_Compteur_1[[#This Row],[Quantité]],Tab_Compteur_1[[#This Row],[Index]])&lt;=0,"",G239)</f>
        <v/>
      </c>
      <c r="J239" s="675"/>
      <c r="K239" s="36"/>
      <c r="L239" s="36"/>
      <c r="M239" s="36"/>
      <c r="N239" s="36"/>
      <c r="O239"/>
    </row>
    <row r="240" spans="1:15">
      <c r="A240" s="421">
        <f t="shared" si="8"/>
        <v>1</v>
      </c>
      <c r="B240" s="200"/>
      <c r="C240" s="181"/>
      <c r="D240" s="685"/>
      <c r="E240" s="519"/>
      <c r="F240">
        <f t="shared" si="7"/>
        <v>0</v>
      </c>
      <c r="G240" t="str">
        <f>IF(IFERROR(IF(Str_TypeDonneesCpt1=Cpt_Index,Tab_Compteur_1[[#This Row],[Index]]-E239,Tab_Compteur_1[[#This Row],[Quantité]])/Tab_Compteur_1[[#This Row],[Delta Jour]],"")&lt;0,"",IFERROR(IF(Str_TypeDonneesCpt1=Cpt_Index,Tab_Compteur_1[[#This Row],[Index]]-E239,Tab_Compteur_1[[#This Row],[Quantité]])/Tab_Compteur_1[[#This Row],[Delta Jour]],""))</f>
        <v/>
      </c>
      <c r="H240" t="str">
        <f>IFERROR(Tab_Compteur_1[[#This Row],[Montant]]/Tab_Compteur_1[[#This Row],[Delta Jour]],"")</f>
        <v/>
      </c>
      <c r="I240" s="184" t="str">
        <f>IF(SUM(Tab_Compteur_1[[#This Row],[Quantité]],Tab_Compteur_1[[#This Row],[Index]])&lt;=0,"",G240)</f>
        <v/>
      </c>
      <c r="J240" s="675"/>
      <c r="K240" s="36"/>
      <c r="L240" s="36"/>
      <c r="M240" s="36"/>
      <c r="N240" s="36"/>
      <c r="O240"/>
    </row>
    <row r="241" spans="1:15">
      <c r="A241" s="421">
        <f t="shared" si="8"/>
        <v>1</v>
      </c>
      <c r="B241" s="200"/>
      <c r="C241" s="181"/>
      <c r="D241" s="685"/>
      <c r="E241" s="519"/>
      <c r="F241">
        <f t="shared" si="7"/>
        <v>0</v>
      </c>
      <c r="G241" t="str">
        <f>IF(IFERROR(IF(Str_TypeDonneesCpt1=Cpt_Index,Tab_Compteur_1[[#This Row],[Index]]-E240,Tab_Compteur_1[[#This Row],[Quantité]])/Tab_Compteur_1[[#This Row],[Delta Jour]],"")&lt;0,"",IFERROR(IF(Str_TypeDonneesCpt1=Cpt_Index,Tab_Compteur_1[[#This Row],[Index]]-E240,Tab_Compteur_1[[#This Row],[Quantité]])/Tab_Compteur_1[[#This Row],[Delta Jour]],""))</f>
        <v/>
      </c>
      <c r="H241" t="str">
        <f>IFERROR(Tab_Compteur_1[[#This Row],[Montant]]/Tab_Compteur_1[[#This Row],[Delta Jour]],"")</f>
        <v/>
      </c>
      <c r="I241" s="184" t="str">
        <f>IF(SUM(Tab_Compteur_1[[#This Row],[Quantité]],Tab_Compteur_1[[#This Row],[Index]])&lt;=0,"",G241)</f>
        <v/>
      </c>
      <c r="J241" s="675"/>
      <c r="K241" s="36"/>
      <c r="L241" s="36"/>
      <c r="M241" s="36"/>
      <c r="N241" s="36"/>
      <c r="O241"/>
    </row>
    <row r="242" spans="1:15">
      <c r="A242" s="421">
        <f t="shared" si="8"/>
        <v>1</v>
      </c>
      <c r="B242" s="200"/>
      <c r="C242" s="181"/>
      <c r="D242" s="685"/>
      <c r="E242" s="519"/>
      <c r="F242">
        <f t="shared" si="7"/>
        <v>0</v>
      </c>
      <c r="G242" t="str">
        <f>IF(IFERROR(IF(Str_TypeDonneesCpt1=Cpt_Index,Tab_Compteur_1[[#This Row],[Index]]-E241,Tab_Compteur_1[[#This Row],[Quantité]])/Tab_Compteur_1[[#This Row],[Delta Jour]],"")&lt;0,"",IFERROR(IF(Str_TypeDonneesCpt1=Cpt_Index,Tab_Compteur_1[[#This Row],[Index]]-E241,Tab_Compteur_1[[#This Row],[Quantité]])/Tab_Compteur_1[[#This Row],[Delta Jour]],""))</f>
        <v/>
      </c>
      <c r="H242" t="str">
        <f>IFERROR(Tab_Compteur_1[[#This Row],[Montant]]/Tab_Compteur_1[[#This Row],[Delta Jour]],"")</f>
        <v/>
      </c>
      <c r="I242" s="184" t="str">
        <f>IF(SUM(Tab_Compteur_1[[#This Row],[Quantité]],Tab_Compteur_1[[#This Row],[Index]])&lt;=0,"",G242)</f>
        <v/>
      </c>
      <c r="J242" s="675"/>
      <c r="K242" s="36"/>
      <c r="L242" s="36"/>
      <c r="M242" s="36"/>
      <c r="N242" s="36"/>
      <c r="O242"/>
    </row>
    <row r="243" spans="1:15">
      <c r="A243" s="421">
        <f t="shared" si="8"/>
        <v>1</v>
      </c>
      <c r="B243" s="200"/>
      <c r="C243" s="181"/>
      <c r="D243" s="685"/>
      <c r="E243" s="519"/>
      <c r="F243">
        <f t="shared" si="7"/>
        <v>0</v>
      </c>
      <c r="G243" t="str">
        <f>IF(IFERROR(IF(Str_TypeDonneesCpt1=Cpt_Index,Tab_Compteur_1[[#This Row],[Index]]-E242,Tab_Compteur_1[[#This Row],[Quantité]])/Tab_Compteur_1[[#This Row],[Delta Jour]],"")&lt;0,"",IFERROR(IF(Str_TypeDonneesCpt1=Cpt_Index,Tab_Compteur_1[[#This Row],[Index]]-E242,Tab_Compteur_1[[#This Row],[Quantité]])/Tab_Compteur_1[[#This Row],[Delta Jour]],""))</f>
        <v/>
      </c>
      <c r="H243" t="str">
        <f>IFERROR(Tab_Compteur_1[[#This Row],[Montant]]/Tab_Compteur_1[[#This Row],[Delta Jour]],"")</f>
        <v/>
      </c>
      <c r="I243" s="184" t="str">
        <f>IF(SUM(Tab_Compteur_1[[#This Row],[Quantité]],Tab_Compteur_1[[#This Row],[Index]])&lt;=0,"",G243)</f>
        <v/>
      </c>
      <c r="J243" s="675"/>
      <c r="K243" s="36"/>
      <c r="L243" s="36"/>
      <c r="M243" s="36"/>
      <c r="N243" s="36"/>
      <c r="O243"/>
    </row>
  </sheetData>
  <sheetProtection selectLockedCells="1"/>
  <protectedRanges>
    <protectedRange sqref="E4:E243" name="Plage2"/>
    <protectedRange sqref="B4:D243" name="Plage1"/>
  </protectedRanges>
  <mergeCells count="1">
    <mergeCell ref="K34:M56"/>
  </mergeCells>
  <conditionalFormatting sqref="B15:B40 B78:B243">
    <cfRule type="expression" dxfId="121" priority="3">
      <formula>$B15&lt;$A15</formula>
    </cfRule>
  </conditionalFormatting>
  <conditionalFormatting sqref="B15:B77">
    <cfRule type="expression" dxfId="120" priority="2">
      <formula>$B15&lt;$A15</formula>
    </cfRule>
  </conditionalFormatting>
  <conditionalFormatting sqref="B4:B14">
    <cfRule type="expression" dxfId="119" priority="1">
      <formula>$B4&lt;$A4</formula>
    </cfRule>
  </conditionalFormatting>
  <pageMargins left="0.7" right="0.7" top="0.75" bottom="0.75" header="0.3" footer="0.3"/>
  <pageSetup paperSize="9" orientation="portrait" r:id="rId1"/>
  <drawing r:id="rId2"/>
  <legacyDrawing r:id="rId3"/>
  <tableParts count="1">
    <tablePart r:id="rId4"/>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8"/>
  <dimension ref="A1:R369"/>
  <sheetViews>
    <sheetView workbookViewId="0"/>
  </sheetViews>
  <sheetFormatPr baseColWidth="10" defaultColWidth="11.36328125" defaultRowHeight="14.5"/>
  <sheetData>
    <row r="1" spans="1:18">
      <c r="A1" t="s">
        <v>7</v>
      </c>
      <c r="B1">
        <f>Calcul_Bilan_Energie!N2</f>
        <v>2025</v>
      </c>
      <c r="O1" t="s">
        <v>257</v>
      </c>
    </row>
    <row r="2" spans="1:18">
      <c r="B2" t="str">
        <f>Controle_des_données!A42</f>
        <v>Continu</v>
      </c>
      <c r="O2" t="s">
        <v>258</v>
      </c>
      <c r="P2" t="s">
        <v>259</v>
      </c>
      <c r="Q2" t="s">
        <v>260</v>
      </c>
      <c r="R2" t="s">
        <v>261</v>
      </c>
    </row>
    <row r="3" spans="1:18">
      <c r="A3" t="s">
        <v>262</v>
      </c>
      <c r="B3" t="s">
        <v>263</v>
      </c>
      <c r="C3" t="s">
        <v>264</v>
      </c>
      <c r="D3" t="s">
        <v>265</v>
      </c>
      <c r="E3" t="s">
        <v>266</v>
      </c>
      <c r="F3" t="s">
        <v>267</v>
      </c>
      <c r="I3" t="s">
        <v>208</v>
      </c>
      <c r="O3" s="2">
        <v>37622</v>
      </c>
      <c r="P3">
        <v>2003</v>
      </c>
      <c r="Q3" t="s">
        <v>268</v>
      </c>
      <c r="R3" t="s">
        <v>269</v>
      </c>
    </row>
    <row r="4" spans="1:18">
      <c r="A4" s="2">
        <f>DATE(B1,1,1)</f>
        <v>45658</v>
      </c>
      <c r="B4">
        <f>WEEKDAY(A4,2)</f>
        <v>3</v>
      </c>
      <c r="C4">
        <f>IF(AND(B4=6,$B$2&lt;&gt;$I$3,$B$2&lt;&gt;$I$5),1,0)</f>
        <v>0</v>
      </c>
      <c r="D4">
        <f>IF(AND(B4=7,$B$2&lt;&gt;$I$3),1,0)</f>
        <v>0</v>
      </c>
      <c r="E4">
        <f>IF($B$2&lt;&gt;$I$3,COUNTIF(Tab_fériés[date],A4),0)</f>
        <v>0</v>
      </c>
      <c r="F4">
        <f>IFERROR(IF(SUM(C4:E4)&gt;0,1,0),0)</f>
        <v>0</v>
      </c>
      <c r="I4" t="s">
        <v>212</v>
      </c>
      <c r="O4" s="2">
        <v>37732</v>
      </c>
      <c r="P4">
        <v>2003</v>
      </c>
      <c r="Q4" t="s">
        <v>268</v>
      </c>
      <c r="R4" t="s">
        <v>270</v>
      </c>
    </row>
    <row r="5" spans="1:18">
      <c r="A5" s="2">
        <f>A4+1</f>
        <v>45659</v>
      </c>
      <c r="B5">
        <f t="shared" ref="B5:B68" si="0">WEEKDAY(A5,2)</f>
        <v>4</v>
      </c>
      <c r="C5">
        <f>IF(AND(B5=6,$B$2&lt;&gt;$I$3,$B$2&lt;&gt;$I$5),1,0)</f>
        <v>0</v>
      </c>
      <c r="D5">
        <f t="shared" ref="D5:D68" si="1">IF(AND(B5=7,$B$2&lt;&gt;$I$3),1,0)</f>
        <v>0</v>
      </c>
      <c r="E5">
        <f>IF($B$2&lt;&gt;$I$3,COUNTIF(Tab_fériés[date],A5),0)</f>
        <v>0</v>
      </c>
      <c r="F5">
        <f t="shared" ref="F5:F68" si="2">IFERROR(IF(SUM(C5:E5)&gt;0,1,0),0)</f>
        <v>0</v>
      </c>
      <c r="I5" t="s">
        <v>216</v>
      </c>
      <c r="O5" s="2">
        <v>37742</v>
      </c>
      <c r="P5">
        <v>2003</v>
      </c>
      <c r="Q5" t="s">
        <v>268</v>
      </c>
      <c r="R5" t="s">
        <v>271</v>
      </c>
    </row>
    <row r="6" spans="1:18">
      <c r="A6" s="2">
        <f t="shared" ref="A6:A69" si="3">A5+1</f>
        <v>45660</v>
      </c>
      <c r="B6">
        <f t="shared" si="0"/>
        <v>5</v>
      </c>
      <c r="C6">
        <f t="shared" ref="C6:C69" si="4">IF(AND(B6=6,$B$2&lt;&gt;$I$3,$B$2&lt;&gt;$I$5),1,0)</f>
        <v>0</v>
      </c>
      <c r="D6">
        <f t="shared" si="1"/>
        <v>0</v>
      </c>
      <c r="E6">
        <f>IF($B$2&lt;&gt;$I$3,COUNTIF(Tab_fériés[date],A6),0)</f>
        <v>0</v>
      </c>
      <c r="F6">
        <f t="shared" si="2"/>
        <v>0</v>
      </c>
      <c r="I6" t="s">
        <v>272</v>
      </c>
      <c r="O6" s="2">
        <v>37749</v>
      </c>
      <c r="P6">
        <v>2003</v>
      </c>
      <c r="Q6" t="s">
        <v>268</v>
      </c>
      <c r="R6" s="137">
        <v>45054</v>
      </c>
    </row>
    <row r="7" spans="1:18">
      <c r="A7" s="2">
        <f t="shared" si="3"/>
        <v>45661</v>
      </c>
      <c r="B7">
        <f t="shared" si="0"/>
        <v>6</v>
      </c>
      <c r="C7">
        <f t="shared" si="4"/>
        <v>0</v>
      </c>
      <c r="D7">
        <f t="shared" si="1"/>
        <v>0</v>
      </c>
      <c r="E7">
        <f>IF($B$2&lt;&gt;$I$3,COUNTIF(Tab_fériés[date],A7),0)</f>
        <v>0</v>
      </c>
      <c r="F7">
        <f t="shared" si="2"/>
        <v>0</v>
      </c>
      <c r="I7" t="s">
        <v>273</v>
      </c>
      <c r="O7" s="2">
        <v>37770</v>
      </c>
      <c r="P7">
        <v>2003</v>
      </c>
      <c r="Q7" t="s">
        <v>268</v>
      </c>
      <c r="R7" t="s">
        <v>274</v>
      </c>
    </row>
    <row r="8" spans="1:18">
      <c r="A8" s="2">
        <f t="shared" si="3"/>
        <v>45662</v>
      </c>
      <c r="B8">
        <f t="shared" si="0"/>
        <v>7</v>
      </c>
      <c r="C8">
        <f t="shared" si="4"/>
        <v>0</v>
      </c>
      <c r="D8">
        <f t="shared" si="1"/>
        <v>0</v>
      </c>
      <c r="E8">
        <f>IF($B$2&lt;&gt;$I$3,COUNTIF(Tab_fériés[date],A8),0)</f>
        <v>0</v>
      </c>
      <c r="F8">
        <f t="shared" si="2"/>
        <v>0</v>
      </c>
      <c r="O8" s="2">
        <v>37781</v>
      </c>
      <c r="P8">
        <v>2003</v>
      </c>
      <c r="Q8" t="s">
        <v>268</v>
      </c>
      <c r="R8" t="s">
        <v>275</v>
      </c>
    </row>
    <row r="9" spans="1:18">
      <c r="A9" s="2">
        <f t="shared" si="3"/>
        <v>45663</v>
      </c>
      <c r="B9">
        <f t="shared" si="0"/>
        <v>1</v>
      </c>
      <c r="C9">
        <f t="shared" si="4"/>
        <v>0</v>
      </c>
      <c r="D9">
        <f t="shared" si="1"/>
        <v>0</v>
      </c>
      <c r="E9">
        <f>IF($B$2&lt;&gt;$I$3,COUNTIF(Tab_fériés[date],A9),0)</f>
        <v>0</v>
      </c>
      <c r="F9">
        <f t="shared" si="2"/>
        <v>0</v>
      </c>
      <c r="O9" s="2">
        <v>37816</v>
      </c>
      <c r="P9">
        <v>2003</v>
      </c>
      <c r="Q9" t="s">
        <v>268</v>
      </c>
      <c r="R9" s="137">
        <v>45121</v>
      </c>
    </row>
    <row r="10" spans="1:18">
      <c r="A10" s="2">
        <f t="shared" si="3"/>
        <v>45664</v>
      </c>
      <c r="B10">
        <f t="shared" si="0"/>
        <v>2</v>
      </c>
      <c r="C10">
        <f t="shared" si="4"/>
        <v>0</v>
      </c>
      <c r="D10">
        <f t="shared" si="1"/>
        <v>0</v>
      </c>
      <c r="E10">
        <f>IF($B$2&lt;&gt;$I$3,COUNTIF(Tab_fériés[date],A10),0)</f>
        <v>0</v>
      </c>
      <c r="F10">
        <f t="shared" si="2"/>
        <v>0</v>
      </c>
      <c r="I10" t="s">
        <v>276</v>
      </c>
      <c r="K10">
        <f>SUM(F4:F369)</f>
        <v>0</v>
      </c>
      <c r="O10" s="2">
        <v>37848</v>
      </c>
      <c r="P10">
        <v>2003</v>
      </c>
      <c r="Q10" t="s">
        <v>268</v>
      </c>
      <c r="R10" t="s">
        <v>277</v>
      </c>
    </row>
    <row r="11" spans="1:18">
      <c r="A11" s="2">
        <f t="shared" si="3"/>
        <v>45665</v>
      </c>
      <c r="B11">
        <f t="shared" si="0"/>
        <v>3</v>
      </c>
      <c r="C11">
        <f t="shared" si="4"/>
        <v>0</v>
      </c>
      <c r="D11">
        <f t="shared" si="1"/>
        <v>0</v>
      </c>
      <c r="E11">
        <f>IF($B$2&lt;&gt;$I$3,COUNTIF(Tab_fériés[date],A11),0)</f>
        <v>0</v>
      </c>
      <c r="F11">
        <f t="shared" si="2"/>
        <v>0</v>
      </c>
      <c r="O11" s="2">
        <v>37926</v>
      </c>
      <c r="P11">
        <v>2003</v>
      </c>
      <c r="Q11" t="s">
        <v>268</v>
      </c>
      <c r="R11" t="s">
        <v>278</v>
      </c>
    </row>
    <row r="12" spans="1:18">
      <c r="A12" s="2">
        <f t="shared" si="3"/>
        <v>45666</v>
      </c>
      <c r="B12">
        <f t="shared" si="0"/>
        <v>4</v>
      </c>
      <c r="C12">
        <f t="shared" si="4"/>
        <v>0</v>
      </c>
      <c r="D12">
        <f t="shared" si="1"/>
        <v>0</v>
      </c>
      <c r="E12">
        <f>IF($B$2&lt;&gt;$I$3,COUNTIF(Tab_fériés[date],A12),0)</f>
        <v>0</v>
      </c>
      <c r="F12">
        <f t="shared" si="2"/>
        <v>0</v>
      </c>
      <c r="O12" s="2">
        <v>37936</v>
      </c>
      <c r="P12">
        <v>2003</v>
      </c>
      <c r="Q12" t="s">
        <v>268</v>
      </c>
      <c r="R12" s="137">
        <v>45241</v>
      </c>
    </row>
    <row r="13" spans="1:18">
      <c r="A13" s="2">
        <f t="shared" si="3"/>
        <v>45667</v>
      </c>
      <c r="B13">
        <f t="shared" si="0"/>
        <v>5</v>
      </c>
      <c r="C13">
        <f t="shared" si="4"/>
        <v>0</v>
      </c>
      <c r="D13">
        <f t="shared" si="1"/>
        <v>0</v>
      </c>
      <c r="E13">
        <f>IF($B$2&lt;&gt;$I$3,COUNTIF(Tab_fériés[date],A13),0)</f>
        <v>0</v>
      </c>
      <c r="F13">
        <f t="shared" si="2"/>
        <v>0</v>
      </c>
      <c r="O13" s="2">
        <v>37980</v>
      </c>
      <c r="P13">
        <v>2003</v>
      </c>
      <c r="Q13" t="s">
        <v>268</v>
      </c>
      <c r="R13" t="s">
        <v>279</v>
      </c>
    </row>
    <row r="14" spans="1:18">
      <c r="A14" s="2">
        <f t="shared" si="3"/>
        <v>45668</v>
      </c>
      <c r="B14">
        <f t="shared" si="0"/>
        <v>6</v>
      </c>
      <c r="C14">
        <f t="shared" si="4"/>
        <v>0</v>
      </c>
      <c r="D14">
        <f t="shared" si="1"/>
        <v>0</v>
      </c>
      <c r="E14">
        <f>IF($B$2&lt;&gt;$I$3,COUNTIF(Tab_fériés[date],A14),0)</f>
        <v>0</v>
      </c>
      <c r="F14">
        <f t="shared" si="2"/>
        <v>0</v>
      </c>
      <c r="O14" s="2">
        <v>37987</v>
      </c>
      <c r="P14">
        <v>2004</v>
      </c>
      <c r="Q14" t="s">
        <v>268</v>
      </c>
      <c r="R14" t="s">
        <v>269</v>
      </c>
    </row>
    <row r="15" spans="1:18">
      <c r="A15" s="2">
        <f t="shared" si="3"/>
        <v>45669</v>
      </c>
      <c r="B15">
        <f t="shared" si="0"/>
        <v>7</v>
      </c>
      <c r="C15">
        <f t="shared" si="4"/>
        <v>0</v>
      </c>
      <c r="D15">
        <f t="shared" si="1"/>
        <v>0</v>
      </c>
      <c r="E15">
        <f>IF($B$2&lt;&gt;$I$3,COUNTIF(Tab_fériés[date],A15),0)</f>
        <v>0</v>
      </c>
      <c r="F15">
        <f t="shared" si="2"/>
        <v>0</v>
      </c>
      <c r="O15" s="2">
        <v>38089</v>
      </c>
      <c r="P15">
        <v>2004</v>
      </c>
      <c r="Q15" t="s">
        <v>268</v>
      </c>
      <c r="R15" t="s">
        <v>270</v>
      </c>
    </row>
    <row r="16" spans="1:18">
      <c r="A16" s="2">
        <f t="shared" si="3"/>
        <v>45670</v>
      </c>
      <c r="B16">
        <f t="shared" si="0"/>
        <v>1</v>
      </c>
      <c r="C16">
        <f t="shared" si="4"/>
        <v>0</v>
      </c>
      <c r="D16">
        <f t="shared" si="1"/>
        <v>0</v>
      </c>
      <c r="E16">
        <f>IF($B$2&lt;&gt;$I$3,COUNTIF(Tab_fériés[date],A16),0)</f>
        <v>0</v>
      </c>
      <c r="F16">
        <f t="shared" si="2"/>
        <v>0</v>
      </c>
      <c r="O16" s="2">
        <v>38108</v>
      </c>
      <c r="P16">
        <v>2004</v>
      </c>
      <c r="Q16" t="s">
        <v>268</v>
      </c>
      <c r="R16" t="s">
        <v>271</v>
      </c>
    </row>
    <row r="17" spans="1:18">
      <c r="A17" s="2">
        <f t="shared" si="3"/>
        <v>45671</v>
      </c>
      <c r="B17">
        <f t="shared" si="0"/>
        <v>2</v>
      </c>
      <c r="C17">
        <f t="shared" si="4"/>
        <v>0</v>
      </c>
      <c r="D17">
        <f t="shared" si="1"/>
        <v>0</v>
      </c>
      <c r="E17">
        <f>IF($B$2&lt;&gt;$I$3,COUNTIF(Tab_fériés[date],A17),0)</f>
        <v>0</v>
      </c>
      <c r="F17">
        <f t="shared" si="2"/>
        <v>0</v>
      </c>
      <c r="O17" s="2">
        <v>38115</v>
      </c>
      <c r="P17">
        <v>2004</v>
      </c>
      <c r="Q17" t="s">
        <v>268</v>
      </c>
      <c r="R17" s="137">
        <v>45054</v>
      </c>
    </row>
    <row r="18" spans="1:18">
      <c r="A18" s="2">
        <f t="shared" si="3"/>
        <v>45672</v>
      </c>
      <c r="B18">
        <f t="shared" si="0"/>
        <v>3</v>
      </c>
      <c r="C18">
        <f t="shared" si="4"/>
        <v>0</v>
      </c>
      <c r="D18">
        <f t="shared" si="1"/>
        <v>0</v>
      </c>
      <c r="E18">
        <f>IF($B$2&lt;&gt;$I$3,COUNTIF(Tab_fériés[date],A18),0)</f>
        <v>0</v>
      </c>
      <c r="F18">
        <f t="shared" si="2"/>
        <v>0</v>
      </c>
      <c r="O18" s="2">
        <v>38127</v>
      </c>
      <c r="P18">
        <v>2004</v>
      </c>
      <c r="Q18" t="s">
        <v>268</v>
      </c>
      <c r="R18" t="s">
        <v>274</v>
      </c>
    </row>
    <row r="19" spans="1:18">
      <c r="A19" s="2">
        <f t="shared" si="3"/>
        <v>45673</v>
      </c>
      <c r="B19">
        <f t="shared" si="0"/>
        <v>4</v>
      </c>
      <c r="C19">
        <f t="shared" si="4"/>
        <v>0</v>
      </c>
      <c r="D19">
        <f t="shared" si="1"/>
        <v>0</v>
      </c>
      <c r="E19">
        <f>IF($B$2&lt;&gt;$I$3,COUNTIF(Tab_fériés[date],A19),0)</f>
        <v>0</v>
      </c>
      <c r="F19">
        <f t="shared" si="2"/>
        <v>0</v>
      </c>
      <c r="O19" s="2">
        <v>38138</v>
      </c>
      <c r="P19">
        <v>2004</v>
      </c>
      <c r="Q19" t="s">
        <v>268</v>
      </c>
      <c r="R19" t="s">
        <v>275</v>
      </c>
    </row>
    <row r="20" spans="1:18">
      <c r="A20" s="2">
        <f t="shared" si="3"/>
        <v>45674</v>
      </c>
      <c r="B20">
        <f t="shared" si="0"/>
        <v>5</v>
      </c>
      <c r="C20">
        <f t="shared" si="4"/>
        <v>0</v>
      </c>
      <c r="D20">
        <f t="shared" si="1"/>
        <v>0</v>
      </c>
      <c r="E20">
        <f>IF($B$2&lt;&gt;$I$3,COUNTIF(Tab_fériés[date],A20),0)</f>
        <v>0</v>
      </c>
      <c r="F20">
        <f t="shared" si="2"/>
        <v>0</v>
      </c>
      <c r="O20" s="2">
        <v>38182</v>
      </c>
      <c r="P20">
        <v>2004</v>
      </c>
      <c r="Q20" t="s">
        <v>268</v>
      </c>
      <c r="R20" s="137">
        <v>45121</v>
      </c>
    </row>
    <row r="21" spans="1:18">
      <c r="A21" s="2">
        <f t="shared" si="3"/>
        <v>45675</v>
      </c>
      <c r="B21">
        <f t="shared" si="0"/>
        <v>6</v>
      </c>
      <c r="C21">
        <f t="shared" si="4"/>
        <v>0</v>
      </c>
      <c r="D21">
        <f t="shared" si="1"/>
        <v>0</v>
      </c>
      <c r="E21">
        <f>IF($B$2&lt;&gt;$I$3,COUNTIF(Tab_fériés[date],A21),0)</f>
        <v>0</v>
      </c>
      <c r="F21">
        <f t="shared" si="2"/>
        <v>0</v>
      </c>
      <c r="O21" s="2">
        <v>38214</v>
      </c>
      <c r="P21">
        <v>2004</v>
      </c>
      <c r="Q21" t="s">
        <v>268</v>
      </c>
      <c r="R21" t="s">
        <v>277</v>
      </c>
    </row>
    <row r="22" spans="1:18">
      <c r="A22" s="2">
        <f t="shared" si="3"/>
        <v>45676</v>
      </c>
      <c r="B22">
        <f t="shared" si="0"/>
        <v>7</v>
      </c>
      <c r="C22">
        <f t="shared" si="4"/>
        <v>0</v>
      </c>
      <c r="D22">
        <f t="shared" si="1"/>
        <v>0</v>
      </c>
      <c r="E22">
        <f>IF($B$2&lt;&gt;$I$3,COUNTIF(Tab_fériés[date],A22),0)</f>
        <v>0</v>
      </c>
      <c r="F22">
        <f t="shared" si="2"/>
        <v>0</v>
      </c>
      <c r="O22" s="2">
        <v>38292</v>
      </c>
      <c r="P22">
        <v>2004</v>
      </c>
      <c r="Q22" t="s">
        <v>268</v>
      </c>
      <c r="R22" t="s">
        <v>278</v>
      </c>
    </row>
    <row r="23" spans="1:18">
      <c r="A23" s="2">
        <f t="shared" si="3"/>
        <v>45677</v>
      </c>
      <c r="B23">
        <f t="shared" si="0"/>
        <v>1</v>
      </c>
      <c r="C23">
        <f t="shared" si="4"/>
        <v>0</v>
      </c>
      <c r="D23">
        <f t="shared" si="1"/>
        <v>0</v>
      </c>
      <c r="E23">
        <f>IF($B$2&lt;&gt;$I$3,COUNTIF(Tab_fériés[date],A23),0)</f>
        <v>0</v>
      </c>
      <c r="F23">
        <f t="shared" si="2"/>
        <v>0</v>
      </c>
      <c r="O23" s="2">
        <v>38302</v>
      </c>
      <c r="P23">
        <v>2004</v>
      </c>
      <c r="Q23" t="s">
        <v>268</v>
      </c>
      <c r="R23" s="137">
        <v>45241</v>
      </c>
    </row>
    <row r="24" spans="1:18">
      <c r="A24" s="2">
        <f t="shared" si="3"/>
        <v>45678</v>
      </c>
      <c r="B24">
        <f t="shared" si="0"/>
        <v>2</v>
      </c>
      <c r="C24">
        <f t="shared" si="4"/>
        <v>0</v>
      </c>
      <c r="D24">
        <f t="shared" si="1"/>
        <v>0</v>
      </c>
      <c r="E24">
        <f>IF($B$2&lt;&gt;$I$3,COUNTIF(Tab_fériés[date],A24),0)</f>
        <v>0</v>
      </c>
      <c r="F24">
        <f t="shared" si="2"/>
        <v>0</v>
      </c>
      <c r="O24" s="2">
        <v>38346</v>
      </c>
      <c r="P24">
        <v>2004</v>
      </c>
      <c r="Q24" t="s">
        <v>268</v>
      </c>
      <c r="R24" t="s">
        <v>279</v>
      </c>
    </row>
    <row r="25" spans="1:18">
      <c r="A25" s="2">
        <f t="shared" si="3"/>
        <v>45679</v>
      </c>
      <c r="B25">
        <f t="shared" si="0"/>
        <v>3</v>
      </c>
      <c r="C25">
        <f t="shared" si="4"/>
        <v>0</v>
      </c>
      <c r="D25">
        <f t="shared" si="1"/>
        <v>0</v>
      </c>
      <c r="E25">
        <f>IF($B$2&lt;&gt;$I$3,COUNTIF(Tab_fériés[date],A25),0)</f>
        <v>0</v>
      </c>
      <c r="F25">
        <f t="shared" si="2"/>
        <v>0</v>
      </c>
      <c r="O25" s="2">
        <v>38353</v>
      </c>
      <c r="P25">
        <v>2005</v>
      </c>
      <c r="Q25" t="s">
        <v>268</v>
      </c>
      <c r="R25" t="s">
        <v>269</v>
      </c>
    </row>
    <row r="26" spans="1:18">
      <c r="A26" s="2">
        <f t="shared" si="3"/>
        <v>45680</v>
      </c>
      <c r="B26">
        <f t="shared" si="0"/>
        <v>4</v>
      </c>
      <c r="C26">
        <f t="shared" si="4"/>
        <v>0</v>
      </c>
      <c r="D26">
        <f t="shared" si="1"/>
        <v>0</v>
      </c>
      <c r="E26">
        <f>IF($B$2&lt;&gt;$I$3,COUNTIF(Tab_fériés[date],A26),0)</f>
        <v>0</v>
      </c>
      <c r="F26">
        <f t="shared" si="2"/>
        <v>0</v>
      </c>
      <c r="O26" s="2">
        <v>38439</v>
      </c>
      <c r="P26">
        <v>2005</v>
      </c>
      <c r="Q26" t="s">
        <v>268</v>
      </c>
      <c r="R26" t="s">
        <v>270</v>
      </c>
    </row>
    <row r="27" spans="1:18">
      <c r="A27" s="2">
        <f t="shared" si="3"/>
        <v>45681</v>
      </c>
      <c r="B27">
        <f t="shared" si="0"/>
        <v>5</v>
      </c>
      <c r="C27">
        <f t="shared" si="4"/>
        <v>0</v>
      </c>
      <c r="D27">
        <f t="shared" si="1"/>
        <v>0</v>
      </c>
      <c r="E27">
        <f>IF($B$2&lt;&gt;$I$3,COUNTIF(Tab_fériés[date],A27),0)</f>
        <v>0</v>
      </c>
      <c r="F27">
        <f t="shared" si="2"/>
        <v>0</v>
      </c>
      <c r="O27" s="2">
        <v>38473</v>
      </c>
      <c r="P27">
        <v>2005</v>
      </c>
      <c r="Q27" t="s">
        <v>268</v>
      </c>
      <c r="R27" t="s">
        <v>271</v>
      </c>
    </row>
    <row r="28" spans="1:18">
      <c r="A28" s="2">
        <f t="shared" si="3"/>
        <v>45682</v>
      </c>
      <c r="B28">
        <f t="shared" si="0"/>
        <v>6</v>
      </c>
      <c r="C28">
        <f t="shared" si="4"/>
        <v>0</v>
      </c>
      <c r="D28">
        <f t="shared" si="1"/>
        <v>0</v>
      </c>
      <c r="E28">
        <f>IF($B$2&lt;&gt;$I$3,COUNTIF(Tab_fériés[date],A28),0)</f>
        <v>0</v>
      </c>
      <c r="F28">
        <f t="shared" si="2"/>
        <v>0</v>
      </c>
      <c r="O28" s="2">
        <v>38477</v>
      </c>
      <c r="P28">
        <v>2005</v>
      </c>
      <c r="Q28" t="s">
        <v>268</v>
      </c>
      <c r="R28" t="s">
        <v>274</v>
      </c>
    </row>
    <row r="29" spans="1:18">
      <c r="A29" s="2">
        <f t="shared" si="3"/>
        <v>45683</v>
      </c>
      <c r="B29">
        <f t="shared" si="0"/>
        <v>7</v>
      </c>
      <c r="C29">
        <f t="shared" si="4"/>
        <v>0</v>
      </c>
      <c r="D29">
        <f t="shared" si="1"/>
        <v>0</v>
      </c>
      <c r="E29">
        <f>IF($B$2&lt;&gt;$I$3,COUNTIF(Tab_fériés[date],A29),0)</f>
        <v>0</v>
      </c>
      <c r="F29">
        <f t="shared" si="2"/>
        <v>0</v>
      </c>
      <c r="O29" s="2">
        <v>38480</v>
      </c>
      <c r="P29">
        <v>2005</v>
      </c>
      <c r="Q29" t="s">
        <v>268</v>
      </c>
      <c r="R29" s="137">
        <v>45054</v>
      </c>
    </row>
    <row r="30" spans="1:18">
      <c r="A30" s="2">
        <f t="shared" si="3"/>
        <v>45684</v>
      </c>
      <c r="B30">
        <f t="shared" si="0"/>
        <v>1</v>
      </c>
      <c r="C30">
        <f t="shared" si="4"/>
        <v>0</v>
      </c>
      <c r="D30">
        <f t="shared" si="1"/>
        <v>0</v>
      </c>
      <c r="E30">
        <f>IF($B$2&lt;&gt;$I$3,COUNTIF(Tab_fériés[date],A30),0)</f>
        <v>0</v>
      </c>
      <c r="F30">
        <f t="shared" si="2"/>
        <v>0</v>
      </c>
      <c r="O30" s="2">
        <v>38488</v>
      </c>
      <c r="P30">
        <v>2005</v>
      </c>
      <c r="Q30" t="s">
        <v>268</v>
      </c>
      <c r="R30" t="s">
        <v>275</v>
      </c>
    </row>
    <row r="31" spans="1:18">
      <c r="A31" s="2">
        <f t="shared" si="3"/>
        <v>45685</v>
      </c>
      <c r="B31">
        <f t="shared" si="0"/>
        <v>2</v>
      </c>
      <c r="C31">
        <f t="shared" si="4"/>
        <v>0</v>
      </c>
      <c r="D31">
        <f t="shared" si="1"/>
        <v>0</v>
      </c>
      <c r="E31">
        <f>IF($B$2&lt;&gt;$I$3,COUNTIF(Tab_fériés[date],A31),0)</f>
        <v>0</v>
      </c>
      <c r="F31">
        <f t="shared" si="2"/>
        <v>0</v>
      </c>
      <c r="O31" s="2">
        <v>38547</v>
      </c>
      <c r="P31">
        <v>2005</v>
      </c>
      <c r="Q31" t="s">
        <v>268</v>
      </c>
      <c r="R31" s="137">
        <v>45121</v>
      </c>
    </row>
    <row r="32" spans="1:18">
      <c r="A32" s="2">
        <f t="shared" si="3"/>
        <v>45686</v>
      </c>
      <c r="B32">
        <f t="shared" si="0"/>
        <v>3</v>
      </c>
      <c r="C32">
        <f t="shared" si="4"/>
        <v>0</v>
      </c>
      <c r="D32">
        <f t="shared" si="1"/>
        <v>0</v>
      </c>
      <c r="E32">
        <f>IF($B$2&lt;&gt;$I$3,COUNTIF(Tab_fériés[date],A32),0)</f>
        <v>0</v>
      </c>
      <c r="F32">
        <f t="shared" si="2"/>
        <v>0</v>
      </c>
      <c r="O32" s="2">
        <v>38579</v>
      </c>
      <c r="P32">
        <v>2005</v>
      </c>
      <c r="Q32" t="s">
        <v>268</v>
      </c>
      <c r="R32" t="s">
        <v>277</v>
      </c>
    </row>
    <row r="33" spans="1:18">
      <c r="A33" s="2">
        <f t="shared" si="3"/>
        <v>45687</v>
      </c>
      <c r="B33">
        <f t="shared" si="0"/>
        <v>4</v>
      </c>
      <c r="C33">
        <f t="shared" si="4"/>
        <v>0</v>
      </c>
      <c r="D33">
        <f t="shared" si="1"/>
        <v>0</v>
      </c>
      <c r="E33">
        <f>IF($B$2&lt;&gt;$I$3,COUNTIF(Tab_fériés[date],A33),0)</f>
        <v>0</v>
      </c>
      <c r="F33">
        <f t="shared" si="2"/>
        <v>0</v>
      </c>
      <c r="O33" s="2">
        <v>38657</v>
      </c>
      <c r="P33">
        <v>2005</v>
      </c>
      <c r="Q33" t="s">
        <v>268</v>
      </c>
      <c r="R33" t="s">
        <v>278</v>
      </c>
    </row>
    <row r="34" spans="1:18">
      <c r="A34" s="2">
        <f t="shared" si="3"/>
        <v>45688</v>
      </c>
      <c r="B34">
        <f t="shared" si="0"/>
        <v>5</v>
      </c>
      <c r="C34">
        <f t="shared" si="4"/>
        <v>0</v>
      </c>
      <c r="D34">
        <f t="shared" si="1"/>
        <v>0</v>
      </c>
      <c r="E34">
        <f>IF($B$2&lt;&gt;$I$3,COUNTIF(Tab_fériés[date],A34),0)</f>
        <v>0</v>
      </c>
      <c r="F34">
        <f t="shared" si="2"/>
        <v>0</v>
      </c>
      <c r="O34" s="2">
        <v>38667</v>
      </c>
      <c r="P34">
        <v>2005</v>
      </c>
      <c r="Q34" t="s">
        <v>268</v>
      </c>
      <c r="R34" s="137">
        <v>45241</v>
      </c>
    </row>
    <row r="35" spans="1:18">
      <c r="A35" s="2">
        <f t="shared" si="3"/>
        <v>45689</v>
      </c>
      <c r="B35">
        <f t="shared" si="0"/>
        <v>6</v>
      </c>
      <c r="C35">
        <f t="shared" si="4"/>
        <v>0</v>
      </c>
      <c r="D35">
        <f t="shared" si="1"/>
        <v>0</v>
      </c>
      <c r="E35">
        <f>IF($B$2&lt;&gt;$I$3,COUNTIF(Tab_fériés[date],A35),0)</f>
        <v>0</v>
      </c>
      <c r="F35">
        <f t="shared" si="2"/>
        <v>0</v>
      </c>
      <c r="O35" s="2">
        <v>38711</v>
      </c>
      <c r="P35">
        <v>2005</v>
      </c>
      <c r="Q35" t="s">
        <v>268</v>
      </c>
      <c r="R35" t="s">
        <v>279</v>
      </c>
    </row>
    <row r="36" spans="1:18">
      <c r="A36" s="2">
        <f t="shared" si="3"/>
        <v>45690</v>
      </c>
      <c r="B36">
        <f t="shared" si="0"/>
        <v>7</v>
      </c>
      <c r="C36">
        <f t="shared" si="4"/>
        <v>0</v>
      </c>
      <c r="D36">
        <f t="shared" si="1"/>
        <v>0</v>
      </c>
      <c r="E36">
        <f>IF($B$2&lt;&gt;$I$3,COUNTIF(Tab_fériés[date],A36),0)</f>
        <v>0</v>
      </c>
      <c r="F36">
        <f t="shared" si="2"/>
        <v>0</v>
      </c>
      <c r="O36" s="2">
        <v>38718</v>
      </c>
      <c r="P36">
        <v>2006</v>
      </c>
      <c r="Q36" t="s">
        <v>268</v>
      </c>
      <c r="R36" t="s">
        <v>269</v>
      </c>
    </row>
    <row r="37" spans="1:18">
      <c r="A37" s="2">
        <f t="shared" si="3"/>
        <v>45691</v>
      </c>
      <c r="B37">
        <f t="shared" si="0"/>
        <v>1</v>
      </c>
      <c r="C37">
        <f t="shared" si="4"/>
        <v>0</v>
      </c>
      <c r="D37">
        <f t="shared" si="1"/>
        <v>0</v>
      </c>
      <c r="E37">
        <f>IF($B$2&lt;&gt;$I$3,COUNTIF(Tab_fériés[date],A37),0)</f>
        <v>0</v>
      </c>
      <c r="F37">
        <f t="shared" si="2"/>
        <v>0</v>
      </c>
      <c r="O37" s="2">
        <v>38824</v>
      </c>
      <c r="P37">
        <v>2006</v>
      </c>
      <c r="Q37" t="s">
        <v>268</v>
      </c>
      <c r="R37" t="s">
        <v>270</v>
      </c>
    </row>
    <row r="38" spans="1:18">
      <c r="A38" s="2">
        <f t="shared" si="3"/>
        <v>45692</v>
      </c>
      <c r="B38">
        <f t="shared" si="0"/>
        <v>2</v>
      </c>
      <c r="C38">
        <f t="shared" si="4"/>
        <v>0</v>
      </c>
      <c r="D38">
        <f t="shared" si="1"/>
        <v>0</v>
      </c>
      <c r="E38">
        <f>IF($B$2&lt;&gt;$I$3,COUNTIF(Tab_fériés[date],A38),0)</f>
        <v>0</v>
      </c>
      <c r="F38">
        <f t="shared" si="2"/>
        <v>0</v>
      </c>
      <c r="O38" s="2">
        <v>38838</v>
      </c>
      <c r="P38">
        <v>2006</v>
      </c>
      <c r="Q38" t="s">
        <v>268</v>
      </c>
      <c r="R38" t="s">
        <v>271</v>
      </c>
    </row>
    <row r="39" spans="1:18">
      <c r="A39" s="2">
        <f t="shared" si="3"/>
        <v>45693</v>
      </c>
      <c r="B39">
        <f t="shared" si="0"/>
        <v>3</v>
      </c>
      <c r="C39">
        <f t="shared" si="4"/>
        <v>0</v>
      </c>
      <c r="D39">
        <f t="shared" si="1"/>
        <v>0</v>
      </c>
      <c r="E39">
        <f>IF($B$2&lt;&gt;$I$3,COUNTIF(Tab_fériés[date],A39),0)</f>
        <v>0</v>
      </c>
      <c r="F39">
        <f t="shared" si="2"/>
        <v>0</v>
      </c>
      <c r="O39" s="2">
        <v>38845</v>
      </c>
      <c r="P39">
        <v>2006</v>
      </c>
      <c r="Q39" t="s">
        <v>268</v>
      </c>
      <c r="R39" s="137">
        <v>45054</v>
      </c>
    </row>
    <row r="40" spans="1:18">
      <c r="A40" s="2">
        <f t="shared" si="3"/>
        <v>45694</v>
      </c>
      <c r="B40">
        <f t="shared" si="0"/>
        <v>4</v>
      </c>
      <c r="C40">
        <f t="shared" si="4"/>
        <v>0</v>
      </c>
      <c r="D40">
        <f t="shared" si="1"/>
        <v>0</v>
      </c>
      <c r="E40">
        <f>IF($B$2&lt;&gt;$I$3,COUNTIF(Tab_fériés[date],A40),0)</f>
        <v>0</v>
      </c>
      <c r="F40">
        <f t="shared" si="2"/>
        <v>0</v>
      </c>
      <c r="O40" s="2">
        <v>38862</v>
      </c>
      <c r="P40">
        <v>2006</v>
      </c>
      <c r="Q40" t="s">
        <v>268</v>
      </c>
      <c r="R40" t="s">
        <v>274</v>
      </c>
    </row>
    <row r="41" spans="1:18">
      <c r="A41" s="2">
        <f t="shared" si="3"/>
        <v>45695</v>
      </c>
      <c r="B41">
        <f t="shared" si="0"/>
        <v>5</v>
      </c>
      <c r="C41">
        <f t="shared" si="4"/>
        <v>0</v>
      </c>
      <c r="D41">
        <f t="shared" si="1"/>
        <v>0</v>
      </c>
      <c r="E41">
        <f>IF($B$2&lt;&gt;$I$3,COUNTIF(Tab_fériés[date],A41),0)</f>
        <v>0</v>
      </c>
      <c r="F41">
        <f t="shared" si="2"/>
        <v>0</v>
      </c>
      <c r="O41" s="2">
        <v>38873</v>
      </c>
      <c r="P41">
        <v>2006</v>
      </c>
      <c r="Q41" t="s">
        <v>268</v>
      </c>
      <c r="R41" t="s">
        <v>275</v>
      </c>
    </row>
    <row r="42" spans="1:18">
      <c r="A42" s="2">
        <f t="shared" si="3"/>
        <v>45696</v>
      </c>
      <c r="B42">
        <f t="shared" si="0"/>
        <v>6</v>
      </c>
      <c r="C42">
        <f t="shared" si="4"/>
        <v>0</v>
      </c>
      <c r="D42">
        <f t="shared" si="1"/>
        <v>0</v>
      </c>
      <c r="E42">
        <f>IF($B$2&lt;&gt;$I$3,COUNTIF(Tab_fériés[date],A42),0)</f>
        <v>0</v>
      </c>
      <c r="F42">
        <f t="shared" si="2"/>
        <v>0</v>
      </c>
      <c r="O42" s="2">
        <v>38912</v>
      </c>
      <c r="P42">
        <v>2006</v>
      </c>
      <c r="Q42" t="s">
        <v>268</v>
      </c>
      <c r="R42" s="137">
        <v>45121</v>
      </c>
    </row>
    <row r="43" spans="1:18">
      <c r="A43" s="2">
        <f t="shared" si="3"/>
        <v>45697</v>
      </c>
      <c r="B43">
        <f t="shared" si="0"/>
        <v>7</v>
      </c>
      <c r="C43">
        <f t="shared" si="4"/>
        <v>0</v>
      </c>
      <c r="D43">
        <f t="shared" si="1"/>
        <v>0</v>
      </c>
      <c r="E43">
        <f>IF($B$2&lt;&gt;$I$3,COUNTIF(Tab_fériés[date],A43),0)</f>
        <v>0</v>
      </c>
      <c r="F43">
        <f t="shared" si="2"/>
        <v>0</v>
      </c>
      <c r="O43" s="2">
        <v>38944</v>
      </c>
      <c r="P43">
        <v>2006</v>
      </c>
      <c r="Q43" t="s">
        <v>268</v>
      </c>
      <c r="R43" t="s">
        <v>277</v>
      </c>
    </row>
    <row r="44" spans="1:18">
      <c r="A44" s="2">
        <f t="shared" si="3"/>
        <v>45698</v>
      </c>
      <c r="B44">
        <f t="shared" si="0"/>
        <v>1</v>
      </c>
      <c r="C44">
        <f t="shared" si="4"/>
        <v>0</v>
      </c>
      <c r="D44">
        <f t="shared" si="1"/>
        <v>0</v>
      </c>
      <c r="E44">
        <f>IF($B$2&lt;&gt;$I$3,COUNTIF(Tab_fériés[date],A44),0)</f>
        <v>0</v>
      </c>
      <c r="F44">
        <f t="shared" si="2"/>
        <v>0</v>
      </c>
      <c r="O44" s="2">
        <v>39022</v>
      </c>
      <c r="P44">
        <v>2006</v>
      </c>
      <c r="Q44" t="s">
        <v>268</v>
      </c>
      <c r="R44" t="s">
        <v>278</v>
      </c>
    </row>
    <row r="45" spans="1:18">
      <c r="A45" s="2">
        <f t="shared" si="3"/>
        <v>45699</v>
      </c>
      <c r="B45">
        <f t="shared" si="0"/>
        <v>2</v>
      </c>
      <c r="C45">
        <f t="shared" si="4"/>
        <v>0</v>
      </c>
      <c r="D45">
        <f t="shared" si="1"/>
        <v>0</v>
      </c>
      <c r="E45">
        <f>IF($B$2&lt;&gt;$I$3,COUNTIF(Tab_fériés[date],A45),0)</f>
        <v>0</v>
      </c>
      <c r="F45">
        <f t="shared" si="2"/>
        <v>0</v>
      </c>
      <c r="O45" s="2">
        <v>39032</v>
      </c>
      <c r="P45">
        <v>2006</v>
      </c>
      <c r="Q45" t="s">
        <v>268</v>
      </c>
      <c r="R45" s="137">
        <v>45241</v>
      </c>
    </row>
    <row r="46" spans="1:18">
      <c r="A46" s="2">
        <f t="shared" si="3"/>
        <v>45700</v>
      </c>
      <c r="B46">
        <f t="shared" si="0"/>
        <v>3</v>
      </c>
      <c r="C46">
        <f t="shared" si="4"/>
        <v>0</v>
      </c>
      <c r="D46">
        <f t="shared" si="1"/>
        <v>0</v>
      </c>
      <c r="E46">
        <f>IF($B$2&lt;&gt;$I$3,COUNTIF(Tab_fériés[date],A46),0)</f>
        <v>0</v>
      </c>
      <c r="F46">
        <f t="shared" si="2"/>
        <v>0</v>
      </c>
      <c r="O46" s="2">
        <v>39076</v>
      </c>
      <c r="P46">
        <v>2006</v>
      </c>
      <c r="Q46" t="s">
        <v>268</v>
      </c>
      <c r="R46" t="s">
        <v>279</v>
      </c>
    </row>
    <row r="47" spans="1:18">
      <c r="A47" s="2">
        <f t="shared" si="3"/>
        <v>45701</v>
      </c>
      <c r="B47">
        <f t="shared" si="0"/>
        <v>4</v>
      </c>
      <c r="C47">
        <f t="shared" si="4"/>
        <v>0</v>
      </c>
      <c r="D47">
        <f t="shared" si="1"/>
        <v>0</v>
      </c>
      <c r="E47">
        <f>IF($B$2&lt;&gt;$I$3,COUNTIF(Tab_fériés[date],A47),0)</f>
        <v>0</v>
      </c>
      <c r="F47">
        <f t="shared" si="2"/>
        <v>0</v>
      </c>
      <c r="O47" s="2">
        <v>39083</v>
      </c>
      <c r="P47">
        <v>2007</v>
      </c>
      <c r="Q47" t="s">
        <v>268</v>
      </c>
      <c r="R47" t="s">
        <v>269</v>
      </c>
    </row>
    <row r="48" spans="1:18">
      <c r="A48" s="2">
        <f t="shared" si="3"/>
        <v>45702</v>
      </c>
      <c r="B48">
        <f t="shared" si="0"/>
        <v>5</v>
      </c>
      <c r="C48">
        <f t="shared" si="4"/>
        <v>0</v>
      </c>
      <c r="D48">
        <f t="shared" si="1"/>
        <v>0</v>
      </c>
      <c r="E48">
        <f>IF($B$2&lt;&gt;$I$3,COUNTIF(Tab_fériés[date],A48),0)</f>
        <v>0</v>
      </c>
      <c r="F48">
        <f t="shared" si="2"/>
        <v>0</v>
      </c>
      <c r="O48" s="2">
        <v>39181</v>
      </c>
      <c r="P48">
        <v>2007</v>
      </c>
      <c r="Q48" t="s">
        <v>268</v>
      </c>
      <c r="R48" t="s">
        <v>270</v>
      </c>
    </row>
    <row r="49" spans="1:18">
      <c r="A49" s="2">
        <f t="shared" si="3"/>
        <v>45703</v>
      </c>
      <c r="B49">
        <f t="shared" si="0"/>
        <v>6</v>
      </c>
      <c r="C49">
        <f t="shared" si="4"/>
        <v>0</v>
      </c>
      <c r="D49">
        <f t="shared" si="1"/>
        <v>0</v>
      </c>
      <c r="E49">
        <f>IF($B$2&lt;&gt;$I$3,COUNTIF(Tab_fériés[date],A49),0)</f>
        <v>0</v>
      </c>
      <c r="F49">
        <f t="shared" si="2"/>
        <v>0</v>
      </c>
      <c r="O49" s="2">
        <v>39203</v>
      </c>
      <c r="P49">
        <v>2007</v>
      </c>
      <c r="Q49" t="s">
        <v>268</v>
      </c>
      <c r="R49" t="s">
        <v>271</v>
      </c>
    </row>
    <row r="50" spans="1:18">
      <c r="A50" s="2">
        <f t="shared" si="3"/>
        <v>45704</v>
      </c>
      <c r="B50">
        <f t="shared" si="0"/>
        <v>7</v>
      </c>
      <c r="C50">
        <f t="shared" si="4"/>
        <v>0</v>
      </c>
      <c r="D50">
        <f t="shared" si="1"/>
        <v>0</v>
      </c>
      <c r="E50">
        <f>IF($B$2&lt;&gt;$I$3,COUNTIF(Tab_fériés[date],A50),0)</f>
        <v>0</v>
      </c>
      <c r="F50">
        <f t="shared" si="2"/>
        <v>0</v>
      </c>
      <c r="O50" s="2">
        <v>39210</v>
      </c>
      <c r="P50">
        <v>2007</v>
      </c>
      <c r="Q50" t="s">
        <v>268</v>
      </c>
      <c r="R50" s="137">
        <v>45054</v>
      </c>
    </row>
    <row r="51" spans="1:18">
      <c r="A51" s="2">
        <f t="shared" si="3"/>
        <v>45705</v>
      </c>
      <c r="B51">
        <f t="shared" si="0"/>
        <v>1</v>
      </c>
      <c r="C51">
        <f t="shared" si="4"/>
        <v>0</v>
      </c>
      <c r="D51">
        <f t="shared" si="1"/>
        <v>0</v>
      </c>
      <c r="E51">
        <f>IF($B$2&lt;&gt;$I$3,COUNTIF(Tab_fériés[date],A51),0)</f>
        <v>0</v>
      </c>
      <c r="F51">
        <f t="shared" si="2"/>
        <v>0</v>
      </c>
      <c r="O51" s="2">
        <v>39219</v>
      </c>
      <c r="P51">
        <v>2007</v>
      </c>
      <c r="Q51" t="s">
        <v>268</v>
      </c>
      <c r="R51" t="s">
        <v>274</v>
      </c>
    </row>
    <row r="52" spans="1:18">
      <c r="A52" s="2">
        <f t="shared" si="3"/>
        <v>45706</v>
      </c>
      <c r="B52">
        <f t="shared" si="0"/>
        <v>2</v>
      </c>
      <c r="C52">
        <f t="shared" si="4"/>
        <v>0</v>
      </c>
      <c r="D52">
        <f t="shared" si="1"/>
        <v>0</v>
      </c>
      <c r="E52">
        <f>IF($B$2&lt;&gt;$I$3,COUNTIF(Tab_fériés[date],A52),0)</f>
        <v>0</v>
      </c>
      <c r="F52">
        <f t="shared" si="2"/>
        <v>0</v>
      </c>
      <c r="O52" s="2">
        <v>39230</v>
      </c>
      <c r="P52">
        <v>2007</v>
      </c>
      <c r="Q52" t="s">
        <v>268</v>
      </c>
      <c r="R52" t="s">
        <v>275</v>
      </c>
    </row>
    <row r="53" spans="1:18">
      <c r="A53" s="2">
        <f t="shared" si="3"/>
        <v>45707</v>
      </c>
      <c r="B53">
        <f t="shared" si="0"/>
        <v>3</v>
      </c>
      <c r="C53">
        <f t="shared" si="4"/>
        <v>0</v>
      </c>
      <c r="D53">
        <f t="shared" si="1"/>
        <v>0</v>
      </c>
      <c r="E53">
        <f>IF($B$2&lt;&gt;$I$3,COUNTIF(Tab_fériés[date],A53),0)</f>
        <v>0</v>
      </c>
      <c r="F53">
        <f t="shared" si="2"/>
        <v>0</v>
      </c>
      <c r="O53" s="2">
        <v>39277</v>
      </c>
      <c r="P53">
        <v>2007</v>
      </c>
      <c r="Q53" t="s">
        <v>268</v>
      </c>
      <c r="R53" s="137">
        <v>45121</v>
      </c>
    </row>
    <row r="54" spans="1:18">
      <c r="A54" s="2">
        <f t="shared" si="3"/>
        <v>45708</v>
      </c>
      <c r="B54">
        <f t="shared" si="0"/>
        <v>4</v>
      </c>
      <c r="C54">
        <f t="shared" si="4"/>
        <v>0</v>
      </c>
      <c r="D54">
        <f t="shared" si="1"/>
        <v>0</v>
      </c>
      <c r="E54">
        <f>IF($B$2&lt;&gt;$I$3,COUNTIF(Tab_fériés[date],A54),0)</f>
        <v>0</v>
      </c>
      <c r="F54">
        <f t="shared" si="2"/>
        <v>0</v>
      </c>
      <c r="O54" s="2">
        <v>39309</v>
      </c>
      <c r="P54">
        <v>2007</v>
      </c>
      <c r="Q54" t="s">
        <v>268</v>
      </c>
      <c r="R54" t="s">
        <v>277</v>
      </c>
    </row>
    <row r="55" spans="1:18">
      <c r="A55" s="2">
        <f t="shared" si="3"/>
        <v>45709</v>
      </c>
      <c r="B55">
        <f t="shared" si="0"/>
        <v>5</v>
      </c>
      <c r="C55">
        <f t="shared" si="4"/>
        <v>0</v>
      </c>
      <c r="D55">
        <f t="shared" si="1"/>
        <v>0</v>
      </c>
      <c r="E55">
        <f>IF($B$2&lt;&gt;$I$3,COUNTIF(Tab_fériés[date],A55),0)</f>
        <v>0</v>
      </c>
      <c r="F55">
        <f t="shared" si="2"/>
        <v>0</v>
      </c>
      <c r="O55" s="2">
        <v>39387</v>
      </c>
      <c r="P55">
        <v>2007</v>
      </c>
      <c r="Q55" t="s">
        <v>268</v>
      </c>
      <c r="R55" t="s">
        <v>278</v>
      </c>
    </row>
    <row r="56" spans="1:18">
      <c r="A56" s="2">
        <f t="shared" si="3"/>
        <v>45710</v>
      </c>
      <c r="B56">
        <f t="shared" si="0"/>
        <v>6</v>
      </c>
      <c r="C56">
        <f t="shared" si="4"/>
        <v>0</v>
      </c>
      <c r="D56">
        <f t="shared" si="1"/>
        <v>0</v>
      </c>
      <c r="E56">
        <f>IF($B$2&lt;&gt;$I$3,COUNTIF(Tab_fériés[date],A56),0)</f>
        <v>0</v>
      </c>
      <c r="F56">
        <f t="shared" si="2"/>
        <v>0</v>
      </c>
      <c r="O56" s="2">
        <v>39397</v>
      </c>
      <c r="P56">
        <v>2007</v>
      </c>
      <c r="Q56" t="s">
        <v>268</v>
      </c>
      <c r="R56" s="137">
        <v>45241</v>
      </c>
    </row>
    <row r="57" spans="1:18">
      <c r="A57" s="2">
        <f t="shared" si="3"/>
        <v>45711</v>
      </c>
      <c r="B57">
        <f t="shared" si="0"/>
        <v>7</v>
      </c>
      <c r="C57">
        <f t="shared" si="4"/>
        <v>0</v>
      </c>
      <c r="D57">
        <f t="shared" si="1"/>
        <v>0</v>
      </c>
      <c r="E57">
        <f>IF($B$2&lt;&gt;$I$3,COUNTIF(Tab_fériés[date],A57),0)</f>
        <v>0</v>
      </c>
      <c r="F57">
        <f t="shared" si="2"/>
        <v>0</v>
      </c>
      <c r="O57" s="2">
        <v>39441</v>
      </c>
      <c r="P57">
        <v>2007</v>
      </c>
      <c r="Q57" t="s">
        <v>268</v>
      </c>
      <c r="R57" t="s">
        <v>279</v>
      </c>
    </row>
    <row r="58" spans="1:18">
      <c r="A58" s="2">
        <f t="shared" si="3"/>
        <v>45712</v>
      </c>
      <c r="B58">
        <f t="shared" si="0"/>
        <v>1</v>
      </c>
      <c r="C58">
        <f t="shared" si="4"/>
        <v>0</v>
      </c>
      <c r="D58">
        <f t="shared" si="1"/>
        <v>0</v>
      </c>
      <c r="E58">
        <f>IF($B$2&lt;&gt;$I$3,COUNTIF(Tab_fériés[date],A58),0)</f>
        <v>0</v>
      </c>
      <c r="F58">
        <f t="shared" si="2"/>
        <v>0</v>
      </c>
      <c r="O58" s="2">
        <v>39448</v>
      </c>
      <c r="P58">
        <v>2008</v>
      </c>
      <c r="Q58" t="s">
        <v>268</v>
      </c>
      <c r="R58" t="s">
        <v>269</v>
      </c>
    </row>
    <row r="59" spans="1:18">
      <c r="A59" s="2">
        <f t="shared" si="3"/>
        <v>45713</v>
      </c>
      <c r="B59">
        <f t="shared" si="0"/>
        <v>2</v>
      </c>
      <c r="C59">
        <f t="shared" si="4"/>
        <v>0</v>
      </c>
      <c r="D59">
        <f t="shared" si="1"/>
        <v>0</v>
      </c>
      <c r="E59">
        <f>IF($B$2&lt;&gt;$I$3,COUNTIF(Tab_fériés[date],A59),0)</f>
        <v>0</v>
      </c>
      <c r="F59">
        <f t="shared" si="2"/>
        <v>0</v>
      </c>
      <c r="O59" s="2">
        <v>39531</v>
      </c>
      <c r="P59">
        <v>2008</v>
      </c>
      <c r="Q59" t="s">
        <v>268</v>
      </c>
      <c r="R59" t="s">
        <v>270</v>
      </c>
    </row>
    <row r="60" spans="1:18">
      <c r="A60" s="2">
        <f t="shared" si="3"/>
        <v>45714</v>
      </c>
      <c r="B60">
        <f t="shared" si="0"/>
        <v>3</v>
      </c>
      <c r="C60">
        <f t="shared" si="4"/>
        <v>0</v>
      </c>
      <c r="D60">
        <f t="shared" si="1"/>
        <v>0</v>
      </c>
      <c r="E60">
        <f>IF($B$2&lt;&gt;$I$3,COUNTIF(Tab_fériés[date],A60),0)</f>
        <v>0</v>
      </c>
      <c r="F60">
        <f t="shared" si="2"/>
        <v>0</v>
      </c>
      <c r="O60" s="2">
        <v>39569</v>
      </c>
      <c r="P60">
        <v>2008</v>
      </c>
      <c r="Q60" t="s">
        <v>268</v>
      </c>
      <c r="R60" t="s">
        <v>271</v>
      </c>
    </row>
    <row r="61" spans="1:18">
      <c r="A61" s="2">
        <f t="shared" si="3"/>
        <v>45715</v>
      </c>
      <c r="B61">
        <f t="shared" si="0"/>
        <v>4</v>
      </c>
      <c r="C61">
        <f t="shared" si="4"/>
        <v>0</v>
      </c>
      <c r="D61">
        <f t="shared" si="1"/>
        <v>0</v>
      </c>
      <c r="E61">
        <f>IF($B$2&lt;&gt;$I$3,COUNTIF(Tab_fériés[date],A61),0)</f>
        <v>0</v>
      </c>
      <c r="F61">
        <f t="shared" si="2"/>
        <v>0</v>
      </c>
      <c r="O61" s="2">
        <v>39569</v>
      </c>
      <c r="P61">
        <v>2008</v>
      </c>
      <c r="Q61" t="s">
        <v>268</v>
      </c>
      <c r="R61" t="s">
        <v>274</v>
      </c>
    </row>
    <row r="62" spans="1:18">
      <c r="A62" s="2">
        <f t="shared" si="3"/>
        <v>45716</v>
      </c>
      <c r="B62">
        <f t="shared" si="0"/>
        <v>5</v>
      </c>
      <c r="C62">
        <f t="shared" si="4"/>
        <v>0</v>
      </c>
      <c r="D62">
        <f t="shared" si="1"/>
        <v>0</v>
      </c>
      <c r="E62">
        <f>IF($B$2&lt;&gt;$I$3,COUNTIF(Tab_fériés[date],A62),0)</f>
        <v>0</v>
      </c>
      <c r="F62">
        <f t="shared" si="2"/>
        <v>0</v>
      </c>
      <c r="O62" s="2">
        <v>39576</v>
      </c>
      <c r="P62">
        <v>2008</v>
      </c>
      <c r="Q62" t="s">
        <v>268</v>
      </c>
      <c r="R62" s="137">
        <v>45054</v>
      </c>
    </row>
    <row r="63" spans="1:18">
      <c r="A63" s="2">
        <f t="shared" si="3"/>
        <v>45717</v>
      </c>
      <c r="B63">
        <f t="shared" si="0"/>
        <v>6</v>
      </c>
      <c r="C63">
        <f t="shared" si="4"/>
        <v>0</v>
      </c>
      <c r="D63">
        <f t="shared" si="1"/>
        <v>0</v>
      </c>
      <c r="E63">
        <f>IF($B$2&lt;&gt;$I$3,COUNTIF(Tab_fériés[date],A63),0)</f>
        <v>0</v>
      </c>
      <c r="F63">
        <f t="shared" si="2"/>
        <v>0</v>
      </c>
      <c r="O63" s="2">
        <v>39580</v>
      </c>
      <c r="P63">
        <v>2008</v>
      </c>
      <c r="Q63" t="s">
        <v>268</v>
      </c>
      <c r="R63" t="s">
        <v>275</v>
      </c>
    </row>
    <row r="64" spans="1:18">
      <c r="A64" s="2">
        <f t="shared" si="3"/>
        <v>45718</v>
      </c>
      <c r="B64">
        <f t="shared" si="0"/>
        <v>7</v>
      </c>
      <c r="C64">
        <f t="shared" si="4"/>
        <v>0</v>
      </c>
      <c r="D64">
        <f t="shared" si="1"/>
        <v>0</v>
      </c>
      <c r="E64">
        <f>IF($B$2&lt;&gt;$I$3,COUNTIF(Tab_fériés[date],A64),0)</f>
        <v>0</v>
      </c>
      <c r="F64">
        <f t="shared" si="2"/>
        <v>0</v>
      </c>
      <c r="O64" s="2">
        <v>39643</v>
      </c>
      <c r="P64">
        <v>2008</v>
      </c>
      <c r="Q64" t="s">
        <v>268</v>
      </c>
      <c r="R64" s="137">
        <v>45121</v>
      </c>
    </row>
    <row r="65" spans="1:18">
      <c r="A65" s="2">
        <f t="shared" si="3"/>
        <v>45719</v>
      </c>
      <c r="B65">
        <f t="shared" si="0"/>
        <v>1</v>
      </c>
      <c r="C65">
        <f t="shared" si="4"/>
        <v>0</v>
      </c>
      <c r="D65">
        <f t="shared" si="1"/>
        <v>0</v>
      </c>
      <c r="E65">
        <f>IF($B$2&lt;&gt;$I$3,COUNTIF(Tab_fériés[date],A65),0)</f>
        <v>0</v>
      </c>
      <c r="F65">
        <f t="shared" si="2"/>
        <v>0</v>
      </c>
      <c r="O65" s="2">
        <v>39675</v>
      </c>
      <c r="P65">
        <v>2008</v>
      </c>
      <c r="Q65" t="s">
        <v>268</v>
      </c>
      <c r="R65" t="s">
        <v>277</v>
      </c>
    </row>
    <row r="66" spans="1:18">
      <c r="A66" s="2">
        <f t="shared" si="3"/>
        <v>45720</v>
      </c>
      <c r="B66">
        <f t="shared" si="0"/>
        <v>2</v>
      </c>
      <c r="C66">
        <f t="shared" si="4"/>
        <v>0</v>
      </c>
      <c r="D66">
        <f t="shared" si="1"/>
        <v>0</v>
      </c>
      <c r="E66">
        <f>IF($B$2&lt;&gt;$I$3,COUNTIF(Tab_fériés[date],A66),0)</f>
        <v>0</v>
      </c>
      <c r="F66">
        <f t="shared" si="2"/>
        <v>0</v>
      </c>
      <c r="O66" s="2">
        <v>39753</v>
      </c>
      <c r="P66">
        <v>2008</v>
      </c>
      <c r="Q66" t="s">
        <v>268</v>
      </c>
      <c r="R66" t="s">
        <v>278</v>
      </c>
    </row>
    <row r="67" spans="1:18">
      <c r="A67" s="2">
        <f t="shared" si="3"/>
        <v>45721</v>
      </c>
      <c r="B67">
        <f t="shared" si="0"/>
        <v>3</v>
      </c>
      <c r="C67">
        <f t="shared" si="4"/>
        <v>0</v>
      </c>
      <c r="D67">
        <f t="shared" si="1"/>
        <v>0</v>
      </c>
      <c r="E67">
        <f>IF($B$2&lt;&gt;$I$3,COUNTIF(Tab_fériés[date],A67),0)</f>
        <v>0</v>
      </c>
      <c r="F67">
        <f t="shared" si="2"/>
        <v>0</v>
      </c>
      <c r="O67" s="2">
        <v>39763</v>
      </c>
      <c r="P67">
        <v>2008</v>
      </c>
      <c r="Q67" t="s">
        <v>268</v>
      </c>
      <c r="R67" s="137">
        <v>45241</v>
      </c>
    </row>
    <row r="68" spans="1:18">
      <c r="A68" s="2">
        <f t="shared" si="3"/>
        <v>45722</v>
      </c>
      <c r="B68">
        <f t="shared" si="0"/>
        <v>4</v>
      </c>
      <c r="C68">
        <f t="shared" si="4"/>
        <v>0</v>
      </c>
      <c r="D68">
        <f t="shared" si="1"/>
        <v>0</v>
      </c>
      <c r="E68">
        <f>IF($B$2&lt;&gt;$I$3,COUNTIF(Tab_fériés[date],A68),0)</f>
        <v>0</v>
      </c>
      <c r="F68">
        <f t="shared" si="2"/>
        <v>0</v>
      </c>
      <c r="O68" s="2">
        <v>39807</v>
      </c>
      <c r="P68">
        <v>2008</v>
      </c>
      <c r="Q68" t="s">
        <v>268</v>
      </c>
      <c r="R68" t="s">
        <v>279</v>
      </c>
    </row>
    <row r="69" spans="1:18">
      <c r="A69" s="2">
        <f t="shared" si="3"/>
        <v>45723</v>
      </c>
      <c r="B69">
        <f t="shared" ref="B69:B132" si="5">WEEKDAY(A69,2)</f>
        <v>5</v>
      </c>
      <c r="C69">
        <f t="shared" si="4"/>
        <v>0</v>
      </c>
      <c r="D69">
        <f t="shared" ref="D69:D132" si="6">IF(AND(B69=7,$B$2&lt;&gt;$I$3),1,0)</f>
        <v>0</v>
      </c>
      <c r="E69">
        <f>IF($B$2&lt;&gt;$I$3,COUNTIF(Tab_fériés[date],A69),0)</f>
        <v>0</v>
      </c>
      <c r="F69">
        <f t="shared" ref="F69:F132" si="7">IFERROR(IF(SUM(C69:E69)&gt;0,1,0),0)</f>
        <v>0</v>
      </c>
      <c r="O69" s="2">
        <v>39814</v>
      </c>
      <c r="P69">
        <v>2009</v>
      </c>
      <c r="Q69" t="s">
        <v>268</v>
      </c>
      <c r="R69" t="s">
        <v>269</v>
      </c>
    </row>
    <row r="70" spans="1:18">
      <c r="A70" s="2">
        <f t="shared" ref="A70:A133" si="8">A69+1</f>
        <v>45724</v>
      </c>
      <c r="B70">
        <f t="shared" si="5"/>
        <v>6</v>
      </c>
      <c r="C70">
        <f t="shared" ref="C70:C133" si="9">IF(AND(B70=6,$B$2&lt;&gt;$I$3,$B$2&lt;&gt;$I$5),1,0)</f>
        <v>0</v>
      </c>
      <c r="D70">
        <f t="shared" si="6"/>
        <v>0</v>
      </c>
      <c r="E70">
        <f>IF($B$2&lt;&gt;$I$3,COUNTIF(Tab_fériés[date],A70),0)</f>
        <v>0</v>
      </c>
      <c r="F70">
        <f t="shared" si="7"/>
        <v>0</v>
      </c>
      <c r="O70" s="2">
        <v>39916</v>
      </c>
      <c r="P70">
        <v>2009</v>
      </c>
      <c r="Q70" t="s">
        <v>268</v>
      </c>
      <c r="R70" t="s">
        <v>270</v>
      </c>
    </row>
    <row r="71" spans="1:18">
      <c r="A71" s="2">
        <f t="shared" si="8"/>
        <v>45725</v>
      </c>
      <c r="B71">
        <f t="shared" si="5"/>
        <v>7</v>
      </c>
      <c r="C71">
        <f t="shared" si="9"/>
        <v>0</v>
      </c>
      <c r="D71">
        <f t="shared" si="6"/>
        <v>0</v>
      </c>
      <c r="E71">
        <f>IF($B$2&lt;&gt;$I$3,COUNTIF(Tab_fériés[date],A71),0)</f>
        <v>0</v>
      </c>
      <c r="F71">
        <f t="shared" si="7"/>
        <v>0</v>
      </c>
      <c r="O71" s="2">
        <v>39934</v>
      </c>
      <c r="P71">
        <v>2009</v>
      </c>
      <c r="Q71" t="s">
        <v>268</v>
      </c>
      <c r="R71" t="s">
        <v>271</v>
      </c>
    </row>
    <row r="72" spans="1:18">
      <c r="A72" s="2">
        <f t="shared" si="8"/>
        <v>45726</v>
      </c>
      <c r="B72">
        <f t="shared" si="5"/>
        <v>1</v>
      </c>
      <c r="C72">
        <f t="shared" si="9"/>
        <v>0</v>
      </c>
      <c r="D72">
        <f t="shared" si="6"/>
        <v>0</v>
      </c>
      <c r="E72">
        <f>IF($B$2&lt;&gt;$I$3,COUNTIF(Tab_fériés[date],A72),0)</f>
        <v>0</v>
      </c>
      <c r="F72">
        <f t="shared" si="7"/>
        <v>0</v>
      </c>
      <c r="O72" s="2">
        <v>39941</v>
      </c>
      <c r="P72">
        <v>2009</v>
      </c>
      <c r="Q72" t="s">
        <v>268</v>
      </c>
      <c r="R72" s="137">
        <v>45054</v>
      </c>
    </row>
    <row r="73" spans="1:18">
      <c r="A73" s="2">
        <f t="shared" si="8"/>
        <v>45727</v>
      </c>
      <c r="B73">
        <f t="shared" si="5"/>
        <v>2</v>
      </c>
      <c r="C73">
        <f t="shared" si="9"/>
        <v>0</v>
      </c>
      <c r="D73">
        <f t="shared" si="6"/>
        <v>0</v>
      </c>
      <c r="E73">
        <f>IF($B$2&lt;&gt;$I$3,COUNTIF(Tab_fériés[date],A73),0)</f>
        <v>0</v>
      </c>
      <c r="F73">
        <f t="shared" si="7"/>
        <v>0</v>
      </c>
      <c r="O73" s="2">
        <v>39954</v>
      </c>
      <c r="P73">
        <v>2009</v>
      </c>
      <c r="Q73" t="s">
        <v>268</v>
      </c>
      <c r="R73" t="s">
        <v>274</v>
      </c>
    </row>
    <row r="74" spans="1:18">
      <c r="A74" s="2">
        <f t="shared" si="8"/>
        <v>45728</v>
      </c>
      <c r="B74">
        <f t="shared" si="5"/>
        <v>3</v>
      </c>
      <c r="C74">
        <f t="shared" si="9"/>
        <v>0</v>
      </c>
      <c r="D74">
        <f t="shared" si="6"/>
        <v>0</v>
      </c>
      <c r="E74">
        <f>IF($B$2&lt;&gt;$I$3,COUNTIF(Tab_fériés[date],A74),0)</f>
        <v>0</v>
      </c>
      <c r="F74">
        <f t="shared" si="7"/>
        <v>0</v>
      </c>
      <c r="O74" s="2">
        <v>39965</v>
      </c>
      <c r="P74">
        <v>2009</v>
      </c>
      <c r="Q74" t="s">
        <v>268</v>
      </c>
      <c r="R74" t="s">
        <v>275</v>
      </c>
    </row>
    <row r="75" spans="1:18">
      <c r="A75" s="2">
        <f t="shared" si="8"/>
        <v>45729</v>
      </c>
      <c r="B75">
        <f t="shared" si="5"/>
        <v>4</v>
      </c>
      <c r="C75">
        <f t="shared" si="9"/>
        <v>0</v>
      </c>
      <c r="D75">
        <f t="shared" si="6"/>
        <v>0</v>
      </c>
      <c r="E75">
        <f>IF($B$2&lt;&gt;$I$3,COUNTIF(Tab_fériés[date],A75),0)</f>
        <v>0</v>
      </c>
      <c r="F75">
        <f t="shared" si="7"/>
        <v>0</v>
      </c>
      <c r="O75" s="2">
        <v>40008</v>
      </c>
      <c r="P75">
        <v>2009</v>
      </c>
      <c r="Q75" t="s">
        <v>268</v>
      </c>
      <c r="R75" s="137">
        <v>45121</v>
      </c>
    </row>
    <row r="76" spans="1:18">
      <c r="A76" s="2">
        <f t="shared" si="8"/>
        <v>45730</v>
      </c>
      <c r="B76">
        <f t="shared" si="5"/>
        <v>5</v>
      </c>
      <c r="C76">
        <f t="shared" si="9"/>
        <v>0</v>
      </c>
      <c r="D76">
        <f t="shared" si="6"/>
        <v>0</v>
      </c>
      <c r="E76">
        <f>IF($B$2&lt;&gt;$I$3,COUNTIF(Tab_fériés[date],A76),0)</f>
        <v>0</v>
      </c>
      <c r="F76">
        <f t="shared" si="7"/>
        <v>0</v>
      </c>
      <c r="O76" s="2">
        <v>40040</v>
      </c>
      <c r="P76">
        <v>2009</v>
      </c>
      <c r="Q76" t="s">
        <v>268</v>
      </c>
      <c r="R76" t="s">
        <v>277</v>
      </c>
    </row>
    <row r="77" spans="1:18">
      <c r="A77" s="2">
        <f t="shared" si="8"/>
        <v>45731</v>
      </c>
      <c r="B77">
        <f t="shared" si="5"/>
        <v>6</v>
      </c>
      <c r="C77">
        <f t="shared" si="9"/>
        <v>0</v>
      </c>
      <c r="D77">
        <f t="shared" si="6"/>
        <v>0</v>
      </c>
      <c r="E77">
        <f>IF($B$2&lt;&gt;$I$3,COUNTIF(Tab_fériés[date],A77),0)</f>
        <v>0</v>
      </c>
      <c r="F77">
        <f t="shared" si="7"/>
        <v>0</v>
      </c>
      <c r="O77" s="2">
        <v>40118</v>
      </c>
      <c r="P77">
        <v>2009</v>
      </c>
      <c r="Q77" t="s">
        <v>268</v>
      </c>
      <c r="R77" t="s">
        <v>278</v>
      </c>
    </row>
    <row r="78" spans="1:18">
      <c r="A78" s="2">
        <f t="shared" si="8"/>
        <v>45732</v>
      </c>
      <c r="B78">
        <f t="shared" si="5"/>
        <v>7</v>
      </c>
      <c r="C78">
        <f t="shared" si="9"/>
        <v>0</v>
      </c>
      <c r="D78">
        <f t="shared" si="6"/>
        <v>0</v>
      </c>
      <c r="E78">
        <f>IF($B$2&lt;&gt;$I$3,COUNTIF(Tab_fériés[date],A78),0)</f>
        <v>0</v>
      </c>
      <c r="F78">
        <f t="shared" si="7"/>
        <v>0</v>
      </c>
      <c r="O78" s="2">
        <v>40128</v>
      </c>
      <c r="P78">
        <v>2009</v>
      </c>
      <c r="Q78" t="s">
        <v>268</v>
      </c>
      <c r="R78" s="137">
        <v>45241</v>
      </c>
    </row>
    <row r="79" spans="1:18">
      <c r="A79" s="2">
        <f t="shared" si="8"/>
        <v>45733</v>
      </c>
      <c r="B79">
        <f t="shared" si="5"/>
        <v>1</v>
      </c>
      <c r="C79">
        <f t="shared" si="9"/>
        <v>0</v>
      </c>
      <c r="D79">
        <f t="shared" si="6"/>
        <v>0</v>
      </c>
      <c r="E79">
        <f>IF($B$2&lt;&gt;$I$3,COUNTIF(Tab_fériés[date],A79),0)</f>
        <v>0</v>
      </c>
      <c r="F79">
        <f t="shared" si="7"/>
        <v>0</v>
      </c>
      <c r="O79" s="2">
        <v>40172</v>
      </c>
      <c r="P79">
        <v>2009</v>
      </c>
      <c r="Q79" t="s">
        <v>268</v>
      </c>
      <c r="R79" t="s">
        <v>279</v>
      </c>
    </row>
    <row r="80" spans="1:18">
      <c r="A80" s="2">
        <f t="shared" si="8"/>
        <v>45734</v>
      </c>
      <c r="B80">
        <f t="shared" si="5"/>
        <v>2</v>
      </c>
      <c r="C80">
        <f t="shared" si="9"/>
        <v>0</v>
      </c>
      <c r="D80">
        <f t="shared" si="6"/>
        <v>0</v>
      </c>
      <c r="E80">
        <f>IF($B$2&lt;&gt;$I$3,COUNTIF(Tab_fériés[date],A80),0)</f>
        <v>0</v>
      </c>
      <c r="F80">
        <f t="shared" si="7"/>
        <v>0</v>
      </c>
      <c r="O80" s="2">
        <v>40179</v>
      </c>
      <c r="P80">
        <v>2010</v>
      </c>
      <c r="Q80" t="s">
        <v>268</v>
      </c>
      <c r="R80" t="s">
        <v>269</v>
      </c>
    </row>
    <row r="81" spans="1:18">
      <c r="A81" s="2">
        <f t="shared" si="8"/>
        <v>45735</v>
      </c>
      <c r="B81">
        <f t="shared" si="5"/>
        <v>3</v>
      </c>
      <c r="C81">
        <f t="shared" si="9"/>
        <v>0</v>
      </c>
      <c r="D81">
        <f t="shared" si="6"/>
        <v>0</v>
      </c>
      <c r="E81">
        <f>IF($B$2&lt;&gt;$I$3,COUNTIF(Tab_fériés[date],A81),0)</f>
        <v>0</v>
      </c>
      <c r="F81">
        <f t="shared" si="7"/>
        <v>0</v>
      </c>
      <c r="O81" s="2">
        <v>40273</v>
      </c>
      <c r="P81">
        <v>2010</v>
      </c>
      <c r="Q81" t="s">
        <v>268</v>
      </c>
      <c r="R81" t="s">
        <v>270</v>
      </c>
    </row>
    <row r="82" spans="1:18">
      <c r="A82" s="2">
        <f t="shared" si="8"/>
        <v>45736</v>
      </c>
      <c r="B82">
        <f t="shared" si="5"/>
        <v>4</v>
      </c>
      <c r="C82">
        <f t="shared" si="9"/>
        <v>0</v>
      </c>
      <c r="D82">
        <f t="shared" si="6"/>
        <v>0</v>
      </c>
      <c r="E82">
        <f>IF($B$2&lt;&gt;$I$3,COUNTIF(Tab_fériés[date],A82),0)</f>
        <v>0</v>
      </c>
      <c r="F82">
        <f t="shared" si="7"/>
        <v>0</v>
      </c>
      <c r="O82" s="2">
        <v>40299</v>
      </c>
      <c r="P82">
        <v>2010</v>
      </c>
      <c r="Q82" t="s">
        <v>268</v>
      </c>
      <c r="R82" t="s">
        <v>271</v>
      </c>
    </row>
    <row r="83" spans="1:18">
      <c r="A83" s="2">
        <f t="shared" si="8"/>
        <v>45737</v>
      </c>
      <c r="B83">
        <f t="shared" si="5"/>
        <v>5</v>
      </c>
      <c r="C83">
        <f t="shared" si="9"/>
        <v>0</v>
      </c>
      <c r="D83">
        <f t="shared" si="6"/>
        <v>0</v>
      </c>
      <c r="E83">
        <f>IF($B$2&lt;&gt;$I$3,COUNTIF(Tab_fériés[date],A83),0)</f>
        <v>0</v>
      </c>
      <c r="F83">
        <f t="shared" si="7"/>
        <v>0</v>
      </c>
      <c r="O83" s="2">
        <v>40306</v>
      </c>
      <c r="P83">
        <v>2010</v>
      </c>
      <c r="Q83" t="s">
        <v>268</v>
      </c>
      <c r="R83" s="137">
        <v>45054</v>
      </c>
    </row>
    <row r="84" spans="1:18">
      <c r="A84" s="2">
        <f t="shared" si="8"/>
        <v>45738</v>
      </c>
      <c r="B84">
        <f t="shared" si="5"/>
        <v>6</v>
      </c>
      <c r="C84">
        <f t="shared" si="9"/>
        <v>0</v>
      </c>
      <c r="D84">
        <f t="shared" si="6"/>
        <v>0</v>
      </c>
      <c r="E84">
        <f>IF($B$2&lt;&gt;$I$3,COUNTIF(Tab_fériés[date],A84),0)</f>
        <v>0</v>
      </c>
      <c r="F84">
        <f t="shared" si="7"/>
        <v>0</v>
      </c>
      <c r="O84" s="2">
        <v>40311</v>
      </c>
      <c r="P84">
        <v>2010</v>
      </c>
      <c r="Q84" t="s">
        <v>268</v>
      </c>
      <c r="R84" t="s">
        <v>274</v>
      </c>
    </row>
    <row r="85" spans="1:18">
      <c r="A85" s="2">
        <f t="shared" si="8"/>
        <v>45739</v>
      </c>
      <c r="B85">
        <f t="shared" si="5"/>
        <v>7</v>
      </c>
      <c r="C85">
        <f t="shared" si="9"/>
        <v>0</v>
      </c>
      <c r="D85">
        <f t="shared" si="6"/>
        <v>0</v>
      </c>
      <c r="E85">
        <f>IF($B$2&lt;&gt;$I$3,COUNTIF(Tab_fériés[date],A85),0)</f>
        <v>0</v>
      </c>
      <c r="F85">
        <f t="shared" si="7"/>
        <v>0</v>
      </c>
      <c r="O85" s="2">
        <v>40322</v>
      </c>
      <c r="P85">
        <v>2010</v>
      </c>
      <c r="Q85" t="s">
        <v>268</v>
      </c>
      <c r="R85" t="s">
        <v>275</v>
      </c>
    </row>
    <row r="86" spans="1:18">
      <c r="A86" s="2">
        <f t="shared" si="8"/>
        <v>45740</v>
      </c>
      <c r="B86">
        <f t="shared" si="5"/>
        <v>1</v>
      </c>
      <c r="C86">
        <f t="shared" si="9"/>
        <v>0</v>
      </c>
      <c r="D86">
        <f t="shared" si="6"/>
        <v>0</v>
      </c>
      <c r="E86">
        <f>IF($B$2&lt;&gt;$I$3,COUNTIF(Tab_fériés[date],A86),0)</f>
        <v>0</v>
      </c>
      <c r="F86">
        <f t="shared" si="7"/>
        <v>0</v>
      </c>
      <c r="O86" s="2">
        <v>40373</v>
      </c>
      <c r="P86">
        <v>2010</v>
      </c>
      <c r="Q86" t="s">
        <v>268</v>
      </c>
      <c r="R86" s="137">
        <v>45121</v>
      </c>
    </row>
    <row r="87" spans="1:18">
      <c r="A87" s="2">
        <f t="shared" si="8"/>
        <v>45741</v>
      </c>
      <c r="B87">
        <f t="shared" si="5"/>
        <v>2</v>
      </c>
      <c r="C87">
        <f t="shared" si="9"/>
        <v>0</v>
      </c>
      <c r="D87">
        <f t="shared" si="6"/>
        <v>0</v>
      </c>
      <c r="E87">
        <f>IF($B$2&lt;&gt;$I$3,COUNTIF(Tab_fériés[date],A87),0)</f>
        <v>0</v>
      </c>
      <c r="F87">
        <f t="shared" si="7"/>
        <v>0</v>
      </c>
      <c r="O87" s="2">
        <v>40405</v>
      </c>
      <c r="P87">
        <v>2010</v>
      </c>
      <c r="Q87" t="s">
        <v>268</v>
      </c>
      <c r="R87" t="s">
        <v>277</v>
      </c>
    </row>
    <row r="88" spans="1:18">
      <c r="A88" s="2">
        <f t="shared" si="8"/>
        <v>45742</v>
      </c>
      <c r="B88">
        <f t="shared" si="5"/>
        <v>3</v>
      </c>
      <c r="C88">
        <f t="shared" si="9"/>
        <v>0</v>
      </c>
      <c r="D88">
        <f t="shared" si="6"/>
        <v>0</v>
      </c>
      <c r="E88">
        <f>IF($B$2&lt;&gt;$I$3,COUNTIF(Tab_fériés[date],A88),0)</f>
        <v>0</v>
      </c>
      <c r="F88">
        <f t="shared" si="7"/>
        <v>0</v>
      </c>
      <c r="O88" s="2">
        <v>40483</v>
      </c>
      <c r="P88">
        <v>2010</v>
      </c>
      <c r="Q88" t="s">
        <v>268</v>
      </c>
      <c r="R88" t="s">
        <v>278</v>
      </c>
    </row>
    <row r="89" spans="1:18">
      <c r="A89" s="2">
        <f t="shared" si="8"/>
        <v>45743</v>
      </c>
      <c r="B89">
        <f t="shared" si="5"/>
        <v>4</v>
      </c>
      <c r="C89">
        <f t="shared" si="9"/>
        <v>0</v>
      </c>
      <c r="D89">
        <f t="shared" si="6"/>
        <v>0</v>
      </c>
      <c r="E89">
        <f>IF($B$2&lt;&gt;$I$3,COUNTIF(Tab_fériés[date],A89),0)</f>
        <v>0</v>
      </c>
      <c r="F89">
        <f t="shared" si="7"/>
        <v>0</v>
      </c>
      <c r="O89" s="2">
        <v>40493</v>
      </c>
      <c r="P89">
        <v>2010</v>
      </c>
      <c r="Q89" t="s">
        <v>268</v>
      </c>
      <c r="R89" s="137">
        <v>45241</v>
      </c>
    </row>
    <row r="90" spans="1:18">
      <c r="A90" s="2">
        <f t="shared" si="8"/>
        <v>45744</v>
      </c>
      <c r="B90">
        <f t="shared" si="5"/>
        <v>5</v>
      </c>
      <c r="C90">
        <f t="shared" si="9"/>
        <v>0</v>
      </c>
      <c r="D90">
        <f t="shared" si="6"/>
        <v>0</v>
      </c>
      <c r="E90">
        <f>IF($B$2&lt;&gt;$I$3,COUNTIF(Tab_fériés[date],A90),0)</f>
        <v>0</v>
      </c>
      <c r="F90">
        <f t="shared" si="7"/>
        <v>0</v>
      </c>
      <c r="O90" s="2">
        <v>40537</v>
      </c>
      <c r="P90">
        <v>2010</v>
      </c>
      <c r="Q90" t="s">
        <v>268</v>
      </c>
      <c r="R90" t="s">
        <v>279</v>
      </c>
    </row>
    <row r="91" spans="1:18">
      <c r="A91" s="2">
        <f t="shared" si="8"/>
        <v>45745</v>
      </c>
      <c r="B91">
        <f t="shared" si="5"/>
        <v>6</v>
      </c>
      <c r="C91">
        <f t="shared" si="9"/>
        <v>0</v>
      </c>
      <c r="D91">
        <f t="shared" si="6"/>
        <v>0</v>
      </c>
      <c r="E91">
        <f>IF($B$2&lt;&gt;$I$3,COUNTIF(Tab_fériés[date],A91),0)</f>
        <v>0</v>
      </c>
      <c r="F91">
        <f t="shared" si="7"/>
        <v>0</v>
      </c>
      <c r="O91" s="2">
        <v>40544</v>
      </c>
      <c r="P91">
        <v>2011</v>
      </c>
      <c r="Q91" t="s">
        <v>268</v>
      </c>
      <c r="R91" t="s">
        <v>269</v>
      </c>
    </row>
    <row r="92" spans="1:18">
      <c r="A92" s="2">
        <f t="shared" si="8"/>
        <v>45746</v>
      </c>
      <c r="B92">
        <f t="shared" si="5"/>
        <v>7</v>
      </c>
      <c r="C92">
        <f t="shared" si="9"/>
        <v>0</v>
      </c>
      <c r="D92">
        <f t="shared" si="6"/>
        <v>0</v>
      </c>
      <c r="E92">
        <f>IF($B$2&lt;&gt;$I$3,COUNTIF(Tab_fériés[date],A92),0)</f>
        <v>0</v>
      </c>
      <c r="F92">
        <f t="shared" si="7"/>
        <v>0</v>
      </c>
      <c r="O92" s="2">
        <v>40658</v>
      </c>
      <c r="P92">
        <v>2011</v>
      </c>
      <c r="Q92" t="s">
        <v>268</v>
      </c>
      <c r="R92" t="s">
        <v>270</v>
      </c>
    </row>
    <row r="93" spans="1:18">
      <c r="A93" s="2">
        <f t="shared" si="8"/>
        <v>45747</v>
      </c>
      <c r="B93">
        <f t="shared" si="5"/>
        <v>1</v>
      </c>
      <c r="C93">
        <f t="shared" si="9"/>
        <v>0</v>
      </c>
      <c r="D93">
        <f t="shared" si="6"/>
        <v>0</v>
      </c>
      <c r="E93">
        <f>IF($B$2&lt;&gt;$I$3,COUNTIF(Tab_fériés[date],A93),0)</f>
        <v>0</v>
      </c>
      <c r="F93">
        <f t="shared" si="7"/>
        <v>0</v>
      </c>
      <c r="O93" s="2">
        <v>40664</v>
      </c>
      <c r="P93">
        <v>2011</v>
      </c>
      <c r="Q93" t="s">
        <v>268</v>
      </c>
      <c r="R93" t="s">
        <v>271</v>
      </c>
    </row>
    <row r="94" spans="1:18">
      <c r="A94" s="2">
        <f t="shared" si="8"/>
        <v>45748</v>
      </c>
      <c r="B94">
        <f t="shared" si="5"/>
        <v>2</v>
      </c>
      <c r="C94">
        <f t="shared" si="9"/>
        <v>0</v>
      </c>
      <c r="D94">
        <f t="shared" si="6"/>
        <v>0</v>
      </c>
      <c r="E94">
        <f>IF($B$2&lt;&gt;$I$3,COUNTIF(Tab_fériés[date],A94),0)</f>
        <v>0</v>
      </c>
      <c r="F94">
        <f t="shared" si="7"/>
        <v>0</v>
      </c>
      <c r="O94" s="2">
        <v>40671</v>
      </c>
      <c r="P94">
        <v>2011</v>
      </c>
      <c r="Q94" t="s">
        <v>268</v>
      </c>
      <c r="R94" s="137">
        <v>45054</v>
      </c>
    </row>
    <row r="95" spans="1:18">
      <c r="A95" s="2">
        <f t="shared" si="8"/>
        <v>45749</v>
      </c>
      <c r="B95">
        <f t="shared" si="5"/>
        <v>3</v>
      </c>
      <c r="C95">
        <f t="shared" si="9"/>
        <v>0</v>
      </c>
      <c r="D95">
        <f t="shared" si="6"/>
        <v>0</v>
      </c>
      <c r="E95">
        <f>IF($B$2&lt;&gt;$I$3,COUNTIF(Tab_fériés[date],A95),0)</f>
        <v>0</v>
      </c>
      <c r="F95">
        <f t="shared" si="7"/>
        <v>0</v>
      </c>
      <c r="O95" s="2">
        <v>40696</v>
      </c>
      <c r="P95">
        <v>2011</v>
      </c>
      <c r="Q95" t="s">
        <v>268</v>
      </c>
      <c r="R95" t="s">
        <v>274</v>
      </c>
    </row>
    <row r="96" spans="1:18">
      <c r="A96" s="2">
        <f t="shared" si="8"/>
        <v>45750</v>
      </c>
      <c r="B96">
        <f t="shared" si="5"/>
        <v>4</v>
      </c>
      <c r="C96">
        <f t="shared" si="9"/>
        <v>0</v>
      </c>
      <c r="D96">
        <f t="shared" si="6"/>
        <v>0</v>
      </c>
      <c r="E96">
        <f>IF($B$2&lt;&gt;$I$3,COUNTIF(Tab_fériés[date],A96),0)</f>
        <v>0</v>
      </c>
      <c r="F96">
        <f t="shared" si="7"/>
        <v>0</v>
      </c>
      <c r="O96" s="2">
        <v>40707</v>
      </c>
      <c r="P96">
        <v>2011</v>
      </c>
      <c r="Q96" t="s">
        <v>268</v>
      </c>
      <c r="R96" t="s">
        <v>275</v>
      </c>
    </row>
    <row r="97" spans="1:18">
      <c r="A97" s="2">
        <f t="shared" si="8"/>
        <v>45751</v>
      </c>
      <c r="B97">
        <f t="shared" si="5"/>
        <v>5</v>
      </c>
      <c r="C97">
        <f t="shared" si="9"/>
        <v>0</v>
      </c>
      <c r="D97">
        <f t="shared" si="6"/>
        <v>0</v>
      </c>
      <c r="E97">
        <f>IF($B$2&lt;&gt;$I$3,COUNTIF(Tab_fériés[date],A97),0)</f>
        <v>0</v>
      </c>
      <c r="F97">
        <f t="shared" si="7"/>
        <v>0</v>
      </c>
      <c r="O97" s="2">
        <v>40738</v>
      </c>
      <c r="P97">
        <v>2011</v>
      </c>
      <c r="Q97" t="s">
        <v>268</v>
      </c>
      <c r="R97" s="137">
        <v>45121</v>
      </c>
    </row>
    <row r="98" spans="1:18">
      <c r="A98" s="2">
        <f t="shared" si="8"/>
        <v>45752</v>
      </c>
      <c r="B98">
        <f t="shared" si="5"/>
        <v>6</v>
      </c>
      <c r="C98">
        <f t="shared" si="9"/>
        <v>0</v>
      </c>
      <c r="D98">
        <f t="shared" si="6"/>
        <v>0</v>
      </c>
      <c r="E98">
        <f>IF($B$2&lt;&gt;$I$3,COUNTIF(Tab_fériés[date],A98),0)</f>
        <v>0</v>
      </c>
      <c r="F98">
        <f t="shared" si="7"/>
        <v>0</v>
      </c>
      <c r="O98" s="2">
        <v>40770</v>
      </c>
      <c r="P98">
        <v>2011</v>
      </c>
      <c r="Q98" t="s">
        <v>268</v>
      </c>
      <c r="R98" t="s">
        <v>277</v>
      </c>
    </row>
    <row r="99" spans="1:18">
      <c r="A99" s="2">
        <f t="shared" si="8"/>
        <v>45753</v>
      </c>
      <c r="B99">
        <f t="shared" si="5"/>
        <v>7</v>
      </c>
      <c r="C99">
        <f t="shared" si="9"/>
        <v>0</v>
      </c>
      <c r="D99">
        <f t="shared" si="6"/>
        <v>0</v>
      </c>
      <c r="E99">
        <f>IF($B$2&lt;&gt;$I$3,COUNTIF(Tab_fériés[date],A99),0)</f>
        <v>0</v>
      </c>
      <c r="F99">
        <f t="shared" si="7"/>
        <v>0</v>
      </c>
      <c r="O99" s="2">
        <v>40848</v>
      </c>
      <c r="P99">
        <v>2011</v>
      </c>
      <c r="Q99" t="s">
        <v>268</v>
      </c>
      <c r="R99" t="s">
        <v>278</v>
      </c>
    </row>
    <row r="100" spans="1:18">
      <c r="A100" s="2">
        <f t="shared" si="8"/>
        <v>45754</v>
      </c>
      <c r="B100">
        <f t="shared" si="5"/>
        <v>1</v>
      </c>
      <c r="C100">
        <f t="shared" si="9"/>
        <v>0</v>
      </c>
      <c r="D100">
        <f t="shared" si="6"/>
        <v>0</v>
      </c>
      <c r="E100">
        <f>IF($B$2&lt;&gt;$I$3,COUNTIF(Tab_fériés[date],A100),0)</f>
        <v>0</v>
      </c>
      <c r="F100">
        <f t="shared" si="7"/>
        <v>0</v>
      </c>
      <c r="O100" s="2">
        <v>40858</v>
      </c>
      <c r="P100">
        <v>2011</v>
      </c>
      <c r="Q100" t="s">
        <v>268</v>
      </c>
      <c r="R100" s="137">
        <v>45241</v>
      </c>
    </row>
    <row r="101" spans="1:18">
      <c r="A101" s="2">
        <f t="shared" si="8"/>
        <v>45755</v>
      </c>
      <c r="B101">
        <f t="shared" si="5"/>
        <v>2</v>
      </c>
      <c r="C101">
        <f t="shared" si="9"/>
        <v>0</v>
      </c>
      <c r="D101">
        <f t="shared" si="6"/>
        <v>0</v>
      </c>
      <c r="E101">
        <f>IF($B$2&lt;&gt;$I$3,COUNTIF(Tab_fériés[date],A101),0)</f>
        <v>0</v>
      </c>
      <c r="F101">
        <f t="shared" si="7"/>
        <v>0</v>
      </c>
      <c r="O101" s="2">
        <v>40902</v>
      </c>
      <c r="P101">
        <v>2011</v>
      </c>
      <c r="Q101" t="s">
        <v>268</v>
      </c>
      <c r="R101" t="s">
        <v>279</v>
      </c>
    </row>
    <row r="102" spans="1:18">
      <c r="A102" s="2">
        <f t="shared" si="8"/>
        <v>45756</v>
      </c>
      <c r="B102">
        <f t="shared" si="5"/>
        <v>3</v>
      </c>
      <c r="C102">
        <f t="shared" si="9"/>
        <v>0</v>
      </c>
      <c r="D102">
        <f t="shared" si="6"/>
        <v>0</v>
      </c>
      <c r="E102">
        <f>IF($B$2&lt;&gt;$I$3,COUNTIF(Tab_fériés[date],A102),0)</f>
        <v>0</v>
      </c>
      <c r="F102">
        <f t="shared" si="7"/>
        <v>0</v>
      </c>
      <c r="O102" s="2">
        <v>40909</v>
      </c>
      <c r="P102">
        <v>2012</v>
      </c>
      <c r="Q102" t="s">
        <v>268</v>
      </c>
      <c r="R102" t="s">
        <v>269</v>
      </c>
    </row>
    <row r="103" spans="1:18">
      <c r="A103" s="2">
        <f t="shared" si="8"/>
        <v>45757</v>
      </c>
      <c r="B103">
        <f t="shared" si="5"/>
        <v>4</v>
      </c>
      <c r="C103">
        <f t="shared" si="9"/>
        <v>0</v>
      </c>
      <c r="D103">
        <f t="shared" si="6"/>
        <v>0</v>
      </c>
      <c r="E103">
        <f>IF($B$2&lt;&gt;$I$3,COUNTIF(Tab_fériés[date],A103),0)</f>
        <v>0</v>
      </c>
      <c r="F103">
        <f t="shared" si="7"/>
        <v>0</v>
      </c>
      <c r="O103" s="2">
        <v>41008</v>
      </c>
      <c r="P103">
        <v>2012</v>
      </c>
      <c r="Q103" t="s">
        <v>268</v>
      </c>
      <c r="R103" t="s">
        <v>270</v>
      </c>
    </row>
    <row r="104" spans="1:18">
      <c r="A104" s="2">
        <f t="shared" si="8"/>
        <v>45758</v>
      </c>
      <c r="B104">
        <f t="shared" si="5"/>
        <v>5</v>
      </c>
      <c r="C104">
        <f t="shared" si="9"/>
        <v>0</v>
      </c>
      <c r="D104">
        <f t="shared" si="6"/>
        <v>0</v>
      </c>
      <c r="E104">
        <f>IF($B$2&lt;&gt;$I$3,COUNTIF(Tab_fériés[date],A104),0)</f>
        <v>0</v>
      </c>
      <c r="F104">
        <f t="shared" si="7"/>
        <v>0</v>
      </c>
      <c r="O104" s="2">
        <v>41030</v>
      </c>
      <c r="P104">
        <v>2012</v>
      </c>
      <c r="Q104" t="s">
        <v>268</v>
      </c>
      <c r="R104" t="s">
        <v>271</v>
      </c>
    </row>
    <row r="105" spans="1:18">
      <c r="A105" s="2">
        <f t="shared" si="8"/>
        <v>45759</v>
      </c>
      <c r="B105">
        <f t="shared" si="5"/>
        <v>6</v>
      </c>
      <c r="C105">
        <f t="shared" si="9"/>
        <v>0</v>
      </c>
      <c r="D105">
        <f t="shared" si="6"/>
        <v>0</v>
      </c>
      <c r="E105">
        <f>IF($B$2&lt;&gt;$I$3,COUNTIF(Tab_fériés[date],A105),0)</f>
        <v>0</v>
      </c>
      <c r="F105">
        <f t="shared" si="7"/>
        <v>0</v>
      </c>
      <c r="O105" s="2">
        <v>41037</v>
      </c>
      <c r="P105">
        <v>2012</v>
      </c>
      <c r="Q105" t="s">
        <v>268</v>
      </c>
      <c r="R105" s="137">
        <v>45054</v>
      </c>
    </row>
    <row r="106" spans="1:18">
      <c r="A106" s="2">
        <f t="shared" si="8"/>
        <v>45760</v>
      </c>
      <c r="B106">
        <f t="shared" si="5"/>
        <v>7</v>
      </c>
      <c r="C106">
        <f t="shared" si="9"/>
        <v>0</v>
      </c>
      <c r="D106">
        <f t="shared" si="6"/>
        <v>0</v>
      </c>
      <c r="E106">
        <f>IF($B$2&lt;&gt;$I$3,COUNTIF(Tab_fériés[date],A106),0)</f>
        <v>0</v>
      </c>
      <c r="F106">
        <f t="shared" si="7"/>
        <v>0</v>
      </c>
      <c r="O106" s="2">
        <v>41046</v>
      </c>
      <c r="P106">
        <v>2012</v>
      </c>
      <c r="Q106" t="s">
        <v>268</v>
      </c>
      <c r="R106" t="s">
        <v>274</v>
      </c>
    </row>
    <row r="107" spans="1:18">
      <c r="A107" s="2">
        <f t="shared" si="8"/>
        <v>45761</v>
      </c>
      <c r="B107">
        <f t="shared" si="5"/>
        <v>1</v>
      </c>
      <c r="C107">
        <f t="shared" si="9"/>
        <v>0</v>
      </c>
      <c r="D107">
        <f t="shared" si="6"/>
        <v>0</v>
      </c>
      <c r="E107">
        <f>IF($B$2&lt;&gt;$I$3,COUNTIF(Tab_fériés[date],A107),0)</f>
        <v>0</v>
      </c>
      <c r="F107">
        <f t="shared" si="7"/>
        <v>0</v>
      </c>
      <c r="O107" s="2">
        <v>41057</v>
      </c>
      <c r="P107">
        <v>2012</v>
      </c>
      <c r="Q107" t="s">
        <v>268</v>
      </c>
      <c r="R107" t="s">
        <v>275</v>
      </c>
    </row>
    <row r="108" spans="1:18">
      <c r="A108" s="2">
        <f t="shared" si="8"/>
        <v>45762</v>
      </c>
      <c r="B108">
        <f t="shared" si="5"/>
        <v>2</v>
      </c>
      <c r="C108">
        <f t="shared" si="9"/>
        <v>0</v>
      </c>
      <c r="D108">
        <f t="shared" si="6"/>
        <v>0</v>
      </c>
      <c r="E108">
        <f>IF($B$2&lt;&gt;$I$3,COUNTIF(Tab_fériés[date],A108),0)</f>
        <v>0</v>
      </c>
      <c r="F108">
        <f t="shared" si="7"/>
        <v>0</v>
      </c>
      <c r="O108" s="2">
        <v>41104</v>
      </c>
      <c r="P108">
        <v>2012</v>
      </c>
      <c r="Q108" t="s">
        <v>268</v>
      </c>
      <c r="R108" s="137">
        <v>45121</v>
      </c>
    </row>
    <row r="109" spans="1:18">
      <c r="A109" s="2">
        <f t="shared" si="8"/>
        <v>45763</v>
      </c>
      <c r="B109">
        <f t="shared" si="5"/>
        <v>3</v>
      </c>
      <c r="C109">
        <f t="shared" si="9"/>
        <v>0</v>
      </c>
      <c r="D109">
        <f t="shared" si="6"/>
        <v>0</v>
      </c>
      <c r="E109">
        <f>IF($B$2&lt;&gt;$I$3,COUNTIF(Tab_fériés[date],A109),0)</f>
        <v>0</v>
      </c>
      <c r="F109">
        <f t="shared" si="7"/>
        <v>0</v>
      </c>
      <c r="O109" s="2">
        <v>41136</v>
      </c>
      <c r="P109">
        <v>2012</v>
      </c>
      <c r="Q109" t="s">
        <v>268</v>
      </c>
      <c r="R109" t="s">
        <v>277</v>
      </c>
    </row>
    <row r="110" spans="1:18">
      <c r="A110" s="2">
        <f t="shared" si="8"/>
        <v>45764</v>
      </c>
      <c r="B110">
        <f t="shared" si="5"/>
        <v>4</v>
      </c>
      <c r="C110">
        <f t="shared" si="9"/>
        <v>0</v>
      </c>
      <c r="D110">
        <f t="shared" si="6"/>
        <v>0</v>
      </c>
      <c r="E110">
        <f>IF($B$2&lt;&gt;$I$3,COUNTIF(Tab_fériés[date],A110),0)</f>
        <v>0</v>
      </c>
      <c r="F110">
        <f t="shared" si="7"/>
        <v>0</v>
      </c>
      <c r="O110" s="2">
        <v>41214</v>
      </c>
      <c r="P110">
        <v>2012</v>
      </c>
      <c r="Q110" t="s">
        <v>268</v>
      </c>
      <c r="R110" t="s">
        <v>278</v>
      </c>
    </row>
    <row r="111" spans="1:18">
      <c r="A111" s="2">
        <f t="shared" si="8"/>
        <v>45765</v>
      </c>
      <c r="B111">
        <f t="shared" si="5"/>
        <v>5</v>
      </c>
      <c r="C111">
        <f t="shared" si="9"/>
        <v>0</v>
      </c>
      <c r="D111">
        <f t="shared" si="6"/>
        <v>0</v>
      </c>
      <c r="E111">
        <f>IF($B$2&lt;&gt;$I$3,COUNTIF(Tab_fériés[date],A111),0)</f>
        <v>0</v>
      </c>
      <c r="F111">
        <f t="shared" si="7"/>
        <v>0</v>
      </c>
      <c r="O111" s="2">
        <v>41224</v>
      </c>
      <c r="P111">
        <v>2012</v>
      </c>
      <c r="Q111" t="s">
        <v>268</v>
      </c>
      <c r="R111" s="137">
        <v>45241</v>
      </c>
    </row>
    <row r="112" spans="1:18">
      <c r="A112" s="2">
        <f t="shared" si="8"/>
        <v>45766</v>
      </c>
      <c r="B112">
        <f t="shared" si="5"/>
        <v>6</v>
      </c>
      <c r="C112">
        <f t="shared" si="9"/>
        <v>0</v>
      </c>
      <c r="D112">
        <f t="shared" si="6"/>
        <v>0</v>
      </c>
      <c r="E112">
        <f>IF($B$2&lt;&gt;$I$3,COUNTIF(Tab_fériés[date],A112),0)</f>
        <v>0</v>
      </c>
      <c r="F112">
        <f t="shared" si="7"/>
        <v>0</v>
      </c>
      <c r="O112" s="2">
        <v>41268</v>
      </c>
      <c r="P112">
        <v>2012</v>
      </c>
      <c r="Q112" t="s">
        <v>268</v>
      </c>
      <c r="R112" t="s">
        <v>279</v>
      </c>
    </row>
    <row r="113" spans="1:18">
      <c r="A113" s="2">
        <f t="shared" si="8"/>
        <v>45767</v>
      </c>
      <c r="B113">
        <f t="shared" si="5"/>
        <v>7</v>
      </c>
      <c r="C113">
        <f t="shared" si="9"/>
        <v>0</v>
      </c>
      <c r="D113">
        <f t="shared" si="6"/>
        <v>0</v>
      </c>
      <c r="E113">
        <f>IF($B$2&lt;&gt;$I$3,COUNTIF(Tab_fériés[date],A113),0)</f>
        <v>0</v>
      </c>
      <c r="F113">
        <f t="shared" si="7"/>
        <v>0</v>
      </c>
      <c r="O113" s="2">
        <v>41275</v>
      </c>
      <c r="P113">
        <v>2013</v>
      </c>
      <c r="Q113" t="s">
        <v>268</v>
      </c>
      <c r="R113" t="s">
        <v>269</v>
      </c>
    </row>
    <row r="114" spans="1:18">
      <c r="A114" s="2">
        <f t="shared" si="8"/>
        <v>45768</v>
      </c>
      <c r="B114">
        <f t="shared" si="5"/>
        <v>1</v>
      </c>
      <c r="C114">
        <f t="shared" si="9"/>
        <v>0</v>
      </c>
      <c r="D114">
        <f t="shared" si="6"/>
        <v>0</v>
      </c>
      <c r="E114">
        <f>IF($B$2&lt;&gt;$I$3,COUNTIF(Tab_fériés[date],A114),0)</f>
        <v>0</v>
      </c>
      <c r="F114">
        <f t="shared" si="7"/>
        <v>0</v>
      </c>
      <c r="O114" s="2">
        <v>41365</v>
      </c>
      <c r="P114">
        <v>2013</v>
      </c>
      <c r="Q114" t="s">
        <v>268</v>
      </c>
      <c r="R114" t="s">
        <v>270</v>
      </c>
    </row>
    <row r="115" spans="1:18">
      <c r="A115" s="2">
        <f t="shared" si="8"/>
        <v>45769</v>
      </c>
      <c r="B115">
        <f t="shared" si="5"/>
        <v>2</v>
      </c>
      <c r="C115">
        <f t="shared" si="9"/>
        <v>0</v>
      </c>
      <c r="D115">
        <f t="shared" si="6"/>
        <v>0</v>
      </c>
      <c r="E115">
        <f>IF($B$2&lt;&gt;$I$3,COUNTIF(Tab_fériés[date],A115),0)</f>
        <v>0</v>
      </c>
      <c r="F115">
        <f t="shared" si="7"/>
        <v>0</v>
      </c>
      <c r="O115" s="2">
        <v>41395</v>
      </c>
      <c r="P115">
        <v>2013</v>
      </c>
      <c r="Q115" t="s">
        <v>268</v>
      </c>
      <c r="R115" t="s">
        <v>271</v>
      </c>
    </row>
    <row r="116" spans="1:18">
      <c r="A116" s="2">
        <f t="shared" si="8"/>
        <v>45770</v>
      </c>
      <c r="B116">
        <f t="shared" si="5"/>
        <v>3</v>
      </c>
      <c r="C116">
        <f t="shared" si="9"/>
        <v>0</v>
      </c>
      <c r="D116">
        <f t="shared" si="6"/>
        <v>0</v>
      </c>
      <c r="E116">
        <f>IF($B$2&lt;&gt;$I$3,COUNTIF(Tab_fériés[date],A116),0)</f>
        <v>0</v>
      </c>
      <c r="F116">
        <f t="shared" si="7"/>
        <v>0</v>
      </c>
      <c r="O116" s="2">
        <v>41402</v>
      </c>
      <c r="P116">
        <v>2013</v>
      </c>
      <c r="Q116" t="s">
        <v>268</v>
      </c>
      <c r="R116" s="137">
        <v>45054</v>
      </c>
    </row>
    <row r="117" spans="1:18">
      <c r="A117" s="2">
        <f t="shared" si="8"/>
        <v>45771</v>
      </c>
      <c r="B117">
        <f t="shared" si="5"/>
        <v>4</v>
      </c>
      <c r="C117">
        <f t="shared" si="9"/>
        <v>0</v>
      </c>
      <c r="D117">
        <f t="shared" si="6"/>
        <v>0</v>
      </c>
      <c r="E117">
        <f>IF($B$2&lt;&gt;$I$3,COUNTIF(Tab_fériés[date],A117),0)</f>
        <v>0</v>
      </c>
      <c r="F117">
        <f t="shared" si="7"/>
        <v>0</v>
      </c>
      <c r="O117" s="2">
        <v>41403</v>
      </c>
      <c r="P117">
        <v>2013</v>
      </c>
      <c r="Q117" t="s">
        <v>268</v>
      </c>
      <c r="R117" t="s">
        <v>274</v>
      </c>
    </row>
    <row r="118" spans="1:18">
      <c r="A118" s="2">
        <f t="shared" si="8"/>
        <v>45772</v>
      </c>
      <c r="B118">
        <f t="shared" si="5"/>
        <v>5</v>
      </c>
      <c r="C118">
        <f t="shared" si="9"/>
        <v>0</v>
      </c>
      <c r="D118">
        <f t="shared" si="6"/>
        <v>0</v>
      </c>
      <c r="E118">
        <f>IF($B$2&lt;&gt;$I$3,COUNTIF(Tab_fériés[date],A118),0)</f>
        <v>0</v>
      </c>
      <c r="F118">
        <f t="shared" si="7"/>
        <v>0</v>
      </c>
      <c r="O118" s="2">
        <v>41414</v>
      </c>
      <c r="P118">
        <v>2013</v>
      </c>
      <c r="Q118" t="s">
        <v>268</v>
      </c>
      <c r="R118" t="s">
        <v>275</v>
      </c>
    </row>
    <row r="119" spans="1:18">
      <c r="A119" s="2">
        <f t="shared" si="8"/>
        <v>45773</v>
      </c>
      <c r="B119">
        <f t="shared" si="5"/>
        <v>6</v>
      </c>
      <c r="C119">
        <f t="shared" si="9"/>
        <v>0</v>
      </c>
      <c r="D119">
        <f t="shared" si="6"/>
        <v>0</v>
      </c>
      <c r="E119">
        <f>IF($B$2&lt;&gt;$I$3,COUNTIF(Tab_fériés[date],A119),0)</f>
        <v>0</v>
      </c>
      <c r="F119">
        <f t="shared" si="7"/>
        <v>0</v>
      </c>
      <c r="O119" s="2">
        <v>41469</v>
      </c>
      <c r="P119">
        <v>2013</v>
      </c>
      <c r="Q119" t="s">
        <v>268</v>
      </c>
      <c r="R119" s="137">
        <v>45121</v>
      </c>
    </row>
    <row r="120" spans="1:18">
      <c r="A120" s="2">
        <f t="shared" si="8"/>
        <v>45774</v>
      </c>
      <c r="B120">
        <f t="shared" si="5"/>
        <v>7</v>
      </c>
      <c r="C120">
        <f t="shared" si="9"/>
        <v>0</v>
      </c>
      <c r="D120">
        <f t="shared" si="6"/>
        <v>0</v>
      </c>
      <c r="E120">
        <f>IF($B$2&lt;&gt;$I$3,COUNTIF(Tab_fériés[date],A120),0)</f>
        <v>0</v>
      </c>
      <c r="F120">
        <f t="shared" si="7"/>
        <v>0</v>
      </c>
      <c r="O120" s="2">
        <v>41501</v>
      </c>
      <c r="P120">
        <v>2013</v>
      </c>
      <c r="Q120" t="s">
        <v>268</v>
      </c>
      <c r="R120" t="s">
        <v>277</v>
      </c>
    </row>
    <row r="121" spans="1:18">
      <c r="A121" s="2">
        <f t="shared" si="8"/>
        <v>45775</v>
      </c>
      <c r="B121">
        <f t="shared" si="5"/>
        <v>1</v>
      </c>
      <c r="C121">
        <f t="shared" si="9"/>
        <v>0</v>
      </c>
      <c r="D121">
        <f t="shared" si="6"/>
        <v>0</v>
      </c>
      <c r="E121">
        <f>IF($B$2&lt;&gt;$I$3,COUNTIF(Tab_fériés[date],A121),0)</f>
        <v>0</v>
      </c>
      <c r="F121">
        <f t="shared" si="7"/>
        <v>0</v>
      </c>
      <c r="O121" s="2">
        <v>41579</v>
      </c>
      <c r="P121">
        <v>2013</v>
      </c>
      <c r="Q121" t="s">
        <v>268</v>
      </c>
      <c r="R121" t="s">
        <v>278</v>
      </c>
    </row>
    <row r="122" spans="1:18">
      <c r="A122" s="2">
        <f t="shared" si="8"/>
        <v>45776</v>
      </c>
      <c r="B122">
        <f t="shared" si="5"/>
        <v>2</v>
      </c>
      <c r="C122">
        <f t="shared" si="9"/>
        <v>0</v>
      </c>
      <c r="D122">
        <f t="shared" si="6"/>
        <v>0</v>
      </c>
      <c r="E122">
        <f>IF($B$2&lt;&gt;$I$3,COUNTIF(Tab_fériés[date],A122),0)</f>
        <v>0</v>
      </c>
      <c r="F122">
        <f t="shared" si="7"/>
        <v>0</v>
      </c>
      <c r="O122" s="2">
        <v>41589</v>
      </c>
      <c r="P122">
        <v>2013</v>
      </c>
      <c r="Q122" t="s">
        <v>268</v>
      </c>
      <c r="R122" s="137">
        <v>45241</v>
      </c>
    </row>
    <row r="123" spans="1:18">
      <c r="A123" s="2">
        <f t="shared" si="8"/>
        <v>45777</v>
      </c>
      <c r="B123">
        <f t="shared" si="5"/>
        <v>3</v>
      </c>
      <c r="C123">
        <f t="shared" si="9"/>
        <v>0</v>
      </c>
      <c r="D123">
        <f t="shared" si="6"/>
        <v>0</v>
      </c>
      <c r="E123">
        <f>IF($B$2&lt;&gt;$I$3,COUNTIF(Tab_fériés[date],A123),0)</f>
        <v>0</v>
      </c>
      <c r="F123">
        <f t="shared" si="7"/>
        <v>0</v>
      </c>
      <c r="O123" s="2">
        <v>41633</v>
      </c>
      <c r="P123">
        <v>2013</v>
      </c>
      <c r="Q123" t="s">
        <v>268</v>
      </c>
      <c r="R123" t="s">
        <v>279</v>
      </c>
    </row>
    <row r="124" spans="1:18">
      <c r="A124" s="2">
        <f t="shared" si="8"/>
        <v>45778</v>
      </c>
      <c r="B124">
        <f t="shared" si="5"/>
        <v>4</v>
      </c>
      <c r="C124">
        <f t="shared" si="9"/>
        <v>0</v>
      </c>
      <c r="D124">
        <f t="shared" si="6"/>
        <v>0</v>
      </c>
      <c r="E124">
        <f>IF($B$2&lt;&gt;$I$3,COUNTIF(Tab_fériés[date],A124),0)</f>
        <v>0</v>
      </c>
      <c r="F124">
        <f t="shared" si="7"/>
        <v>0</v>
      </c>
      <c r="O124" s="2">
        <v>41640</v>
      </c>
      <c r="P124">
        <v>2014</v>
      </c>
      <c r="Q124" t="s">
        <v>268</v>
      </c>
      <c r="R124" t="s">
        <v>269</v>
      </c>
    </row>
    <row r="125" spans="1:18">
      <c r="A125" s="2">
        <f t="shared" si="8"/>
        <v>45779</v>
      </c>
      <c r="B125">
        <f t="shared" si="5"/>
        <v>5</v>
      </c>
      <c r="C125">
        <f t="shared" si="9"/>
        <v>0</v>
      </c>
      <c r="D125">
        <f t="shared" si="6"/>
        <v>0</v>
      </c>
      <c r="E125">
        <f>IF($B$2&lt;&gt;$I$3,COUNTIF(Tab_fériés[date],A125),0)</f>
        <v>0</v>
      </c>
      <c r="F125">
        <f t="shared" si="7"/>
        <v>0</v>
      </c>
      <c r="O125" s="2">
        <v>41750</v>
      </c>
      <c r="P125">
        <v>2014</v>
      </c>
      <c r="Q125" t="s">
        <v>268</v>
      </c>
      <c r="R125" t="s">
        <v>270</v>
      </c>
    </row>
    <row r="126" spans="1:18">
      <c r="A126" s="2">
        <f t="shared" si="8"/>
        <v>45780</v>
      </c>
      <c r="B126">
        <f t="shared" si="5"/>
        <v>6</v>
      </c>
      <c r="C126">
        <f t="shared" si="9"/>
        <v>0</v>
      </c>
      <c r="D126">
        <f t="shared" si="6"/>
        <v>0</v>
      </c>
      <c r="E126">
        <f>IF($B$2&lt;&gt;$I$3,COUNTIF(Tab_fériés[date],A126),0)</f>
        <v>0</v>
      </c>
      <c r="F126">
        <f t="shared" si="7"/>
        <v>0</v>
      </c>
      <c r="O126" s="2">
        <v>41760</v>
      </c>
      <c r="P126">
        <v>2014</v>
      </c>
      <c r="Q126" t="s">
        <v>268</v>
      </c>
      <c r="R126" t="s">
        <v>271</v>
      </c>
    </row>
    <row r="127" spans="1:18">
      <c r="A127" s="2">
        <f t="shared" si="8"/>
        <v>45781</v>
      </c>
      <c r="B127">
        <f t="shared" si="5"/>
        <v>7</v>
      </c>
      <c r="C127">
        <f t="shared" si="9"/>
        <v>0</v>
      </c>
      <c r="D127">
        <f t="shared" si="6"/>
        <v>0</v>
      </c>
      <c r="E127">
        <f>IF($B$2&lt;&gt;$I$3,COUNTIF(Tab_fériés[date],A127),0)</f>
        <v>0</v>
      </c>
      <c r="F127">
        <f t="shared" si="7"/>
        <v>0</v>
      </c>
      <c r="O127" s="2">
        <v>41767</v>
      </c>
      <c r="P127">
        <v>2014</v>
      </c>
      <c r="Q127" t="s">
        <v>268</v>
      </c>
      <c r="R127" s="137">
        <v>45054</v>
      </c>
    </row>
    <row r="128" spans="1:18">
      <c r="A128" s="2">
        <f t="shared" si="8"/>
        <v>45782</v>
      </c>
      <c r="B128">
        <f t="shared" si="5"/>
        <v>1</v>
      </c>
      <c r="C128">
        <f t="shared" si="9"/>
        <v>0</v>
      </c>
      <c r="D128">
        <f t="shared" si="6"/>
        <v>0</v>
      </c>
      <c r="E128">
        <f>IF($B$2&lt;&gt;$I$3,COUNTIF(Tab_fériés[date],A128),0)</f>
        <v>0</v>
      </c>
      <c r="F128">
        <f t="shared" si="7"/>
        <v>0</v>
      </c>
      <c r="O128" s="2">
        <v>41788</v>
      </c>
      <c r="P128">
        <v>2014</v>
      </c>
      <c r="Q128" t="s">
        <v>268</v>
      </c>
      <c r="R128" t="s">
        <v>274</v>
      </c>
    </row>
    <row r="129" spans="1:18">
      <c r="A129" s="2">
        <f t="shared" si="8"/>
        <v>45783</v>
      </c>
      <c r="B129">
        <f t="shared" si="5"/>
        <v>2</v>
      </c>
      <c r="C129">
        <f t="shared" si="9"/>
        <v>0</v>
      </c>
      <c r="D129">
        <f t="shared" si="6"/>
        <v>0</v>
      </c>
      <c r="E129">
        <f>IF($B$2&lt;&gt;$I$3,COUNTIF(Tab_fériés[date],A129),0)</f>
        <v>0</v>
      </c>
      <c r="F129">
        <f t="shared" si="7"/>
        <v>0</v>
      </c>
      <c r="O129" s="2">
        <v>41799</v>
      </c>
      <c r="P129">
        <v>2014</v>
      </c>
      <c r="Q129" t="s">
        <v>268</v>
      </c>
      <c r="R129" t="s">
        <v>275</v>
      </c>
    </row>
    <row r="130" spans="1:18">
      <c r="A130" s="2">
        <f t="shared" si="8"/>
        <v>45784</v>
      </c>
      <c r="B130">
        <f t="shared" si="5"/>
        <v>3</v>
      </c>
      <c r="C130">
        <f t="shared" si="9"/>
        <v>0</v>
      </c>
      <c r="D130">
        <f t="shared" si="6"/>
        <v>0</v>
      </c>
      <c r="E130">
        <f>IF($B$2&lt;&gt;$I$3,COUNTIF(Tab_fériés[date],A130),0)</f>
        <v>0</v>
      </c>
      <c r="F130">
        <f t="shared" si="7"/>
        <v>0</v>
      </c>
      <c r="O130" s="2">
        <v>41834</v>
      </c>
      <c r="P130">
        <v>2014</v>
      </c>
      <c r="Q130" t="s">
        <v>268</v>
      </c>
      <c r="R130" s="137">
        <v>45121</v>
      </c>
    </row>
    <row r="131" spans="1:18">
      <c r="A131" s="2">
        <f t="shared" si="8"/>
        <v>45785</v>
      </c>
      <c r="B131">
        <f t="shared" si="5"/>
        <v>4</v>
      </c>
      <c r="C131">
        <f t="shared" si="9"/>
        <v>0</v>
      </c>
      <c r="D131">
        <f t="shared" si="6"/>
        <v>0</v>
      </c>
      <c r="E131">
        <f>IF($B$2&lt;&gt;$I$3,COUNTIF(Tab_fériés[date],A131),0)</f>
        <v>0</v>
      </c>
      <c r="F131">
        <f t="shared" si="7"/>
        <v>0</v>
      </c>
      <c r="O131" s="2">
        <v>41866</v>
      </c>
      <c r="P131">
        <v>2014</v>
      </c>
      <c r="Q131" t="s">
        <v>268</v>
      </c>
      <c r="R131" t="s">
        <v>277</v>
      </c>
    </row>
    <row r="132" spans="1:18">
      <c r="A132" s="2">
        <f t="shared" si="8"/>
        <v>45786</v>
      </c>
      <c r="B132">
        <f t="shared" si="5"/>
        <v>5</v>
      </c>
      <c r="C132">
        <f t="shared" si="9"/>
        <v>0</v>
      </c>
      <c r="D132">
        <f t="shared" si="6"/>
        <v>0</v>
      </c>
      <c r="E132">
        <f>IF($B$2&lt;&gt;$I$3,COUNTIF(Tab_fériés[date],A132),0)</f>
        <v>0</v>
      </c>
      <c r="F132">
        <f t="shared" si="7"/>
        <v>0</v>
      </c>
      <c r="O132" s="2">
        <v>41944</v>
      </c>
      <c r="P132">
        <v>2014</v>
      </c>
      <c r="Q132" t="s">
        <v>268</v>
      </c>
      <c r="R132" t="s">
        <v>278</v>
      </c>
    </row>
    <row r="133" spans="1:18">
      <c r="A133" s="2">
        <f t="shared" si="8"/>
        <v>45787</v>
      </c>
      <c r="B133">
        <f t="shared" ref="B133:B196" si="10">WEEKDAY(A133,2)</f>
        <v>6</v>
      </c>
      <c r="C133">
        <f t="shared" si="9"/>
        <v>0</v>
      </c>
      <c r="D133">
        <f t="shared" ref="D133:D196" si="11">IF(AND(B133=7,$B$2&lt;&gt;$I$3),1,0)</f>
        <v>0</v>
      </c>
      <c r="E133">
        <f>IF($B$2&lt;&gt;$I$3,COUNTIF(Tab_fériés[date],A133),0)</f>
        <v>0</v>
      </c>
      <c r="F133">
        <f t="shared" ref="F133:F196" si="12">IFERROR(IF(SUM(C133:E133)&gt;0,1,0),0)</f>
        <v>0</v>
      </c>
      <c r="O133" s="2">
        <v>41954</v>
      </c>
      <c r="P133">
        <v>2014</v>
      </c>
      <c r="Q133" t="s">
        <v>268</v>
      </c>
      <c r="R133" s="137">
        <v>45241</v>
      </c>
    </row>
    <row r="134" spans="1:18">
      <c r="A134" s="2">
        <f t="shared" ref="A134:A197" si="13">A133+1</f>
        <v>45788</v>
      </c>
      <c r="B134">
        <f t="shared" si="10"/>
        <v>7</v>
      </c>
      <c r="C134">
        <f t="shared" ref="C134:C197" si="14">IF(AND(B134=6,$B$2&lt;&gt;$I$3,$B$2&lt;&gt;$I$5),1,0)</f>
        <v>0</v>
      </c>
      <c r="D134">
        <f t="shared" si="11"/>
        <v>0</v>
      </c>
      <c r="E134">
        <f>IF($B$2&lt;&gt;$I$3,COUNTIF(Tab_fériés[date],A134),0)</f>
        <v>0</v>
      </c>
      <c r="F134">
        <f t="shared" si="12"/>
        <v>0</v>
      </c>
      <c r="O134" s="2">
        <v>41998</v>
      </c>
      <c r="P134">
        <v>2014</v>
      </c>
      <c r="Q134" t="s">
        <v>268</v>
      </c>
      <c r="R134" t="s">
        <v>279</v>
      </c>
    </row>
    <row r="135" spans="1:18">
      <c r="A135" s="2">
        <f t="shared" si="13"/>
        <v>45789</v>
      </c>
      <c r="B135">
        <f t="shared" si="10"/>
        <v>1</v>
      </c>
      <c r="C135">
        <f t="shared" si="14"/>
        <v>0</v>
      </c>
      <c r="D135">
        <f t="shared" si="11"/>
        <v>0</v>
      </c>
      <c r="E135">
        <f>IF($B$2&lt;&gt;$I$3,COUNTIF(Tab_fériés[date],A135),0)</f>
        <v>0</v>
      </c>
      <c r="F135">
        <f t="shared" si="12"/>
        <v>0</v>
      </c>
      <c r="O135" s="2">
        <v>42005</v>
      </c>
      <c r="P135">
        <v>2015</v>
      </c>
      <c r="Q135" t="s">
        <v>268</v>
      </c>
      <c r="R135" t="s">
        <v>269</v>
      </c>
    </row>
    <row r="136" spans="1:18">
      <c r="A136" s="2">
        <f t="shared" si="13"/>
        <v>45790</v>
      </c>
      <c r="B136">
        <f t="shared" si="10"/>
        <v>2</v>
      </c>
      <c r="C136">
        <f t="shared" si="14"/>
        <v>0</v>
      </c>
      <c r="D136">
        <f t="shared" si="11"/>
        <v>0</v>
      </c>
      <c r="E136">
        <f>IF($B$2&lt;&gt;$I$3,COUNTIF(Tab_fériés[date],A136),0)</f>
        <v>0</v>
      </c>
      <c r="F136">
        <f t="shared" si="12"/>
        <v>0</v>
      </c>
      <c r="O136" s="2">
        <v>42100</v>
      </c>
      <c r="P136">
        <v>2015</v>
      </c>
      <c r="Q136" t="s">
        <v>268</v>
      </c>
      <c r="R136" t="s">
        <v>270</v>
      </c>
    </row>
    <row r="137" spans="1:18">
      <c r="A137" s="2">
        <f t="shared" si="13"/>
        <v>45791</v>
      </c>
      <c r="B137">
        <f t="shared" si="10"/>
        <v>3</v>
      </c>
      <c r="C137">
        <f t="shared" si="14"/>
        <v>0</v>
      </c>
      <c r="D137">
        <f t="shared" si="11"/>
        <v>0</v>
      </c>
      <c r="E137">
        <f>IF($B$2&lt;&gt;$I$3,COUNTIF(Tab_fériés[date],A137),0)</f>
        <v>0</v>
      </c>
      <c r="F137">
        <f t="shared" si="12"/>
        <v>0</v>
      </c>
      <c r="O137" s="2">
        <v>42125</v>
      </c>
      <c r="P137">
        <v>2015</v>
      </c>
      <c r="Q137" t="s">
        <v>268</v>
      </c>
      <c r="R137" t="s">
        <v>271</v>
      </c>
    </row>
    <row r="138" spans="1:18">
      <c r="A138" s="2">
        <f t="shared" si="13"/>
        <v>45792</v>
      </c>
      <c r="B138">
        <f t="shared" si="10"/>
        <v>4</v>
      </c>
      <c r="C138">
        <f t="shared" si="14"/>
        <v>0</v>
      </c>
      <c r="D138">
        <f t="shared" si="11"/>
        <v>0</v>
      </c>
      <c r="E138">
        <f>IF($B$2&lt;&gt;$I$3,COUNTIF(Tab_fériés[date],A138),0)</f>
        <v>0</v>
      </c>
      <c r="F138">
        <f t="shared" si="12"/>
        <v>0</v>
      </c>
      <c r="O138" s="2">
        <v>42132</v>
      </c>
      <c r="P138">
        <v>2015</v>
      </c>
      <c r="Q138" t="s">
        <v>268</v>
      </c>
      <c r="R138" s="137">
        <v>45054</v>
      </c>
    </row>
    <row r="139" spans="1:18">
      <c r="A139" s="2">
        <f t="shared" si="13"/>
        <v>45793</v>
      </c>
      <c r="B139">
        <f t="shared" si="10"/>
        <v>5</v>
      </c>
      <c r="C139">
        <f t="shared" si="14"/>
        <v>0</v>
      </c>
      <c r="D139">
        <f t="shared" si="11"/>
        <v>0</v>
      </c>
      <c r="E139">
        <f>IF($B$2&lt;&gt;$I$3,COUNTIF(Tab_fériés[date],A139),0)</f>
        <v>0</v>
      </c>
      <c r="F139">
        <f t="shared" si="12"/>
        <v>0</v>
      </c>
      <c r="O139" s="2">
        <v>42138</v>
      </c>
      <c r="P139">
        <v>2015</v>
      </c>
      <c r="Q139" t="s">
        <v>268</v>
      </c>
      <c r="R139" t="s">
        <v>274</v>
      </c>
    </row>
    <row r="140" spans="1:18">
      <c r="A140" s="2">
        <f t="shared" si="13"/>
        <v>45794</v>
      </c>
      <c r="B140">
        <f t="shared" si="10"/>
        <v>6</v>
      </c>
      <c r="C140">
        <f t="shared" si="14"/>
        <v>0</v>
      </c>
      <c r="D140">
        <f t="shared" si="11"/>
        <v>0</v>
      </c>
      <c r="E140">
        <f>IF($B$2&lt;&gt;$I$3,COUNTIF(Tab_fériés[date],A140),0)</f>
        <v>0</v>
      </c>
      <c r="F140">
        <f t="shared" si="12"/>
        <v>0</v>
      </c>
      <c r="O140" s="2">
        <v>42149</v>
      </c>
      <c r="P140">
        <v>2015</v>
      </c>
      <c r="Q140" t="s">
        <v>268</v>
      </c>
      <c r="R140" t="s">
        <v>275</v>
      </c>
    </row>
    <row r="141" spans="1:18">
      <c r="A141" s="2">
        <f t="shared" si="13"/>
        <v>45795</v>
      </c>
      <c r="B141">
        <f t="shared" si="10"/>
        <v>7</v>
      </c>
      <c r="C141">
        <f t="shared" si="14"/>
        <v>0</v>
      </c>
      <c r="D141">
        <f t="shared" si="11"/>
        <v>0</v>
      </c>
      <c r="E141">
        <f>IF($B$2&lt;&gt;$I$3,COUNTIF(Tab_fériés[date],A141),0)</f>
        <v>0</v>
      </c>
      <c r="F141">
        <f t="shared" si="12"/>
        <v>0</v>
      </c>
      <c r="O141" s="2">
        <v>42199</v>
      </c>
      <c r="P141">
        <v>2015</v>
      </c>
      <c r="Q141" t="s">
        <v>268</v>
      </c>
      <c r="R141" s="137">
        <v>45121</v>
      </c>
    </row>
    <row r="142" spans="1:18">
      <c r="A142" s="2">
        <f t="shared" si="13"/>
        <v>45796</v>
      </c>
      <c r="B142">
        <f t="shared" si="10"/>
        <v>1</v>
      </c>
      <c r="C142">
        <f t="shared" si="14"/>
        <v>0</v>
      </c>
      <c r="D142">
        <f t="shared" si="11"/>
        <v>0</v>
      </c>
      <c r="E142">
        <f>IF($B$2&lt;&gt;$I$3,COUNTIF(Tab_fériés[date],A142),0)</f>
        <v>0</v>
      </c>
      <c r="F142">
        <f t="shared" si="12"/>
        <v>0</v>
      </c>
      <c r="O142" s="2">
        <v>42231</v>
      </c>
      <c r="P142">
        <v>2015</v>
      </c>
      <c r="Q142" t="s">
        <v>268</v>
      </c>
      <c r="R142" t="s">
        <v>277</v>
      </c>
    </row>
    <row r="143" spans="1:18">
      <c r="A143" s="2">
        <f t="shared" si="13"/>
        <v>45797</v>
      </c>
      <c r="B143">
        <f t="shared" si="10"/>
        <v>2</v>
      </c>
      <c r="C143">
        <f t="shared" si="14"/>
        <v>0</v>
      </c>
      <c r="D143">
        <f t="shared" si="11"/>
        <v>0</v>
      </c>
      <c r="E143">
        <f>IF($B$2&lt;&gt;$I$3,COUNTIF(Tab_fériés[date],A143),0)</f>
        <v>0</v>
      </c>
      <c r="F143">
        <f t="shared" si="12"/>
        <v>0</v>
      </c>
      <c r="O143" s="2">
        <v>42309</v>
      </c>
      <c r="P143">
        <v>2015</v>
      </c>
      <c r="Q143" t="s">
        <v>268</v>
      </c>
      <c r="R143" t="s">
        <v>278</v>
      </c>
    </row>
    <row r="144" spans="1:18">
      <c r="A144" s="2">
        <f t="shared" si="13"/>
        <v>45798</v>
      </c>
      <c r="B144">
        <f t="shared" si="10"/>
        <v>3</v>
      </c>
      <c r="C144">
        <f t="shared" si="14"/>
        <v>0</v>
      </c>
      <c r="D144">
        <f t="shared" si="11"/>
        <v>0</v>
      </c>
      <c r="E144">
        <f>IF($B$2&lt;&gt;$I$3,COUNTIF(Tab_fériés[date],A144),0)</f>
        <v>0</v>
      </c>
      <c r="F144">
        <f t="shared" si="12"/>
        <v>0</v>
      </c>
      <c r="O144" s="2">
        <v>42319</v>
      </c>
      <c r="P144">
        <v>2015</v>
      </c>
      <c r="Q144" t="s">
        <v>268</v>
      </c>
      <c r="R144" s="137">
        <v>45241</v>
      </c>
    </row>
    <row r="145" spans="1:18">
      <c r="A145" s="2">
        <f t="shared" si="13"/>
        <v>45799</v>
      </c>
      <c r="B145">
        <f t="shared" si="10"/>
        <v>4</v>
      </c>
      <c r="C145">
        <f t="shared" si="14"/>
        <v>0</v>
      </c>
      <c r="D145">
        <f t="shared" si="11"/>
        <v>0</v>
      </c>
      <c r="E145">
        <f>IF($B$2&lt;&gt;$I$3,COUNTIF(Tab_fériés[date],A145),0)</f>
        <v>0</v>
      </c>
      <c r="F145">
        <f t="shared" si="12"/>
        <v>0</v>
      </c>
      <c r="O145" s="2">
        <v>42363</v>
      </c>
      <c r="P145">
        <v>2015</v>
      </c>
      <c r="Q145" t="s">
        <v>268</v>
      </c>
      <c r="R145" t="s">
        <v>279</v>
      </c>
    </row>
    <row r="146" spans="1:18">
      <c r="A146" s="2">
        <f t="shared" si="13"/>
        <v>45800</v>
      </c>
      <c r="B146">
        <f t="shared" si="10"/>
        <v>5</v>
      </c>
      <c r="C146">
        <f t="shared" si="14"/>
        <v>0</v>
      </c>
      <c r="D146">
        <f t="shared" si="11"/>
        <v>0</v>
      </c>
      <c r="E146">
        <f>IF($B$2&lt;&gt;$I$3,COUNTIF(Tab_fériés[date],A146),0)</f>
        <v>0</v>
      </c>
      <c r="F146">
        <f t="shared" si="12"/>
        <v>0</v>
      </c>
      <c r="O146" s="2">
        <v>42370</v>
      </c>
      <c r="P146">
        <v>2016</v>
      </c>
      <c r="Q146" t="s">
        <v>268</v>
      </c>
      <c r="R146" t="s">
        <v>269</v>
      </c>
    </row>
    <row r="147" spans="1:18">
      <c r="A147" s="2">
        <f t="shared" si="13"/>
        <v>45801</v>
      </c>
      <c r="B147">
        <f t="shared" si="10"/>
        <v>6</v>
      </c>
      <c r="C147">
        <f t="shared" si="14"/>
        <v>0</v>
      </c>
      <c r="D147">
        <f t="shared" si="11"/>
        <v>0</v>
      </c>
      <c r="E147">
        <f>IF($B$2&lt;&gt;$I$3,COUNTIF(Tab_fériés[date],A147),0)</f>
        <v>0</v>
      </c>
      <c r="F147">
        <f t="shared" si="12"/>
        <v>0</v>
      </c>
      <c r="O147" s="2">
        <v>42457</v>
      </c>
      <c r="P147">
        <v>2016</v>
      </c>
      <c r="Q147" t="s">
        <v>268</v>
      </c>
      <c r="R147" t="s">
        <v>270</v>
      </c>
    </row>
    <row r="148" spans="1:18">
      <c r="A148" s="2">
        <f t="shared" si="13"/>
        <v>45802</v>
      </c>
      <c r="B148">
        <f t="shared" si="10"/>
        <v>7</v>
      </c>
      <c r="C148">
        <f t="shared" si="14"/>
        <v>0</v>
      </c>
      <c r="D148">
        <f t="shared" si="11"/>
        <v>0</v>
      </c>
      <c r="E148">
        <f>IF($B$2&lt;&gt;$I$3,COUNTIF(Tab_fériés[date],A148),0)</f>
        <v>0</v>
      </c>
      <c r="F148">
        <f t="shared" si="12"/>
        <v>0</v>
      </c>
      <c r="O148" s="2">
        <v>42491</v>
      </c>
      <c r="P148">
        <v>2016</v>
      </c>
      <c r="Q148" t="s">
        <v>268</v>
      </c>
      <c r="R148" t="s">
        <v>271</v>
      </c>
    </row>
    <row r="149" spans="1:18">
      <c r="A149" s="2">
        <f t="shared" si="13"/>
        <v>45803</v>
      </c>
      <c r="B149">
        <f t="shared" si="10"/>
        <v>1</v>
      </c>
      <c r="C149">
        <f t="shared" si="14"/>
        <v>0</v>
      </c>
      <c r="D149">
        <f t="shared" si="11"/>
        <v>0</v>
      </c>
      <c r="E149">
        <f>IF($B$2&lt;&gt;$I$3,COUNTIF(Tab_fériés[date],A149),0)</f>
        <v>0</v>
      </c>
      <c r="F149">
        <f t="shared" si="12"/>
        <v>0</v>
      </c>
      <c r="O149" s="2">
        <v>42495</v>
      </c>
      <c r="P149">
        <v>2016</v>
      </c>
      <c r="Q149" t="s">
        <v>268</v>
      </c>
      <c r="R149" t="s">
        <v>274</v>
      </c>
    </row>
    <row r="150" spans="1:18">
      <c r="A150" s="2">
        <f t="shared" si="13"/>
        <v>45804</v>
      </c>
      <c r="B150">
        <f t="shared" si="10"/>
        <v>2</v>
      </c>
      <c r="C150">
        <f t="shared" si="14"/>
        <v>0</v>
      </c>
      <c r="D150">
        <f t="shared" si="11"/>
        <v>0</v>
      </c>
      <c r="E150">
        <f>IF($B$2&lt;&gt;$I$3,COUNTIF(Tab_fériés[date],A150),0)</f>
        <v>0</v>
      </c>
      <c r="F150">
        <f t="shared" si="12"/>
        <v>0</v>
      </c>
      <c r="O150" s="2">
        <v>42498</v>
      </c>
      <c r="P150">
        <v>2016</v>
      </c>
      <c r="Q150" t="s">
        <v>268</v>
      </c>
      <c r="R150" s="137">
        <v>45054</v>
      </c>
    </row>
    <row r="151" spans="1:18">
      <c r="A151" s="2">
        <f t="shared" si="13"/>
        <v>45805</v>
      </c>
      <c r="B151">
        <f t="shared" si="10"/>
        <v>3</v>
      </c>
      <c r="C151">
        <f t="shared" si="14"/>
        <v>0</v>
      </c>
      <c r="D151">
        <f t="shared" si="11"/>
        <v>0</v>
      </c>
      <c r="E151">
        <f>IF($B$2&lt;&gt;$I$3,COUNTIF(Tab_fériés[date],A151),0)</f>
        <v>0</v>
      </c>
      <c r="F151">
        <f t="shared" si="12"/>
        <v>0</v>
      </c>
      <c r="O151" s="2">
        <v>42506</v>
      </c>
      <c r="P151">
        <v>2016</v>
      </c>
      <c r="Q151" t="s">
        <v>268</v>
      </c>
      <c r="R151" t="s">
        <v>275</v>
      </c>
    </row>
    <row r="152" spans="1:18">
      <c r="A152" s="2">
        <f t="shared" si="13"/>
        <v>45806</v>
      </c>
      <c r="B152">
        <f t="shared" si="10"/>
        <v>4</v>
      </c>
      <c r="C152">
        <f t="shared" si="14"/>
        <v>0</v>
      </c>
      <c r="D152">
        <f t="shared" si="11"/>
        <v>0</v>
      </c>
      <c r="E152">
        <f>IF($B$2&lt;&gt;$I$3,COUNTIF(Tab_fériés[date],A152),0)</f>
        <v>0</v>
      </c>
      <c r="F152">
        <f t="shared" si="12"/>
        <v>0</v>
      </c>
      <c r="O152" s="2">
        <v>42565</v>
      </c>
      <c r="P152">
        <v>2016</v>
      </c>
      <c r="Q152" t="s">
        <v>268</v>
      </c>
      <c r="R152" s="137">
        <v>45121</v>
      </c>
    </row>
    <row r="153" spans="1:18">
      <c r="A153" s="2">
        <f t="shared" si="13"/>
        <v>45807</v>
      </c>
      <c r="B153">
        <f t="shared" si="10"/>
        <v>5</v>
      </c>
      <c r="C153">
        <f t="shared" si="14"/>
        <v>0</v>
      </c>
      <c r="D153">
        <f t="shared" si="11"/>
        <v>0</v>
      </c>
      <c r="E153">
        <f>IF($B$2&lt;&gt;$I$3,COUNTIF(Tab_fériés[date],A153),0)</f>
        <v>0</v>
      </c>
      <c r="F153">
        <f t="shared" si="12"/>
        <v>0</v>
      </c>
      <c r="O153" s="2">
        <v>42597</v>
      </c>
      <c r="P153">
        <v>2016</v>
      </c>
      <c r="Q153" t="s">
        <v>268</v>
      </c>
      <c r="R153" t="s">
        <v>277</v>
      </c>
    </row>
    <row r="154" spans="1:18">
      <c r="A154" s="2">
        <f t="shared" si="13"/>
        <v>45808</v>
      </c>
      <c r="B154">
        <f t="shared" si="10"/>
        <v>6</v>
      </c>
      <c r="C154">
        <f t="shared" si="14"/>
        <v>0</v>
      </c>
      <c r="D154">
        <f t="shared" si="11"/>
        <v>0</v>
      </c>
      <c r="E154">
        <f>IF($B$2&lt;&gt;$I$3,COUNTIF(Tab_fériés[date],A154),0)</f>
        <v>0</v>
      </c>
      <c r="F154">
        <f t="shared" si="12"/>
        <v>0</v>
      </c>
      <c r="O154" s="2">
        <v>42675</v>
      </c>
      <c r="P154">
        <v>2016</v>
      </c>
      <c r="Q154" t="s">
        <v>268</v>
      </c>
      <c r="R154" t="s">
        <v>278</v>
      </c>
    </row>
    <row r="155" spans="1:18">
      <c r="A155" s="2">
        <f t="shared" si="13"/>
        <v>45809</v>
      </c>
      <c r="B155">
        <f t="shared" si="10"/>
        <v>7</v>
      </c>
      <c r="C155">
        <f t="shared" si="14"/>
        <v>0</v>
      </c>
      <c r="D155">
        <f t="shared" si="11"/>
        <v>0</v>
      </c>
      <c r="E155">
        <f>IF($B$2&lt;&gt;$I$3,COUNTIF(Tab_fériés[date],A155),0)</f>
        <v>0</v>
      </c>
      <c r="F155">
        <f t="shared" si="12"/>
        <v>0</v>
      </c>
      <c r="O155" s="2">
        <v>42685</v>
      </c>
      <c r="P155">
        <v>2016</v>
      </c>
      <c r="Q155" t="s">
        <v>268</v>
      </c>
      <c r="R155" s="137">
        <v>45241</v>
      </c>
    </row>
    <row r="156" spans="1:18">
      <c r="A156" s="2">
        <f t="shared" si="13"/>
        <v>45810</v>
      </c>
      <c r="B156">
        <f t="shared" si="10"/>
        <v>1</v>
      </c>
      <c r="C156">
        <f t="shared" si="14"/>
        <v>0</v>
      </c>
      <c r="D156">
        <f t="shared" si="11"/>
        <v>0</v>
      </c>
      <c r="E156">
        <f>IF($B$2&lt;&gt;$I$3,COUNTIF(Tab_fériés[date],A156),0)</f>
        <v>0</v>
      </c>
      <c r="F156">
        <f t="shared" si="12"/>
        <v>0</v>
      </c>
      <c r="O156" s="2">
        <v>42729</v>
      </c>
      <c r="P156">
        <v>2016</v>
      </c>
      <c r="Q156" t="s">
        <v>268</v>
      </c>
      <c r="R156" t="s">
        <v>279</v>
      </c>
    </row>
    <row r="157" spans="1:18">
      <c r="A157" s="2">
        <f t="shared" si="13"/>
        <v>45811</v>
      </c>
      <c r="B157">
        <f t="shared" si="10"/>
        <v>2</v>
      </c>
      <c r="C157">
        <f t="shared" si="14"/>
        <v>0</v>
      </c>
      <c r="D157">
        <f t="shared" si="11"/>
        <v>0</v>
      </c>
      <c r="E157">
        <f>IF($B$2&lt;&gt;$I$3,COUNTIF(Tab_fériés[date],A157),0)</f>
        <v>0</v>
      </c>
      <c r="F157">
        <f t="shared" si="12"/>
        <v>0</v>
      </c>
      <c r="O157" s="2">
        <v>42736</v>
      </c>
      <c r="P157">
        <v>2017</v>
      </c>
      <c r="Q157" t="s">
        <v>268</v>
      </c>
      <c r="R157" t="s">
        <v>269</v>
      </c>
    </row>
    <row r="158" spans="1:18">
      <c r="A158" s="2">
        <f t="shared" si="13"/>
        <v>45812</v>
      </c>
      <c r="B158">
        <f t="shared" si="10"/>
        <v>3</v>
      </c>
      <c r="C158">
        <f t="shared" si="14"/>
        <v>0</v>
      </c>
      <c r="D158">
        <f t="shared" si="11"/>
        <v>0</v>
      </c>
      <c r="E158">
        <f>IF($B$2&lt;&gt;$I$3,COUNTIF(Tab_fériés[date],A158),0)</f>
        <v>0</v>
      </c>
      <c r="F158">
        <f t="shared" si="12"/>
        <v>0</v>
      </c>
      <c r="O158" s="2">
        <v>42842</v>
      </c>
      <c r="P158">
        <v>2017</v>
      </c>
      <c r="Q158" t="s">
        <v>268</v>
      </c>
      <c r="R158" t="s">
        <v>270</v>
      </c>
    </row>
    <row r="159" spans="1:18">
      <c r="A159" s="2">
        <f t="shared" si="13"/>
        <v>45813</v>
      </c>
      <c r="B159">
        <f t="shared" si="10"/>
        <v>4</v>
      </c>
      <c r="C159">
        <f t="shared" si="14"/>
        <v>0</v>
      </c>
      <c r="D159">
        <f t="shared" si="11"/>
        <v>0</v>
      </c>
      <c r="E159">
        <f>IF($B$2&lt;&gt;$I$3,COUNTIF(Tab_fériés[date],A159),0)</f>
        <v>0</v>
      </c>
      <c r="F159">
        <f t="shared" si="12"/>
        <v>0</v>
      </c>
      <c r="O159" s="2">
        <v>42856</v>
      </c>
      <c r="P159">
        <v>2017</v>
      </c>
      <c r="Q159" t="s">
        <v>268</v>
      </c>
      <c r="R159" t="s">
        <v>271</v>
      </c>
    </row>
    <row r="160" spans="1:18">
      <c r="A160" s="2">
        <f t="shared" si="13"/>
        <v>45814</v>
      </c>
      <c r="B160">
        <f t="shared" si="10"/>
        <v>5</v>
      </c>
      <c r="C160">
        <f t="shared" si="14"/>
        <v>0</v>
      </c>
      <c r="D160">
        <f t="shared" si="11"/>
        <v>0</v>
      </c>
      <c r="E160">
        <f>IF($B$2&lt;&gt;$I$3,COUNTIF(Tab_fériés[date],A160),0)</f>
        <v>0</v>
      </c>
      <c r="F160">
        <f t="shared" si="12"/>
        <v>0</v>
      </c>
      <c r="O160" s="2">
        <v>42863</v>
      </c>
      <c r="P160">
        <v>2017</v>
      </c>
      <c r="Q160" t="s">
        <v>268</v>
      </c>
      <c r="R160" s="137">
        <v>45054</v>
      </c>
    </row>
    <row r="161" spans="1:18">
      <c r="A161" s="2">
        <f t="shared" si="13"/>
        <v>45815</v>
      </c>
      <c r="B161">
        <f t="shared" si="10"/>
        <v>6</v>
      </c>
      <c r="C161">
        <f t="shared" si="14"/>
        <v>0</v>
      </c>
      <c r="D161">
        <f t="shared" si="11"/>
        <v>0</v>
      </c>
      <c r="E161">
        <f>IF($B$2&lt;&gt;$I$3,COUNTIF(Tab_fériés[date],A161),0)</f>
        <v>0</v>
      </c>
      <c r="F161">
        <f t="shared" si="12"/>
        <v>0</v>
      </c>
      <c r="O161" s="2">
        <v>42880</v>
      </c>
      <c r="P161">
        <v>2017</v>
      </c>
      <c r="Q161" t="s">
        <v>268</v>
      </c>
      <c r="R161" t="s">
        <v>274</v>
      </c>
    </row>
    <row r="162" spans="1:18">
      <c r="A162" s="2">
        <f t="shared" si="13"/>
        <v>45816</v>
      </c>
      <c r="B162">
        <f t="shared" si="10"/>
        <v>7</v>
      </c>
      <c r="C162">
        <f t="shared" si="14"/>
        <v>0</v>
      </c>
      <c r="D162">
        <f t="shared" si="11"/>
        <v>0</v>
      </c>
      <c r="E162">
        <f>IF($B$2&lt;&gt;$I$3,COUNTIF(Tab_fériés[date],A162),0)</f>
        <v>0</v>
      </c>
      <c r="F162">
        <f t="shared" si="12"/>
        <v>0</v>
      </c>
      <c r="O162" s="2">
        <v>42891</v>
      </c>
      <c r="P162">
        <v>2017</v>
      </c>
      <c r="Q162" t="s">
        <v>268</v>
      </c>
      <c r="R162" t="s">
        <v>275</v>
      </c>
    </row>
    <row r="163" spans="1:18">
      <c r="A163" s="2">
        <f t="shared" si="13"/>
        <v>45817</v>
      </c>
      <c r="B163">
        <f t="shared" si="10"/>
        <v>1</v>
      </c>
      <c r="C163">
        <f t="shared" si="14"/>
        <v>0</v>
      </c>
      <c r="D163">
        <f t="shared" si="11"/>
        <v>0</v>
      </c>
      <c r="E163">
        <f>IF($B$2&lt;&gt;$I$3,COUNTIF(Tab_fériés[date],A163),0)</f>
        <v>0</v>
      </c>
      <c r="F163">
        <f t="shared" si="12"/>
        <v>0</v>
      </c>
      <c r="O163" s="2">
        <v>42930</v>
      </c>
      <c r="P163">
        <v>2017</v>
      </c>
      <c r="Q163" t="s">
        <v>268</v>
      </c>
      <c r="R163" s="137">
        <v>45121</v>
      </c>
    </row>
    <row r="164" spans="1:18">
      <c r="A164" s="2">
        <f t="shared" si="13"/>
        <v>45818</v>
      </c>
      <c r="B164">
        <f t="shared" si="10"/>
        <v>2</v>
      </c>
      <c r="C164">
        <f t="shared" si="14"/>
        <v>0</v>
      </c>
      <c r="D164">
        <f t="shared" si="11"/>
        <v>0</v>
      </c>
      <c r="E164">
        <f>IF($B$2&lt;&gt;$I$3,COUNTIF(Tab_fériés[date],A164),0)</f>
        <v>0</v>
      </c>
      <c r="F164">
        <f t="shared" si="12"/>
        <v>0</v>
      </c>
      <c r="O164" s="2">
        <v>42962</v>
      </c>
      <c r="P164">
        <v>2017</v>
      </c>
      <c r="Q164" t="s">
        <v>268</v>
      </c>
      <c r="R164" t="s">
        <v>277</v>
      </c>
    </row>
    <row r="165" spans="1:18">
      <c r="A165" s="2">
        <f t="shared" si="13"/>
        <v>45819</v>
      </c>
      <c r="B165">
        <f t="shared" si="10"/>
        <v>3</v>
      </c>
      <c r="C165">
        <f t="shared" si="14"/>
        <v>0</v>
      </c>
      <c r="D165">
        <f t="shared" si="11"/>
        <v>0</v>
      </c>
      <c r="E165">
        <f>IF($B$2&lt;&gt;$I$3,COUNTIF(Tab_fériés[date],A165),0)</f>
        <v>0</v>
      </c>
      <c r="F165">
        <f t="shared" si="12"/>
        <v>0</v>
      </c>
      <c r="O165" s="2">
        <v>43040</v>
      </c>
      <c r="P165">
        <v>2017</v>
      </c>
      <c r="Q165" t="s">
        <v>268</v>
      </c>
      <c r="R165" t="s">
        <v>278</v>
      </c>
    </row>
    <row r="166" spans="1:18">
      <c r="A166" s="2">
        <f t="shared" si="13"/>
        <v>45820</v>
      </c>
      <c r="B166">
        <f t="shared" si="10"/>
        <v>4</v>
      </c>
      <c r="C166">
        <f t="shared" si="14"/>
        <v>0</v>
      </c>
      <c r="D166">
        <f t="shared" si="11"/>
        <v>0</v>
      </c>
      <c r="E166">
        <f>IF($B$2&lt;&gt;$I$3,COUNTIF(Tab_fériés[date],A166),0)</f>
        <v>0</v>
      </c>
      <c r="F166">
        <f t="shared" si="12"/>
        <v>0</v>
      </c>
      <c r="O166" s="2">
        <v>43050</v>
      </c>
      <c r="P166">
        <v>2017</v>
      </c>
      <c r="Q166" t="s">
        <v>268</v>
      </c>
      <c r="R166" s="137">
        <v>45241</v>
      </c>
    </row>
    <row r="167" spans="1:18">
      <c r="A167" s="2">
        <f t="shared" si="13"/>
        <v>45821</v>
      </c>
      <c r="B167">
        <f t="shared" si="10"/>
        <v>5</v>
      </c>
      <c r="C167">
        <f t="shared" si="14"/>
        <v>0</v>
      </c>
      <c r="D167">
        <f t="shared" si="11"/>
        <v>0</v>
      </c>
      <c r="E167">
        <f>IF($B$2&lt;&gt;$I$3,COUNTIF(Tab_fériés[date],A167),0)</f>
        <v>0</v>
      </c>
      <c r="F167">
        <f t="shared" si="12"/>
        <v>0</v>
      </c>
      <c r="O167" s="2">
        <v>43094</v>
      </c>
      <c r="P167">
        <v>2017</v>
      </c>
      <c r="Q167" t="s">
        <v>268</v>
      </c>
      <c r="R167" t="s">
        <v>279</v>
      </c>
    </row>
    <row r="168" spans="1:18">
      <c r="A168" s="2">
        <f t="shared" si="13"/>
        <v>45822</v>
      </c>
      <c r="B168">
        <f t="shared" si="10"/>
        <v>6</v>
      </c>
      <c r="C168">
        <f t="shared" si="14"/>
        <v>0</v>
      </c>
      <c r="D168">
        <f t="shared" si="11"/>
        <v>0</v>
      </c>
      <c r="E168">
        <f>IF($B$2&lt;&gt;$I$3,COUNTIF(Tab_fériés[date],A168),0)</f>
        <v>0</v>
      </c>
      <c r="F168">
        <f t="shared" si="12"/>
        <v>0</v>
      </c>
      <c r="O168" s="2">
        <v>43101</v>
      </c>
      <c r="P168">
        <v>2018</v>
      </c>
      <c r="Q168" t="s">
        <v>268</v>
      </c>
      <c r="R168" t="s">
        <v>269</v>
      </c>
    </row>
    <row r="169" spans="1:18">
      <c r="A169" s="2">
        <f t="shared" si="13"/>
        <v>45823</v>
      </c>
      <c r="B169">
        <f t="shared" si="10"/>
        <v>7</v>
      </c>
      <c r="C169">
        <f t="shared" si="14"/>
        <v>0</v>
      </c>
      <c r="D169">
        <f t="shared" si="11"/>
        <v>0</v>
      </c>
      <c r="E169">
        <f>IF($B$2&lt;&gt;$I$3,COUNTIF(Tab_fériés[date],A169),0)</f>
        <v>0</v>
      </c>
      <c r="F169">
        <f t="shared" si="12"/>
        <v>0</v>
      </c>
      <c r="O169" s="2">
        <v>43192</v>
      </c>
      <c r="P169">
        <v>2018</v>
      </c>
      <c r="Q169" t="s">
        <v>268</v>
      </c>
      <c r="R169" t="s">
        <v>270</v>
      </c>
    </row>
    <row r="170" spans="1:18">
      <c r="A170" s="2">
        <f t="shared" si="13"/>
        <v>45824</v>
      </c>
      <c r="B170">
        <f t="shared" si="10"/>
        <v>1</v>
      </c>
      <c r="C170">
        <f t="shared" si="14"/>
        <v>0</v>
      </c>
      <c r="D170">
        <f t="shared" si="11"/>
        <v>0</v>
      </c>
      <c r="E170">
        <f>IF($B$2&lt;&gt;$I$3,COUNTIF(Tab_fériés[date],A170),0)</f>
        <v>0</v>
      </c>
      <c r="F170">
        <f t="shared" si="12"/>
        <v>0</v>
      </c>
      <c r="O170" s="2">
        <v>43221</v>
      </c>
      <c r="P170">
        <v>2018</v>
      </c>
      <c r="Q170" t="s">
        <v>268</v>
      </c>
      <c r="R170" t="s">
        <v>271</v>
      </c>
    </row>
    <row r="171" spans="1:18">
      <c r="A171" s="2">
        <f t="shared" si="13"/>
        <v>45825</v>
      </c>
      <c r="B171">
        <f t="shared" si="10"/>
        <v>2</v>
      </c>
      <c r="C171">
        <f t="shared" si="14"/>
        <v>0</v>
      </c>
      <c r="D171">
        <f t="shared" si="11"/>
        <v>0</v>
      </c>
      <c r="E171">
        <f>IF($B$2&lt;&gt;$I$3,COUNTIF(Tab_fériés[date],A171),0)</f>
        <v>0</v>
      </c>
      <c r="F171">
        <f t="shared" si="12"/>
        <v>0</v>
      </c>
      <c r="O171" s="2">
        <v>43228</v>
      </c>
      <c r="P171">
        <v>2018</v>
      </c>
      <c r="Q171" t="s">
        <v>268</v>
      </c>
      <c r="R171" s="137">
        <v>45054</v>
      </c>
    </row>
    <row r="172" spans="1:18">
      <c r="A172" s="2">
        <f t="shared" si="13"/>
        <v>45826</v>
      </c>
      <c r="B172">
        <f t="shared" si="10"/>
        <v>3</v>
      </c>
      <c r="C172">
        <f t="shared" si="14"/>
        <v>0</v>
      </c>
      <c r="D172">
        <f t="shared" si="11"/>
        <v>0</v>
      </c>
      <c r="E172">
        <f>IF($B$2&lt;&gt;$I$3,COUNTIF(Tab_fériés[date],A172),0)</f>
        <v>0</v>
      </c>
      <c r="F172">
        <f t="shared" si="12"/>
        <v>0</v>
      </c>
      <c r="O172" s="2">
        <v>43230</v>
      </c>
      <c r="P172">
        <v>2018</v>
      </c>
      <c r="Q172" t="s">
        <v>268</v>
      </c>
      <c r="R172" t="s">
        <v>274</v>
      </c>
    </row>
    <row r="173" spans="1:18">
      <c r="A173" s="2">
        <f t="shared" si="13"/>
        <v>45827</v>
      </c>
      <c r="B173">
        <f t="shared" si="10"/>
        <v>4</v>
      </c>
      <c r="C173">
        <f t="shared" si="14"/>
        <v>0</v>
      </c>
      <c r="D173">
        <f t="shared" si="11"/>
        <v>0</v>
      </c>
      <c r="E173">
        <f>IF($B$2&lt;&gt;$I$3,COUNTIF(Tab_fériés[date],A173),0)</f>
        <v>0</v>
      </c>
      <c r="F173">
        <f t="shared" si="12"/>
        <v>0</v>
      </c>
      <c r="O173" s="2">
        <v>43241</v>
      </c>
      <c r="P173">
        <v>2018</v>
      </c>
      <c r="Q173" t="s">
        <v>268</v>
      </c>
      <c r="R173" t="s">
        <v>275</v>
      </c>
    </row>
    <row r="174" spans="1:18">
      <c r="A174" s="2">
        <f t="shared" si="13"/>
        <v>45828</v>
      </c>
      <c r="B174">
        <f t="shared" si="10"/>
        <v>5</v>
      </c>
      <c r="C174">
        <f t="shared" si="14"/>
        <v>0</v>
      </c>
      <c r="D174">
        <f t="shared" si="11"/>
        <v>0</v>
      </c>
      <c r="E174">
        <f>IF($B$2&lt;&gt;$I$3,COUNTIF(Tab_fériés[date],A174),0)</f>
        <v>0</v>
      </c>
      <c r="F174">
        <f t="shared" si="12"/>
        <v>0</v>
      </c>
      <c r="O174" s="2">
        <v>43295</v>
      </c>
      <c r="P174">
        <v>2018</v>
      </c>
      <c r="Q174" t="s">
        <v>268</v>
      </c>
      <c r="R174" s="137">
        <v>45121</v>
      </c>
    </row>
    <row r="175" spans="1:18">
      <c r="A175" s="2">
        <f t="shared" si="13"/>
        <v>45829</v>
      </c>
      <c r="B175">
        <f t="shared" si="10"/>
        <v>6</v>
      </c>
      <c r="C175">
        <f t="shared" si="14"/>
        <v>0</v>
      </c>
      <c r="D175">
        <f t="shared" si="11"/>
        <v>0</v>
      </c>
      <c r="E175">
        <f>IF($B$2&lt;&gt;$I$3,COUNTIF(Tab_fériés[date],A175),0)</f>
        <v>0</v>
      </c>
      <c r="F175">
        <f t="shared" si="12"/>
        <v>0</v>
      </c>
      <c r="O175" s="2">
        <v>43327</v>
      </c>
      <c r="P175">
        <v>2018</v>
      </c>
      <c r="Q175" t="s">
        <v>268</v>
      </c>
      <c r="R175" t="s">
        <v>277</v>
      </c>
    </row>
    <row r="176" spans="1:18">
      <c r="A176" s="2">
        <f t="shared" si="13"/>
        <v>45830</v>
      </c>
      <c r="B176">
        <f t="shared" si="10"/>
        <v>7</v>
      </c>
      <c r="C176">
        <f t="shared" si="14"/>
        <v>0</v>
      </c>
      <c r="D176">
        <f t="shared" si="11"/>
        <v>0</v>
      </c>
      <c r="E176">
        <f>IF($B$2&lt;&gt;$I$3,COUNTIF(Tab_fériés[date],A176),0)</f>
        <v>0</v>
      </c>
      <c r="F176">
        <f t="shared" si="12"/>
        <v>0</v>
      </c>
      <c r="O176" s="2">
        <v>43405</v>
      </c>
      <c r="P176">
        <v>2018</v>
      </c>
      <c r="Q176" t="s">
        <v>268</v>
      </c>
      <c r="R176" t="s">
        <v>278</v>
      </c>
    </row>
    <row r="177" spans="1:18">
      <c r="A177" s="2">
        <f t="shared" si="13"/>
        <v>45831</v>
      </c>
      <c r="B177">
        <f t="shared" si="10"/>
        <v>1</v>
      </c>
      <c r="C177">
        <f t="shared" si="14"/>
        <v>0</v>
      </c>
      <c r="D177">
        <f t="shared" si="11"/>
        <v>0</v>
      </c>
      <c r="E177">
        <f>IF($B$2&lt;&gt;$I$3,COUNTIF(Tab_fériés[date],A177),0)</f>
        <v>0</v>
      </c>
      <c r="F177">
        <f t="shared" si="12"/>
        <v>0</v>
      </c>
      <c r="O177" s="2">
        <v>43415</v>
      </c>
      <c r="P177">
        <v>2018</v>
      </c>
      <c r="Q177" t="s">
        <v>268</v>
      </c>
      <c r="R177" s="137">
        <v>45241</v>
      </c>
    </row>
    <row r="178" spans="1:18">
      <c r="A178" s="2">
        <f t="shared" si="13"/>
        <v>45832</v>
      </c>
      <c r="B178">
        <f t="shared" si="10"/>
        <v>2</v>
      </c>
      <c r="C178">
        <f t="shared" si="14"/>
        <v>0</v>
      </c>
      <c r="D178">
        <f t="shared" si="11"/>
        <v>0</v>
      </c>
      <c r="E178">
        <f>IF($B$2&lt;&gt;$I$3,COUNTIF(Tab_fériés[date],A178),0)</f>
        <v>0</v>
      </c>
      <c r="F178">
        <f t="shared" si="12"/>
        <v>0</v>
      </c>
      <c r="O178" s="2">
        <v>43459</v>
      </c>
      <c r="P178">
        <v>2018</v>
      </c>
      <c r="Q178" t="s">
        <v>268</v>
      </c>
      <c r="R178" t="s">
        <v>279</v>
      </c>
    </row>
    <row r="179" spans="1:18">
      <c r="A179" s="2">
        <f t="shared" si="13"/>
        <v>45833</v>
      </c>
      <c r="B179">
        <f t="shared" si="10"/>
        <v>3</v>
      </c>
      <c r="C179">
        <f t="shared" si="14"/>
        <v>0</v>
      </c>
      <c r="D179">
        <f t="shared" si="11"/>
        <v>0</v>
      </c>
      <c r="E179">
        <f>IF($B$2&lt;&gt;$I$3,COUNTIF(Tab_fériés[date],A179),0)</f>
        <v>0</v>
      </c>
      <c r="F179">
        <f t="shared" si="12"/>
        <v>0</v>
      </c>
      <c r="O179" s="2">
        <v>43466</v>
      </c>
      <c r="P179">
        <v>2019</v>
      </c>
      <c r="Q179" t="s">
        <v>268</v>
      </c>
      <c r="R179" t="s">
        <v>269</v>
      </c>
    </row>
    <row r="180" spans="1:18">
      <c r="A180" s="2">
        <f t="shared" si="13"/>
        <v>45834</v>
      </c>
      <c r="B180">
        <f t="shared" si="10"/>
        <v>4</v>
      </c>
      <c r="C180">
        <f t="shared" si="14"/>
        <v>0</v>
      </c>
      <c r="D180">
        <f t="shared" si="11"/>
        <v>0</v>
      </c>
      <c r="E180">
        <f>IF($B$2&lt;&gt;$I$3,COUNTIF(Tab_fériés[date],A180),0)</f>
        <v>0</v>
      </c>
      <c r="F180">
        <f t="shared" si="12"/>
        <v>0</v>
      </c>
      <c r="O180" s="2">
        <v>43577</v>
      </c>
      <c r="P180">
        <v>2019</v>
      </c>
      <c r="Q180" t="s">
        <v>268</v>
      </c>
      <c r="R180" t="s">
        <v>270</v>
      </c>
    </row>
    <row r="181" spans="1:18">
      <c r="A181" s="2">
        <f t="shared" si="13"/>
        <v>45835</v>
      </c>
      <c r="B181">
        <f t="shared" si="10"/>
        <v>5</v>
      </c>
      <c r="C181">
        <f t="shared" si="14"/>
        <v>0</v>
      </c>
      <c r="D181">
        <f t="shared" si="11"/>
        <v>0</v>
      </c>
      <c r="E181">
        <f>IF($B$2&lt;&gt;$I$3,COUNTIF(Tab_fériés[date],A181),0)</f>
        <v>0</v>
      </c>
      <c r="F181">
        <f t="shared" si="12"/>
        <v>0</v>
      </c>
      <c r="O181" s="2">
        <v>43586</v>
      </c>
      <c r="P181">
        <v>2019</v>
      </c>
      <c r="Q181" t="s">
        <v>268</v>
      </c>
      <c r="R181" t="s">
        <v>271</v>
      </c>
    </row>
    <row r="182" spans="1:18">
      <c r="A182" s="2">
        <f t="shared" si="13"/>
        <v>45836</v>
      </c>
      <c r="B182">
        <f t="shared" si="10"/>
        <v>6</v>
      </c>
      <c r="C182">
        <f t="shared" si="14"/>
        <v>0</v>
      </c>
      <c r="D182">
        <f t="shared" si="11"/>
        <v>0</v>
      </c>
      <c r="E182">
        <f>IF($B$2&lt;&gt;$I$3,COUNTIF(Tab_fériés[date],A182),0)</f>
        <v>0</v>
      </c>
      <c r="F182">
        <f t="shared" si="12"/>
        <v>0</v>
      </c>
      <c r="O182" s="2">
        <v>43593</v>
      </c>
      <c r="P182">
        <v>2019</v>
      </c>
      <c r="Q182" t="s">
        <v>268</v>
      </c>
      <c r="R182" s="137">
        <v>45054</v>
      </c>
    </row>
    <row r="183" spans="1:18">
      <c r="A183" s="2">
        <f t="shared" si="13"/>
        <v>45837</v>
      </c>
      <c r="B183">
        <f t="shared" si="10"/>
        <v>7</v>
      </c>
      <c r="C183">
        <f t="shared" si="14"/>
        <v>0</v>
      </c>
      <c r="D183">
        <f t="shared" si="11"/>
        <v>0</v>
      </c>
      <c r="E183">
        <f>IF($B$2&lt;&gt;$I$3,COUNTIF(Tab_fériés[date],A183),0)</f>
        <v>0</v>
      </c>
      <c r="F183">
        <f t="shared" si="12"/>
        <v>0</v>
      </c>
      <c r="O183" s="2">
        <v>43615</v>
      </c>
      <c r="P183">
        <v>2019</v>
      </c>
      <c r="Q183" t="s">
        <v>268</v>
      </c>
      <c r="R183" t="s">
        <v>274</v>
      </c>
    </row>
    <row r="184" spans="1:18">
      <c r="A184" s="2">
        <f t="shared" si="13"/>
        <v>45838</v>
      </c>
      <c r="B184">
        <f t="shared" si="10"/>
        <v>1</v>
      </c>
      <c r="C184">
        <f t="shared" si="14"/>
        <v>0</v>
      </c>
      <c r="D184">
        <f t="shared" si="11"/>
        <v>0</v>
      </c>
      <c r="E184">
        <f>IF($B$2&lt;&gt;$I$3,COUNTIF(Tab_fériés[date],A184),0)</f>
        <v>0</v>
      </c>
      <c r="F184">
        <f t="shared" si="12"/>
        <v>0</v>
      </c>
      <c r="O184" s="2">
        <v>43626</v>
      </c>
      <c r="P184">
        <v>2019</v>
      </c>
      <c r="Q184" t="s">
        <v>268</v>
      </c>
      <c r="R184" t="s">
        <v>275</v>
      </c>
    </row>
    <row r="185" spans="1:18">
      <c r="A185" s="2">
        <f t="shared" si="13"/>
        <v>45839</v>
      </c>
      <c r="B185">
        <f t="shared" si="10"/>
        <v>2</v>
      </c>
      <c r="C185">
        <f t="shared" si="14"/>
        <v>0</v>
      </c>
      <c r="D185">
        <f t="shared" si="11"/>
        <v>0</v>
      </c>
      <c r="E185">
        <f>IF($B$2&lt;&gt;$I$3,COUNTIF(Tab_fériés[date],A185),0)</f>
        <v>0</v>
      </c>
      <c r="F185">
        <f t="shared" si="12"/>
        <v>0</v>
      </c>
      <c r="O185" s="2">
        <v>43660</v>
      </c>
      <c r="P185">
        <v>2019</v>
      </c>
      <c r="Q185" t="s">
        <v>268</v>
      </c>
      <c r="R185" s="137">
        <v>45121</v>
      </c>
    </row>
    <row r="186" spans="1:18">
      <c r="A186" s="2">
        <f t="shared" si="13"/>
        <v>45840</v>
      </c>
      <c r="B186">
        <f t="shared" si="10"/>
        <v>3</v>
      </c>
      <c r="C186">
        <f t="shared" si="14"/>
        <v>0</v>
      </c>
      <c r="D186">
        <f t="shared" si="11"/>
        <v>0</v>
      </c>
      <c r="E186">
        <f>IF($B$2&lt;&gt;$I$3,COUNTIF(Tab_fériés[date],A186),0)</f>
        <v>0</v>
      </c>
      <c r="F186">
        <f t="shared" si="12"/>
        <v>0</v>
      </c>
      <c r="O186" s="2">
        <v>43692</v>
      </c>
      <c r="P186">
        <v>2019</v>
      </c>
      <c r="Q186" t="s">
        <v>268</v>
      </c>
      <c r="R186" t="s">
        <v>277</v>
      </c>
    </row>
    <row r="187" spans="1:18">
      <c r="A187" s="2">
        <f t="shared" si="13"/>
        <v>45841</v>
      </c>
      <c r="B187">
        <f t="shared" si="10"/>
        <v>4</v>
      </c>
      <c r="C187">
        <f t="shared" si="14"/>
        <v>0</v>
      </c>
      <c r="D187">
        <f t="shared" si="11"/>
        <v>0</v>
      </c>
      <c r="E187">
        <f>IF($B$2&lt;&gt;$I$3,COUNTIF(Tab_fériés[date],A187),0)</f>
        <v>0</v>
      </c>
      <c r="F187">
        <f t="shared" si="12"/>
        <v>0</v>
      </c>
      <c r="O187" s="2">
        <v>43770</v>
      </c>
      <c r="P187">
        <v>2019</v>
      </c>
      <c r="Q187" t="s">
        <v>268</v>
      </c>
      <c r="R187" t="s">
        <v>278</v>
      </c>
    </row>
    <row r="188" spans="1:18">
      <c r="A188" s="2">
        <f t="shared" si="13"/>
        <v>45842</v>
      </c>
      <c r="B188">
        <f t="shared" si="10"/>
        <v>5</v>
      </c>
      <c r="C188">
        <f t="shared" si="14"/>
        <v>0</v>
      </c>
      <c r="D188">
        <f t="shared" si="11"/>
        <v>0</v>
      </c>
      <c r="E188">
        <f>IF($B$2&lt;&gt;$I$3,COUNTIF(Tab_fériés[date],A188),0)</f>
        <v>0</v>
      </c>
      <c r="F188">
        <f t="shared" si="12"/>
        <v>0</v>
      </c>
      <c r="O188" s="2">
        <v>43780</v>
      </c>
      <c r="P188">
        <v>2019</v>
      </c>
      <c r="Q188" t="s">
        <v>268</v>
      </c>
      <c r="R188" s="137">
        <v>45241</v>
      </c>
    </row>
    <row r="189" spans="1:18">
      <c r="A189" s="2">
        <f t="shared" si="13"/>
        <v>45843</v>
      </c>
      <c r="B189">
        <f t="shared" si="10"/>
        <v>6</v>
      </c>
      <c r="C189">
        <f t="shared" si="14"/>
        <v>0</v>
      </c>
      <c r="D189">
        <f t="shared" si="11"/>
        <v>0</v>
      </c>
      <c r="E189">
        <f>IF($B$2&lt;&gt;$I$3,COUNTIF(Tab_fériés[date],A189),0)</f>
        <v>0</v>
      </c>
      <c r="F189">
        <f t="shared" si="12"/>
        <v>0</v>
      </c>
      <c r="O189" s="2">
        <v>43824</v>
      </c>
      <c r="P189">
        <v>2019</v>
      </c>
      <c r="Q189" t="s">
        <v>268</v>
      </c>
      <c r="R189" t="s">
        <v>279</v>
      </c>
    </row>
    <row r="190" spans="1:18">
      <c r="A190" s="2">
        <f t="shared" si="13"/>
        <v>45844</v>
      </c>
      <c r="B190">
        <f t="shared" si="10"/>
        <v>7</v>
      </c>
      <c r="C190">
        <f t="shared" si="14"/>
        <v>0</v>
      </c>
      <c r="D190">
        <f t="shared" si="11"/>
        <v>0</v>
      </c>
      <c r="E190">
        <f>IF($B$2&lt;&gt;$I$3,COUNTIF(Tab_fériés[date],A190),0)</f>
        <v>0</v>
      </c>
      <c r="F190">
        <f t="shared" si="12"/>
        <v>0</v>
      </c>
      <c r="O190" s="2">
        <v>43831</v>
      </c>
      <c r="P190">
        <v>2020</v>
      </c>
      <c r="Q190" t="s">
        <v>268</v>
      </c>
      <c r="R190" t="s">
        <v>269</v>
      </c>
    </row>
    <row r="191" spans="1:18">
      <c r="A191" s="2">
        <f t="shared" si="13"/>
        <v>45845</v>
      </c>
      <c r="B191">
        <f t="shared" si="10"/>
        <v>1</v>
      </c>
      <c r="C191">
        <f t="shared" si="14"/>
        <v>0</v>
      </c>
      <c r="D191">
        <f t="shared" si="11"/>
        <v>0</v>
      </c>
      <c r="E191">
        <f>IF($B$2&lt;&gt;$I$3,COUNTIF(Tab_fériés[date],A191),0)</f>
        <v>0</v>
      </c>
      <c r="F191">
        <f t="shared" si="12"/>
        <v>0</v>
      </c>
      <c r="O191" s="2">
        <v>43934</v>
      </c>
      <c r="P191">
        <v>2020</v>
      </c>
      <c r="Q191" t="s">
        <v>268</v>
      </c>
      <c r="R191" t="s">
        <v>270</v>
      </c>
    </row>
    <row r="192" spans="1:18">
      <c r="A192" s="2">
        <f t="shared" si="13"/>
        <v>45846</v>
      </c>
      <c r="B192">
        <f t="shared" si="10"/>
        <v>2</v>
      </c>
      <c r="C192">
        <f t="shared" si="14"/>
        <v>0</v>
      </c>
      <c r="D192">
        <f t="shared" si="11"/>
        <v>0</v>
      </c>
      <c r="E192">
        <f>IF($B$2&lt;&gt;$I$3,COUNTIF(Tab_fériés[date],A192),0)</f>
        <v>0</v>
      </c>
      <c r="F192">
        <f t="shared" si="12"/>
        <v>0</v>
      </c>
      <c r="O192" s="2">
        <v>43952</v>
      </c>
      <c r="P192">
        <v>2020</v>
      </c>
      <c r="Q192" t="s">
        <v>268</v>
      </c>
      <c r="R192" t="s">
        <v>271</v>
      </c>
    </row>
    <row r="193" spans="1:18">
      <c r="A193" s="2">
        <f t="shared" si="13"/>
        <v>45847</v>
      </c>
      <c r="B193">
        <f t="shared" si="10"/>
        <v>3</v>
      </c>
      <c r="C193">
        <f t="shared" si="14"/>
        <v>0</v>
      </c>
      <c r="D193">
        <f t="shared" si="11"/>
        <v>0</v>
      </c>
      <c r="E193">
        <f>IF($B$2&lt;&gt;$I$3,COUNTIF(Tab_fériés[date],A193),0)</f>
        <v>0</v>
      </c>
      <c r="F193">
        <f t="shared" si="12"/>
        <v>0</v>
      </c>
      <c r="O193" s="2">
        <v>43959</v>
      </c>
      <c r="P193">
        <v>2020</v>
      </c>
      <c r="Q193" t="s">
        <v>268</v>
      </c>
      <c r="R193" s="137">
        <v>45054</v>
      </c>
    </row>
    <row r="194" spans="1:18">
      <c r="A194" s="2">
        <f t="shared" si="13"/>
        <v>45848</v>
      </c>
      <c r="B194">
        <f t="shared" si="10"/>
        <v>4</v>
      </c>
      <c r="C194">
        <f t="shared" si="14"/>
        <v>0</v>
      </c>
      <c r="D194">
        <f t="shared" si="11"/>
        <v>0</v>
      </c>
      <c r="E194">
        <f>IF($B$2&lt;&gt;$I$3,COUNTIF(Tab_fériés[date],A194),0)</f>
        <v>0</v>
      </c>
      <c r="F194">
        <f t="shared" si="12"/>
        <v>0</v>
      </c>
      <c r="O194" s="2">
        <v>43972</v>
      </c>
      <c r="P194">
        <v>2020</v>
      </c>
      <c r="Q194" t="s">
        <v>268</v>
      </c>
      <c r="R194" t="s">
        <v>274</v>
      </c>
    </row>
    <row r="195" spans="1:18">
      <c r="A195" s="2">
        <f t="shared" si="13"/>
        <v>45849</v>
      </c>
      <c r="B195">
        <f t="shared" si="10"/>
        <v>5</v>
      </c>
      <c r="C195">
        <f t="shared" si="14"/>
        <v>0</v>
      </c>
      <c r="D195">
        <f t="shared" si="11"/>
        <v>0</v>
      </c>
      <c r="E195">
        <f>IF($B$2&lt;&gt;$I$3,COUNTIF(Tab_fériés[date],A195),0)</f>
        <v>0</v>
      </c>
      <c r="F195">
        <f t="shared" si="12"/>
        <v>0</v>
      </c>
      <c r="O195" s="2">
        <v>43983</v>
      </c>
      <c r="P195">
        <v>2020</v>
      </c>
      <c r="Q195" t="s">
        <v>268</v>
      </c>
      <c r="R195" t="s">
        <v>275</v>
      </c>
    </row>
    <row r="196" spans="1:18">
      <c r="A196" s="2">
        <f t="shared" si="13"/>
        <v>45850</v>
      </c>
      <c r="B196">
        <f t="shared" si="10"/>
        <v>6</v>
      </c>
      <c r="C196">
        <f t="shared" si="14"/>
        <v>0</v>
      </c>
      <c r="D196">
        <f t="shared" si="11"/>
        <v>0</v>
      </c>
      <c r="E196">
        <f>IF($B$2&lt;&gt;$I$3,COUNTIF(Tab_fériés[date],A196),0)</f>
        <v>0</v>
      </c>
      <c r="F196">
        <f t="shared" si="12"/>
        <v>0</v>
      </c>
      <c r="O196" s="2">
        <v>44026</v>
      </c>
      <c r="P196">
        <v>2020</v>
      </c>
      <c r="Q196" t="s">
        <v>268</v>
      </c>
      <c r="R196" s="137">
        <v>45121</v>
      </c>
    </row>
    <row r="197" spans="1:18">
      <c r="A197" s="2">
        <f t="shared" si="13"/>
        <v>45851</v>
      </c>
      <c r="B197">
        <f t="shared" ref="B197:B260" si="15">WEEKDAY(A197,2)</f>
        <v>7</v>
      </c>
      <c r="C197">
        <f t="shared" si="14"/>
        <v>0</v>
      </c>
      <c r="D197">
        <f t="shared" ref="D197:D260" si="16">IF(AND(B197=7,$B$2&lt;&gt;$I$3),1,0)</f>
        <v>0</v>
      </c>
      <c r="E197">
        <f>IF($B$2&lt;&gt;$I$3,COUNTIF(Tab_fériés[date],A197),0)</f>
        <v>0</v>
      </c>
      <c r="F197">
        <f t="shared" ref="F197:F260" si="17">IFERROR(IF(SUM(C197:E197)&gt;0,1,0),0)</f>
        <v>0</v>
      </c>
      <c r="O197" s="2">
        <v>44058</v>
      </c>
      <c r="P197">
        <v>2020</v>
      </c>
      <c r="Q197" t="s">
        <v>268</v>
      </c>
      <c r="R197" t="s">
        <v>277</v>
      </c>
    </row>
    <row r="198" spans="1:18">
      <c r="A198" s="2">
        <f t="shared" ref="A198:A261" si="18">A197+1</f>
        <v>45852</v>
      </c>
      <c r="B198">
        <f t="shared" si="15"/>
        <v>1</v>
      </c>
      <c r="C198">
        <f t="shared" ref="C198:C261" si="19">IF(AND(B198=6,$B$2&lt;&gt;$I$3,$B$2&lt;&gt;$I$5),1,0)</f>
        <v>0</v>
      </c>
      <c r="D198">
        <f t="shared" si="16"/>
        <v>0</v>
      </c>
      <c r="E198">
        <f>IF($B$2&lt;&gt;$I$3,COUNTIF(Tab_fériés[date],A198),0)</f>
        <v>0</v>
      </c>
      <c r="F198">
        <f t="shared" si="17"/>
        <v>0</v>
      </c>
      <c r="O198" s="2">
        <v>44136</v>
      </c>
      <c r="P198">
        <v>2020</v>
      </c>
      <c r="Q198" t="s">
        <v>268</v>
      </c>
      <c r="R198" t="s">
        <v>278</v>
      </c>
    </row>
    <row r="199" spans="1:18">
      <c r="A199" s="2">
        <f t="shared" si="18"/>
        <v>45853</v>
      </c>
      <c r="B199">
        <f t="shared" si="15"/>
        <v>2</v>
      </c>
      <c r="C199">
        <f t="shared" si="19"/>
        <v>0</v>
      </c>
      <c r="D199">
        <f t="shared" si="16"/>
        <v>0</v>
      </c>
      <c r="E199">
        <f>IF($B$2&lt;&gt;$I$3,COUNTIF(Tab_fériés[date],A199),0)</f>
        <v>0</v>
      </c>
      <c r="F199">
        <f t="shared" si="17"/>
        <v>0</v>
      </c>
      <c r="O199" s="2">
        <v>44146</v>
      </c>
      <c r="P199">
        <v>2020</v>
      </c>
      <c r="Q199" t="s">
        <v>268</v>
      </c>
      <c r="R199" s="137">
        <v>45241</v>
      </c>
    </row>
    <row r="200" spans="1:18">
      <c r="A200" s="2">
        <f t="shared" si="18"/>
        <v>45854</v>
      </c>
      <c r="B200">
        <f t="shared" si="15"/>
        <v>3</v>
      </c>
      <c r="C200">
        <f t="shared" si="19"/>
        <v>0</v>
      </c>
      <c r="D200">
        <f t="shared" si="16"/>
        <v>0</v>
      </c>
      <c r="E200">
        <f>IF($B$2&lt;&gt;$I$3,COUNTIF(Tab_fériés[date],A200),0)</f>
        <v>0</v>
      </c>
      <c r="F200">
        <f t="shared" si="17"/>
        <v>0</v>
      </c>
      <c r="O200" s="2">
        <v>44190</v>
      </c>
      <c r="P200">
        <v>2020</v>
      </c>
      <c r="Q200" t="s">
        <v>268</v>
      </c>
      <c r="R200" t="s">
        <v>279</v>
      </c>
    </row>
    <row r="201" spans="1:18">
      <c r="A201" s="2">
        <f t="shared" si="18"/>
        <v>45855</v>
      </c>
      <c r="B201">
        <f t="shared" si="15"/>
        <v>4</v>
      </c>
      <c r="C201">
        <f t="shared" si="19"/>
        <v>0</v>
      </c>
      <c r="D201">
        <f t="shared" si="16"/>
        <v>0</v>
      </c>
      <c r="E201">
        <f>IF($B$2&lt;&gt;$I$3,COUNTIF(Tab_fériés[date],A201),0)</f>
        <v>0</v>
      </c>
      <c r="F201">
        <f t="shared" si="17"/>
        <v>0</v>
      </c>
      <c r="O201" s="2">
        <v>44197</v>
      </c>
      <c r="P201">
        <v>2021</v>
      </c>
      <c r="Q201" t="s">
        <v>268</v>
      </c>
      <c r="R201" t="s">
        <v>269</v>
      </c>
    </row>
    <row r="202" spans="1:18">
      <c r="A202" s="2">
        <f t="shared" si="18"/>
        <v>45856</v>
      </c>
      <c r="B202">
        <f t="shared" si="15"/>
        <v>5</v>
      </c>
      <c r="C202">
        <f t="shared" si="19"/>
        <v>0</v>
      </c>
      <c r="D202">
        <f t="shared" si="16"/>
        <v>0</v>
      </c>
      <c r="E202">
        <f>IF($B$2&lt;&gt;$I$3,COUNTIF(Tab_fériés[date],A202),0)</f>
        <v>0</v>
      </c>
      <c r="F202">
        <f t="shared" si="17"/>
        <v>0</v>
      </c>
      <c r="O202" s="2">
        <v>44291</v>
      </c>
      <c r="P202">
        <v>2021</v>
      </c>
      <c r="Q202" t="s">
        <v>268</v>
      </c>
      <c r="R202" t="s">
        <v>270</v>
      </c>
    </row>
    <row r="203" spans="1:18">
      <c r="A203" s="2">
        <f t="shared" si="18"/>
        <v>45857</v>
      </c>
      <c r="B203">
        <f t="shared" si="15"/>
        <v>6</v>
      </c>
      <c r="C203">
        <f t="shared" si="19"/>
        <v>0</v>
      </c>
      <c r="D203">
        <f t="shared" si="16"/>
        <v>0</v>
      </c>
      <c r="E203">
        <f>IF($B$2&lt;&gt;$I$3,COUNTIF(Tab_fériés[date],A203),0)</f>
        <v>0</v>
      </c>
      <c r="F203">
        <f t="shared" si="17"/>
        <v>0</v>
      </c>
      <c r="O203" s="2">
        <v>44317</v>
      </c>
      <c r="P203">
        <v>2021</v>
      </c>
      <c r="Q203" t="s">
        <v>268</v>
      </c>
      <c r="R203" t="s">
        <v>271</v>
      </c>
    </row>
    <row r="204" spans="1:18">
      <c r="A204" s="2">
        <f t="shared" si="18"/>
        <v>45858</v>
      </c>
      <c r="B204">
        <f t="shared" si="15"/>
        <v>7</v>
      </c>
      <c r="C204">
        <f t="shared" si="19"/>
        <v>0</v>
      </c>
      <c r="D204">
        <f t="shared" si="16"/>
        <v>0</v>
      </c>
      <c r="E204">
        <f>IF($B$2&lt;&gt;$I$3,COUNTIF(Tab_fériés[date],A204),0)</f>
        <v>0</v>
      </c>
      <c r="F204">
        <f t="shared" si="17"/>
        <v>0</v>
      </c>
      <c r="O204" s="2">
        <v>44324</v>
      </c>
      <c r="P204">
        <v>2021</v>
      </c>
      <c r="Q204" t="s">
        <v>268</v>
      </c>
      <c r="R204" s="137">
        <v>45054</v>
      </c>
    </row>
    <row r="205" spans="1:18">
      <c r="A205" s="2">
        <f t="shared" si="18"/>
        <v>45859</v>
      </c>
      <c r="B205">
        <f t="shared" si="15"/>
        <v>1</v>
      </c>
      <c r="C205">
        <f t="shared" si="19"/>
        <v>0</v>
      </c>
      <c r="D205">
        <f t="shared" si="16"/>
        <v>0</v>
      </c>
      <c r="E205">
        <f>IF($B$2&lt;&gt;$I$3,COUNTIF(Tab_fériés[date],A205),0)</f>
        <v>0</v>
      </c>
      <c r="F205">
        <f t="shared" si="17"/>
        <v>0</v>
      </c>
      <c r="O205" s="2">
        <v>44329</v>
      </c>
      <c r="P205">
        <v>2021</v>
      </c>
      <c r="Q205" t="s">
        <v>268</v>
      </c>
      <c r="R205" t="s">
        <v>274</v>
      </c>
    </row>
    <row r="206" spans="1:18">
      <c r="A206" s="2">
        <f t="shared" si="18"/>
        <v>45860</v>
      </c>
      <c r="B206">
        <f t="shared" si="15"/>
        <v>2</v>
      </c>
      <c r="C206">
        <f t="shared" si="19"/>
        <v>0</v>
      </c>
      <c r="D206">
        <f t="shared" si="16"/>
        <v>0</v>
      </c>
      <c r="E206">
        <f>IF($B$2&lt;&gt;$I$3,COUNTIF(Tab_fériés[date],A206),0)</f>
        <v>0</v>
      </c>
      <c r="F206">
        <f t="shared" si="17"/>
        <v>0</v>
      </c>
      <c r="O206" s="2">
        <v>44340</v>
      </c>
      <c r="P206">
        <v>2021</v>
      </c>
      <c r="Q206" t="s">
        <v>268</v>
      </c>
      <c r="R206" t="s">
        <v>275</v>
      </c>
    </row>
    <row r="207" spans="1:18">
      <c r="A207" s="2">
        <f t="shared" si="18"/>
        <v>45861</v>
      </c>
      <c r="B207">
        <f t="shared" si="15"/>
        <v>3</v>
      </c>
      <c r="C207">
        <f t="shared" si="19"/>
        <v>0</v>
      </c>
      <c r="D207">
        <f t="shared" si="16"/>
        <v>0</v>
      </c>
      <c r="E207">
        <f>IF($B$2&lt;&gt;$I$3,COUNTIF(Tab_fériés[date],A207),0)</f>
        <v>0</v>
      </c>
      <c r="F207">
        <f t="shared" si="17"/>
        <v>0</v>
      </c>
      <c r="O207" s="2">
        <v>44391</v>
      </c>
      <c r="P207">
        <v>2021</v>
      </c>
      <c r="Q207" t="s">
        <v>268</v>
      </c>
      <c r="R207" s="137">
        <v>45121</v>
      </c>
    </row>
    <row r="208" spans="1:18">
      <c r="A208" s="2">
        <f t="shared" si="18"/>
        <v>45862</v>
      </c>
      <c r="B208">
        <f t="shared" si="15"/>
        <v>4</v>
      </c>
      <c r="C208">
        <f t="shared" si="19"/>
        <v>0</v>
      </c>
      <c r="D208">
        <f t="shared" si="16"/>
        <v>0</v>
      </c>
      <c r="E208">
        <f>IF($B$2&lt;&gt;$I$3,COUNTIF(Tab_fériés[date],A208),0)</f>
        <v>0</v>
      </c>
      <c r="F208">
        <f t="shared" si="17"/>
        <v>0</v>
      </c>
      <c r="O208" s="2">
        <v>44423</v>
      </c>
      <c r="P208">
        <v>2021</v>
      </c>
      <c r="Q208" t="s">
        <v>268</v>
      </c>
      <c r="R208" t="s">
        <v>277</v>
      </c>
    </row>
    <row r="209" spans="1:18">
      <c r="A209" s="2">
        <f t="shared" si="18"/>
        <v>45863</v>
      </c>
      <c r="B209">
        <f t="shared" si="15"/>
        <v>5</v>
      </c>
      <c r="C209">
        <f t="shared" si="19"/>
        <v>0</v>
      </c>
      <c r="D209">
        <f t="shared" si="16"/>
        <v>0</v>
      </c>
      <c r="E209">
        <f>IF($B$2&lt;&gt;$I$3,COUNTIF(Tab_fériés[date],A209),0)</f>
        <v>0</v>
      </c>
      <c r="F209">
        <f t="shared" si="17"/>
        <v>0</v>
      </c>
      <c r="O209" s="2">
        <v>44501</v>
      </c>
      <c r="P209">
        <v>2021</v>
      </c>
      <c r="Q209" t="s">
        <v>268</v>
      </c>
      <c r="R209" t="s">
        <v>278</v>
      </c>
    </row>
    <row r="210" spans="1:18">
      <c r="A210" s="2">
        <f t="shared" si="18"/>
        <v>45864</v>
      </c>
      <c r="B210">
        <f t="shared" si="15"/>
        <v>6</v>
      </c>
      <c r="C210">
        <f t="shared" si="19"/>
        <v>0</v>
      </c>
      <c r="D210">
        <f t="shared" si="16"/>
        <v>0</v>
      </c>
      <c r="E210">
        <f>IF($B$2&lt;&gt;$I$3,COUNTIF(Tab_fériés[date],A210),0)</f>
        <v>0</v>
      </c>
      <c r="F210">
        <f t="shared" si="17"/>
        <v>0</v>
      </c>
      <c r="O210" s="2">
        <v>44511</v>
      </c>
      <c r="P210">
        <v>2021</v>
      </c>
      <c r="Q210" t="s">
        <v>268</v>
      </c>
      <c r="R210" s="137">
        <v>45241</v>
      </c>
    </row>
    <row r="211" spans="1:18">
      <c r="A211" s="2">
        <f t="shared" si="18"/>
        <v>45865</v>
      </c>
      <c r="B211">
        <f t="shared" si="15"/>
        <v>7</v>
      </c>
      <c r="C211">
        <f t="shared" si="19"/>
        <v>0</v>
      </c>
      <c r="D211">
        <f t="shared" si="16"/>
        <v>0</v>
      </c>
      <c r="E211">
        <f>IF($B$2&lt;&gt;$I$3,COUNTIF(Tab_fériés[date],A211),0)</f>
        <v>0</v>
      </c>
      <c r="F211">
        <f t="shared" si="17"/>
        <v>0</v>
      </c>
      <c r="O211" s="2">
        <v>44555</v>
      </c>
      <c r="P211">
        <v>2021</v>
      </c>
      <c r="Q211" t="s">
        <v>268</v>
      </c>
      <c r="R211" t="s">
        <v>279</v>
      </c>
    </row>
    <row r="212" spans="1:18">
      <c r="A212" s="2">
        <f t="shared" si="18"/>
        <v>45866</v>
      </c>
      <c r="B212">
        <f t="shared" si="15"/>
        <v>1</v>
      </c>
      <c r="C212">
        <f t="shared" si="19"/>
        <v>0</v>
      </c>
      <c r="D212">
        <f t="shared" si="16"/>
        <v>0</v>
      </c>
      <c r="E212">
        <f>IF($B$2&lt;&gt;$I$3,COUNTIF(Tab_fériés[date],A212),0)</f>
        <v>0</v>
      </c>
      <c r="F212">
        <f t="shared" si="17"/>
        <v>0</v>
      </c>
      <c r="O212" s="2">
        <v>44562</v>
      </c>
      <c r="P212">
        <v>2022</v>
      </c>
      <c r="Q212" t="s">
        <v>268</v>
      </c>
      <c r="R212" t="s">
        <v>269</v>
      </c>
    </row>
    <row r="213" spans="1:18">
      <c r="A213" s="2">
        <f t="shared" si="18"/>
        <v>45867</v>
      </c>
      <c r="B213">
        <f t="shared" si="15"/>
        <v>2</v>
      </c>
      <c r="C213">
        <f t="shared" si="19"/>
        <v>0</v>
      </c>
      <c r="D213">
        <f t="shared" si="16"/>
        <v>0</v>
      </c>
      <c r="E213">
        <f>IF($B$2&lt;&gt;$I$3,COUNTIF(Tab_fériés[date],A213),0)</f>
        <v>0</v>
      </c>
      <c r="F213">
        <f t="shared" si="17"/>
        <v>0</v>
      </c>
      <c r="O213" s="2">
        <v>44669</v>
      </c>
      <c r="P213">
        <v>2022</v>
      </c>
      <c r="Q213" t="s">
        <v>268</v>
      </c>
      <c r="R213" t="s">
        <v>270</v>
      </c>
    </row>
    <row r="214" spans="1:18">
      <c r="A214" s="2">
        <f t="shared" si="18"/>
        <v>45868</v>
      </c>
      <c r="B214">
        <f t="shared" si="15"/>
        <v>3</v>
      </c>
      <c r="C214">
        <f t="shared" si="19"/>
        <v>0</v>
      </c>
      <c r="D214">
        <f t="shared" si="16"/>
        <v>0</v>
      </c>
      <c r="E214">
        <f>IF($B$2&lt;&gt;$I$3,COUNTIF(Tab_fériés[date],A214),0)</f>
        <v>0</v>
      </c>
      <c r="F214">
        <f t="shared" si="17"/>
        <v>0</v>
      </c>
      <c r="O214" s="2">
        <v>44682</v>
      </c>
      <c r="P214">
        <v>2022</v>
      </c>
      <c r="Q214" t="s">
        <v>268</v>
      </c>
      <c r="R214" t="s">
        <v>271</v>
      </c>
    </row>
    <row r="215" spans="1:18">
      <c r="A215" s="2">
        <f t="shared" si="18"/>
        <v>45869</v>
      </c>
      <c r="B215">
        <f t="shared" si="15"/>
        <v>4</v>
      </c>
      <c r="C215">
        <f t="shared" si="19"/>
        <v>0</v>
      </c>
      <c r="D215">
        <f t="shared" si="16"/>
        <v>0</v>
      </c>
      <c r="E215">
        <f>IF($B$2&lt;&gt;$I$3,COUNTIF(Tab_fériés[date],A215),0)</f>
        <v>0</v>
      </c>
      <c r="F215">
        <f t="shared" si="17"/>
        <v>0</v>
      </c>
      <c r="O215" s="2">
        <v>44689</v>
      </c>
      <c r="P215">
        <v>2022</v>
      </c>
      <c r="Q215" t="s">
        <v>268</v>
      </c>
      <c r="R215" s="137">
        <v>45054</v>
      </c>
    </row>
    <row r="216" spans="1:18">
      <c r="A216" s="2">
        <f t="shared" si="18"/>
        <v>45870</v>
      </c>
      <c r="B216">
        <f t="shared" si="15"/>
        <v>5</v>
      </c>
      <c r="C216">
        <f t="shared" si="19"/>
        <v>0</v>
      </c>
      <c r="D216">
        <f t="shared" si="16"/>
        <v>0</v>
      </c>
      <c r="E216">
        <f>IF($B$2&lt;&gt;$I$3,COUNTIF(Tab_fériés[date],A216),0)</f>
        <v>0</v>
      </c>
      <c r="F216">
        <f t="shared" si="17"/>
        <v>0</v>
      </c>
      <c r="O216" s="2">
        <v>44707</v>
      </c>
      <c r="P216">
        <v>2022</v>
      </c>
      <c r="Q216" t="s">
        <v>268</v>
      </c>
      <c r="R216" t="s">
        <v>274</v>
      </c>
    </row>
    <row r="217" spans="1:18">
      <c r="A217" s="2">
        <f t="shared" si="18"/>
        <v>45871</v>
      </c>
      <c r="B217">
        <f t="shared" si="15"/>
        <v>6</v>
      </c>
      <c r="C217">
        <f t="shared" si="19"/>
        <v>0</v>
      </c>
      <c r="D217">
        <f t="shared" si="16"/>
        <v>0</v>
      </c>
      <c r="E217">
        <f>IF($B$2&lt;&gt;$I$3,COUNTIF(Tab_fériés[date],A217),0)</f>
        <v>0</v>
      </c>
      <c r="F217">
        <f t="shared" si="17"/>
        <v>0</v>
      </c>
      <c r="O217" s="2">
        <v>44718</v>
      </c>
      <c r="P217">
        <v>2022</v>
      </c>
      <c r="Q217" t="s">
        <v>268</v>
      </c>
      <c r="R217" t="s">
        <v>275</v>
      </c>
    </row>
    <row r="218" spans="1:18">
      <c r="A218" s="2">
        <f t="shared" si="18"/>
        <v>45872</v>
      </c>
      <c r="B218">
        <f t="shared" si="15"/>
        <v>7</v>
      </c>
      <c r="C218">
        <f t="shared" si="19"/>
        <v>0</v>
      </c>
      <c r="D218">
        <f t="shared" si="16"/>
        <v>0</v>
      </c>
      <c r="E218">
        <f>IF($B$2&lt;&gt;$I$3,COUNTIF(Tab_fériés[date],A218),0)</f>
        <v>0</v>
      </c>
      <c r="F218">
        <f t="shared" si="17"/>
        <v>0</v>
      </c>
      <c r="O218" s="2">
        <v>44756</v>
      </c>
      <c r="P218">
        <v>2022</v>
      </c>
      <c r="Q218" t="s">
        <v>268</v>
      </c>
      <c r="R218" s="137">
        <v>45121</v>
      </c>
    </row>
    <row r="219" spans="1:18">
      <c r="A219" s="2">
        <f t="shared" si="18"/>
        <v>45873</v>
      </c>
      <c r="B219">
        <f t="shared" si="15"/>
        <v>1</v>
      </c>
      <c r="C219">
        <f t="shared" si="19"/>
        <v>0</v>
      </c>
      <c r="D219">
        <f t="shared" si="16"/>
        <v>0</v>
      </c>
      <c r="E219">
        <f>IF($B$2&lt;&gt;$I$3,COUNTIF(Tab_fériés[date],A219),0)</f>
        <v>0</v>
      </c>
      <c r="F219">
        <f t="shared" si="17"/>
        <v>0</v>
      </c>
      <c r="O219" s="2">
        <v>44788</v>
      </c>
      <c r="P219">
        <v>2022</v>
      </c>
      <c r="Q219" t="s">
        <v>268</v>
      </c>
      <c r="R219" t="s">
        <v>277</v>
      </c>
    </row>
    <row r="220" spans="1:18">
      <c r="A220" s="2">
        <f t="shared" si="18"/>
        <v>45874</v>
      </c>
      <c r="B220">
        <f t="shared" si="15"/>
        <v>2</v>
      </c>
      <c r="C220">
        <f t="shared" si="19"/>
        <v>0</v>
      </c>
      <c r="D220">
        <f t="shared" si="16"/>
        <v>0</v>
      </c>
      <c r="E220">
        <f>IF($B$2&lt;&gt;$I$3,COUNTIF(Tab_fériés[date],A220),0)</f>
        <v>0</v>
      </c>
      <c r="F220">
        <f t="shared" si="17"/>
        <v>0</v>
      </c>
      <c r="O220" s="2">
        <v>44866</v>
      </c>
      <c r="P220">
        <v>2022</v>
      </c>
      <c r="Q220" t="s">
        <v>268</v>
      </c>
      <c r="R220" t="s">
        <v>278</v>
      </c>
    </row>
    <row r="221" spans="1:18">
      <c r="A221" s="2">
        <f t="shared" si="18"/>
        <v>45875</v>
      </c>
      <c r="B221">
        <f t="shared" si="15"/>
        <v>3</v>
      </c>
      <c r="C221">
        <f t="shared" si="19"/>
        <v>0</v>
      </c>
      <c r="D221">
        <f t="shared" si="16"/>
        <v>0</v>
      </c>
      <c r="E221">
        <f>IF($B$2&lt;&gt;$I$3,COUNTIF(Tab_fériés[date],A221),0)</f>
        <v>0</v>
      </c>
      <c r="F221">
        <f t="shared" si="17"/>
        <v>0</v>
      </c>
      <c r="O221" s="2">
        <v>44876</v>
      </c>
      <c r="P221">
        <v>2022</v>
      </c>
      <c r="Q221" t="s">
        <v>268</v>
      </c>
      <c r="R221" s="137">
        <v>45241</v>
      </c>
    </row>
    <row r="222" spans="1:18">
      <c r="A222" s="2">
        <f t="shared" si="18"/>
        <v>45876</v>
      </c>
      <c r="B222">
        <f t="shared" si="15"/>
        <v>4</v>
      </c>
      <c r="C222">
        <f t="shared" si="19"/>
        <v>0</v>
      </c>
      <c r="D222">
        <f t="shared" si="16"/>
        <v>0</v>
      </c>
      <c r="E222">
        <f>IF($B$2&lt;&gt;$I$3,COUNTIF(Tab_fériés[date],A222),0)</f>
        <v>0</v>
      </c>
      <c r="F222">
        <f t="shared" si="17"/>
        <v>0</v>
      </c>
      <c r="O222" s="2">
        <v>44920</v>
      </c>
      <c r="P222">
        <v>2022</v>
      </c>
      <c r="Q222" t="s">
        <v>268</v>
      </c>
      <c r="R222" t="s">
        <v>279</v>
      </c>
    </row>
    <row r="223" spans="1:18">
      <c r="A223" s="2">
        <f t="shared" si="18"/>
        <v>45877</v>
      </c>
      <c r="B223">
        <f t="shared" si="15"/>
        <v>5</v>
      </c>
      <c r="C223">
        <f t="shared" si="19"/>
        <v>0</v>
      </c>
      <c r="D223">
        <f t="shared" si="16"/>
        <v>0</v>
      </c>
      <c r="E223">
        <f>IF($B$2&lt;&gt;$I$3,COUNTIF(Tab_fériés[date],A223),0)</f>
        <v>0</v>
      </c>
      <c r="F223">
        <f t="shared" si="17"/>
        <v>0</v>
      </c>
      <c r="O223" s="2">
        <v>44927</v>
      </c>
      <c r="P223">
        <v>2023</v>
      </c>
      <c r="Q223" t="s">
        <v>268</v>
      </c>
      <c r="R223" t="s">
        <v>269</v>
      </c>
    </row>
    <row r="224" spans="1:18">
      <c r="A224" s="2">
        <f t="shared" si="18"/>
        <v>45878</v>
      </c>
      <c r="B224">
        <f t="shared" si="15"/>
        <v>6</v>
      </c>
      <c r="C224">
        <f t="shared" si="19"/>
        <v>0</v>
      </c>
      <c r="D224">
        <f t="shared" si="16"/>
        <v>0</v>
      </c>
      <c r="E224">
        <f>IF($B$2&lt;&gt;$I$3,COUNTIF(Tab_fériés[date],A224),0)</f>
        <v>0</v>
      </c>
      <c r="F224">
        <f t="shared" si="17"/>
        <v>0</v>
      </c>
      <c r="O224" s="2">
        <v>45026</v>
      </c>
      <c r="P224">
        <v>2023</v>
      </c>
      <c r="Q224" t="s">
        <v>268</v>
      </c>
      <c r="R224" t="s">
        <v>270</v>
      </c>
    </row>
    <row r="225" spans="1:18">
      <c r="A225" s="2">
        <f t="shared" si="18"/>
        <v>45879</v>
      </c>
      <c r="B225">
        <f t="shared" si="15"/>
        <v>7</v>
      </c>
      <c r="C225">
        <f t="shared" si="19"/>
        <v>0</v>
      </c>
      <c r="D225">
        <f t="shared" si="16"/>
        <v>0</v>
      </c>
      <c r="E225">
        <f>IF($B$2&lt;&gt;$I$3,COUNTIF(Tab_fériés[date],A225),0)</f>
        <v>0</v>
      </c>
      <c r="F225">
        <f t="shared" si="17"/>
        <v>0</v>
      </c>
      <c r="O225" s="2">
        <v>45047</v>
      </c>
      <c r="P225">
        <v>2023</v>
      </c>
      <c r="Q225" t="s">
        <v>268</v>
      </c>
      <c r="R225" t="s">
        <v>271</v>
      </c>
    </row>
    <row r="226" spans="1:18">
      <c r="A226" s="2">
        <f t="shared" si="18"/>
        <v>45880</v>
      </c>
      <c r="B226">
        <f t="shared" si="15"/>
        <v>1</v>
      </c>
      <c r="C226">
        <f t="shared" si="19"/>
        <v>0</v>
      </c>
      <c r="D226">
        <f t="shared" si="16"/>
        <v>0</v>
      </c>
      <c r="E226">
        <f>IF($B$2&lt;&gt;$I$3,COUNTIF(Tab_fériés[date],A226),0)</f>
        <v>0</v>
      </c>
      <c r="F226">
        <f t="shared" si="17"/>
        <v>0</v>
      </c>
      <c r="O226" s="2">
        <v>45054</v>
      </c>
      <c r="P226">
        <v>2023</v>
      </c>
      <c r="Q226" t="s">
        <v>268</v>
      </c>
      <c r="R226" s="137">
        <v>45054</v>
      </c>
    </row>
    <row r="227" spans="1:18">
      <c r="A227" s="2">
        <f t="shared" si="18"/>
        <v>45881</v>
      </c>
      <c r="B227">
        <f t="shared" si="15"/>
        <v>2</v>
      </c>
      <c r="C227">
        <f t="shared" si="19"/>
        <v>0</v>
      </c>
      <c r="D227">
        <f t="shared" si="16"/>
        <v>0</v>
      </c>
      <c r="E227">
        <f>IF($B$2&lt;&gt;$I$3,COUNTIF(Tab_fériés[date],A227),0)</f>
        <v>0</v>
      </c>
      <c r="F227">
        <f t="shared" si="17"/>
        <v>0</v>
      </c>
      <c r="O227" s="2">
        <v>45064</v>
      </c>
      <c r="P227">
        <v>2023</v>
      </c>
      <c r="Q227" t="s">
        <v>268</v>
      </c>
      <c r="R227" t="s">
        <v>274</v>
      </c>
    </row>
    <row r="228" spans="1:18">
      <c r="A228" s="2">
        <f t="shared" si="18"/>
        <v>45882</v>
      </c>
      <c r="B228">
        <f t="shared" si="15"/>
        <v>3</v>
      </c>
      <c r="C228">
        <f t="shared" si="19"/>
        <v>0</v>
      </c>
      <c r="D228">
        <f t="shared" si="16"/>
        <v>0</v>
      </c>
      <c r="E228">
        <f>IF($B$2&lt;&gt;$I$3,COUNTIF(Tab_fériés[date],A228),0)</f>
        <v>0</v>
      </c>
      <c r="F228">
        <f t="shared" si="17"/>
        <v>0</v>
      </c>
      <c r="O228" s="2">
        <v>45075</v>
      </c>
      <c r="P228">
        <v>2023</v>
      </c>
      <c r="Q228" t="s">
        <v>268</v>
      </c>
      <c r="R228" t="s">
        <v>275</v>
      </c>
    </row>
    <row r="229" spans="1:18">
      <c r="A229" s="2">
        <f t="shared" si="18"/>
        <v>45883</v>
      </c>
      <c r="B229">
        <f t="shared" si="15"/>
        <v>4</v>
      </c>
      <c r="C229">
        <f t="shared" si="19"/>
        <v>0</v>
      </c>
      <c r="D229">
        <f t="shared" si="16"/>
        <v>0</v>
      </c>
      <c r="E229">
        <f>IF($B$2&lt;&gt;$I$3,COUNTIF(Tab_fériés[date],A229),0)</f>
        <v>0</v>
      </c>
      <c r="F229">
        <f t="shared" si="17"/>
        <v>0</v>
      </c>
      <c r="O229" s="2">
        <v>45121</v>
      </c>
      <c r="P229">
        <v>2023</v>
      </c>
      <c r="Q229" t="s">
        <v>268</v>
      </c>
      <c r="R229" s="137">
        <v>45121</v>
      </c>
    </row>
    <row r="230" spans="1:18">
      <c r="A230" s="2">
        <f t="shared" si="18"/>
        <v>45884</v>
      </c>
      <c r="B230">
        <f t="shared" si="15"/>
        <v>5</v>
      </c>
      <c r="C230">
        <f t="shared" si="19"/>
        <v>0</v>
      </c>
      <c r="D230">
        <f t="shared" si="16"/>
        <v>0</v>
      </c>
      <c r="E230">
        <f>IF($B$2&lt;&gt;$I$3,COUNTIF(Tab_fériés[date],A230),0)</f>
        <v>0</v>
      </c>
      <c r="F230">
        <f t="shared" si="17"/>
        <v>0</v>
      </c>
      <c r="O230" s="2">
        <v>45153</v>
      </c>
      <c r="P230">
        <v>2023</v>
      </c>
      <c r="Q230" t="s">
        <v>268</v>
      </c>
      <c r="R230" t="s">
        <v>277</v>
      </c>
    </row>
    <row r="231" spans="1:18">
      <c r="A231" s="2">
        <f t="shared" si="18"/>
        <v>45885</v>
      </c>
      <c r="B231">
        <f t="shared" si="15"/>
        <v>6</v>
      </c>
      <c r="C231">
        <f t="shared" si="19"/>
        <v>0</v>
      </c>
      <c r="D231">
        <f t="shared" si="16"/>
        <v>0</v>
      </c>
      <c r="E231">
        <f>IF($B$2&lt;&gt;$I$3,COUNTIF(Tab_fériés[date],A231),0)</f>
        <v>0</v>
      </c>
      <c r="F231">
        <f t="shared" si="17"/>
        <v>0</v>
      </c>
      <c r="O231" s="2">
        <v>45231</v>
      </c>
      <c r="P231">
        <v>2023</v>
      </c>
      <c r="Q231" t="s">
        <v>268</v>
      </c>
      <c r="R231" t="s">
        <v>278</v>
      </c>
    </row>
    <row r="232" spans="1:18">
      <c r="A232" s="2">
        <f t="shared" si="18"/>
        <v>45886</v>
      </c>
      <c r="B232">
        <f t="shared" si="15"/>
        <v>7</v>
      </c>
      <c r="C232">
        <f t="shared" si="19"/>
        <v>0</v>
      </c>
      <c r="D232">
        <f t="shared" si="16"/>
        <v>0</v>
      </c>
      <c r="E232">
        <f>IF($B$2&lt;&gt;$I$3,COUNTIF(Tab_fériés[date],A232),0)</f>
        <v>0</v>
      </c>
      <c r="F232">
        <f t="shared" si="17"/>
        <v>0</v>
      </c>
      <c r="O232" s="2">
        <v>45241</v>
      </c>
      <c r="P232">
        <v>2023</v>
      </c>
      <c r="Q232" t="s">
        <v>268</v>
      </c>
      <c r="R232" s="137">
        <v>45241</v>
      </c>
    </row>
    <row r="233" spans="1:18">
      <c r="A233" s="2">
        <f t="shared" si="18"/>
        <v>45887</v>
      </c>
      <c r="B233">
        <f t="shared" si="15"/>
        <v>1</v>
      </c>
      <c r="C233">
        <f t="shared" si="19"/>
        <v>0</v>
      </c>
      <c r="D233">
        <f t="shared" si="16"/>
        <v>0</v>
      </c>
      <c r="E233">
        <f>IF($B$2&lt;&gt;$I$3,COUNTIF(Tab_fériés[date],A233),0)</f>
        <v>0</v>
      </c>
      <c r="F233">
        <f t="shared" si="17"/>
        <v>0</v>
      </c>
      <c r="O233" s="2">
        <v>45285</v>
      </c>
      <c r="P233">
        <v>2023</v>
      </c>
      <c r="Q233" t="s">
        <v>268</v>
      </c>
      <c r="R233" t="s">
        <v>279</v>
      </c>
    </row>
    <row r="234" spans="1:18">
      <c r="A234" s="2">
        <f t="shared" si="18"/>
        <v>45888</v>
      </c>
      <c r="B234">
        <f t="shared" si="15"/>
        <v>2</v>
      </c>
      <c r="C234">
        <f t="shared" si="19"/>
        <v>0</v>
      </c>
      <c r="D234">
        <f t="shared" si="16"/>
        <v>0</v>
      </c>
      <c r="E234">
        <f>IF($B$2&lt;&gt;$I$3,COUNTIF(Tab_fériés[date],A234),0)</f>
        <v>0</v>
      </c>
      <c r="F234">
        <f t="shared" si="17"/>
        <v>0</v>
      </c>
      <c r="O234" s="2">
        <v>45292</v>
      </c>
      <c r="P234">
        <v>2024</v>
      </c>
      <c r="Q234" t="s">
        <v>268</v>
      </c>
      <c r="R234" t="s">
        <v>269</v>
      </c>
    </row>
    <row r="235" spans="1:18">
      <c r="A235" s="2">
        <f t="shared" si="18"/>
        <v>45889</v>
      </c>
      <c r="B235">
        <f t="shared" si="15"/>
        <v>3</v>
      </c>
      <c r="C235">
        <f t="shared" si="19"/>
        <v>0</v>
      </c>
      <c r="D235">
        <f t="shared" si="16"/>
        <v>0</v>
      </c>
      <c r="E235">
        <f>IF($B$2&lt;&gt;$I$3,COUNTIF(Tab_fériés[date],A235),0)</f>
        <v>0</v>
      </c>
      <c r="F235">
        <f t="shared" si="17"/>
        <v>0</v>
      </c>
      <c r="O235" s="2">
        <v>45383</v>
      </c>
      <c r="P235">
        <v>2024</v>
      </c>
      <c r="Q235" t="s">
        <v>268</v>
      </c>
      <c r="R235" t="s">
        <v>270</v>
      </c>
    </row>
    <row r="236" spans="1:18">
      <c r="A236" s="2">
        <f t="shared" si="18"/>
        <v>45890</v>
      </c>
      <c r="B236">
        <f t="shared" si="15"/>
        <v>4</v>
      </c>
      <c r="C236">
        <f t="shared" si="19"/>
        <v>0</v>
      </c>
      <c r="D236">
        <f t="shared" si="16"/>
        <v>0</v>
      </c>
      <c r="E236">
        <f>IF($B$2&lt;&gt;$I$3,COUNTIF(Tab_fériés[date],A236),0)</f>
        <v>0</v>
      </c>
      <c r="F236">
        <f t="shared" si="17"/>
        <v>0</v>
      </c>
      <c r="O236" s="2">
        <v>45413</v>
      </c>
      <c r="P236">
        <v>2024</v>
      </c>
      <c r="Q236" t="s">
        <v>268</v>
      </c>
      <c r="R236" t="s">
        <v>271</v>
      </c>
    </row>
    <row r="237" spans="1:18">
      <c r="A237" s="2">
        <f t="shared" si="18"/>
        <v>45891</v>
      </c>
      <c r="B237">
        <f t="shared" si="15"/>
        <v>5</v>
      </c>
      <c r="C237">
        <f t="shared" si="19"/>
        <v>0</v>
      </c>
      <c r="D237">
        <f t="shared" si="16"/>
        <v>0</v>
      </c>
      <c r="E237">
        <f>IF($B$2&lt;&gt;$I$3,COUNTIF(Tab_fériés[date],A237),0)</f>
        <v>0</v>
      </c>
      <c r="F237">
        <f t="shared" si="17"/>
        <v>0</v>
      </c>
      <c r="O237" s="2">
        <v>45420</v>
      </c>
      <c r="P237">
        <v>2024</v>
      </c>
      <c r="Q237" t="s">
        <v>268</v>
      </c>
      <c r="R237" s="137">
        <v>45054</v>
      </c>
    </row>
    <row r="238" spans="1:18">
      <c r="A238" s="2">
        <f t="shared" si="18"/>
        <v>45892</v>
      </c>
      <c r="B238">
        <f t="shared" si="15"/>
        <v>6</v>
      </c>
      <c r="C238">
        <f t="shared" si="19"/>
        <v>0</v>
      </c>
      <c r="D238">
        <f t="shared" si="16"/>
        <v>0</v>
      </c>
      <c r="E238">
        <f>IF($B$2&lt;&gt;$I$3,COUNTIF(Tab_fériés[date],A238),0)</f>
        <v>0</v>
      </c>
      <c r="F238">
        <f t="shared" si="17"/>
        <v>0</v>
      </c>
      <c r="O238" s="2">
        <v>45421</v>
      </c>
      <c r="P238">
        <v>2024</v>
      </c>
      <c r="Q238" t="s">
        <v>268</v>
      </c>
      <c r="R238" t="s">
        <v>274</v>
      </c>
    </row>
    <row r="239" spans="1:18">
      <c r="A239" s="2">
        <f t="shared" si="18"/>
        <v>45893</v>
      </c>
      <c r="B239">
        <f t="shared" si="15"/>
        <v>7</v>
      </c>
      <c r="C239">
        <f t="shared" si="19"/>
        <v>0</v>
      </c>
      <c r="D239">
        <f t="shared" si="16"/>
        <v>0</v>
      </c>
      <c r="E239">
        <f>IF($B$2&lt;&gt;$I$3,COUNTIF(Tab_fériés[date],A239),0)</f>
        <v>0</v>
      </c>
      <c r="F239">
        <f t="shared" si="17"/>
        <v>0</v>
      </c>
      <c r="O239" s="2">
        <v>45432</v>
      </c>
      <c r="P239">
        <v>2024</v>
      </c>
      <c r="Q239" t="s">
        <v>268</v>
      </c>
      <c r="R239" t="s">
        <v>275</v>
      </c>
    </row>
    <row r="240" spans="1:18">
      <c r="A240" s="2">
        <f t="shared" si="18"/>
        <v>45894</v>
      </c>
      <c r="B240">
        <f t="shared" si="15"/>
        <v>1</v>
      </c>
      <c r="C240">
        <f t="shared" si="19"/>
        <v>0</v>
      </c>
      <c r="D240">
        <f t="shared" si="16"/>
        <v>0</v>
      </c>
      <c r="E240">
        <f>IF($B$2&lt;&gt;$I$3,COUNTIF(Tab_fériés[date],A240),0)</f>
        <v>0</v>
      </c>
      <c r="F240">
        <f t="shared" si="17"/>
        <v>0</v>
      </c>
      <c r="O240" s="2">
        <v>45487</v>
      </c>
      <c r="P240">
        <v>2024</v>
      </c>
      <c r="Q240" t="s">
        <v>268</v>
      </c>
      <c r="R240" s="137">
        <v>45121</v>
      </c>
    </row>
    <row r="241" spans="1:18">
      <c r="A241" s="2">
        <f t="shared" si="18"/>
        <v>45895</v>
      </c>
      <c r="B241">
        <f t="shared" si="15"/>
        <v>2</v>
      </c>
      <c r="C241">
        <f t="shared" si="19"/>
        <v>0</v>
      </c>
      <c r="D241">
        <f t="shared" si="16"/>
        <v>0</v>
      </c>
      <c r="E241">
        <f>IF($B$2&lt;&gt;$I$3,COUNTIF(Tab_fériés[date],A241),0)</f>
        <v>0</v>
      </c>
      <c r="F241">
        <f t="shared" si="17"/>
        <v>0</v>
      </c>
      <c r="O241" s="2">
        <v>45519</v>
      </c>
      <c r="P241">
        <v>2024</v>
      </c>
      <c r="Q241" t="s">
        <v>268</v>
      </c>
      <c r="R241" t="s">
        <v>277</v>
      </c>
    </row>
    <row r="242" spans="1:18">
      <c r="A242" s="2">
        <f t="shared" si="18"/>
        <v>45896</v>
      </c>
      <c r="B242">
        <f t="shared" si="15"/>
        <v>3</v>
      </c>
      <c r="C242">
        <f t="shared" si="19"/>
        <v>0</v>
      </c>
      <c r="D242">
        <f t="shared" si="16"/>
        <v>0</v>
      </c>
      <c r="E242">
        <f>IF($B$2&lt;&gt;$I$3,COUNTIF(Tab_fériés[date],A242),0)</f>
        <v>0</v>
      </c>
      <c r="F242">
        <f t="shared" si="17"/>
        <v>0</v>
      </c>
      <c r="O242" s="2">
        <v>45597</v>
      </c>
      <c r="P242">
        <v>2024</v>
      </c>
      <c r="Q242" t="s">
        <v>268</v>
      </c>
      <c r="R242" t="s">
        <v>278</v>
      </c>
    </row>
    <row r="243" spans="1:18">
      <c r="A243" s="2">
        <f t="shared" si="18"/>
        <v>45897</v>
      </c>
      <c r="B243">
        <f t="shared" si="15"/>
        <v>4</v>
      </c>
      <c r="C243">
        <f t="shared" si="19"/>
        <v>0</v>
      </c>
      <c r="D243">
        <f t="shared" si="16"/>
        <v>0</v>
      </c>
      <c r="E243">
        <f>IF($B$2&lt;&gt;$I$3,COUNTIF(Tab_fériés[date],A243),0)</f>
        <v>0</v>
      </c>
      <c r="F243">
        <f t="shared" si="17"/>
        <v>0</v>
      </c>
      <c r="O243" s="2">
        <v>45607</v>
      </c>
      <c r="P243">
        <v>2024</v>
      </c>
      <c r="Q243" t="s">
        <v>268</v>
      </c>
      <c r="R243" s="137">
        <v>45241</v>
      </c>
    </row>
    <row r="244" spans="1:18">
      <c r="A244" s="2">
        <f t="shared" si="18"/>
        <v>45898</v>
      </c>
      <c r="B244">
        <f t="shared" si="15"/>
        <v>5</v>
      </c>
      <c r="C244">
        <f t="shared" si="19"/>
        <v>0</v>
      </c>
      <c r="D244">
        <f t="shared" si="16"/>
        <v>0</v>
      </c>
      <c r="E244">
        <f>IF($B$2&lt;&gt;$I$3,COUNTIF(Tab_fériés[date],A244),0)</f>
        <v>0</v>
      </c>
      <c r="F244">
        <f t="shared" si="17"/>
        <v>0</v>
      </c>
      <c r="O244" s="2">
        <v>45651</v>
      </c>
      <c r="P244">
        <v>2024</v>
      </c>
      <c r="Q244" t="s">
        <v>268</v>
      </c>
      <c r="R244" t="s">
        <v>279</v>
      </c>
    </row>
    <row r="245" spans="1:18">
      <c r="A245" s="2">
        <f t="shared" si="18"/>
        <v>45899</v>
      </c>
      <c r="B245">
        <f t="shared" si="15"/>
        <v>6</v>
      </c>
      <c r="C245">
        <f t="shared" si="19"/>
        <v>0</v>
      </c>
      <c r="D245">
        <f t="shared" si="16"/>
        <v>0</v>
      </c>
      <c r="E245">
        <f>IF($B$2&lt;&gt;$I$3,COUNTIF(Tab_fériés[date],A245),0)</f>
        <v>0</v>
      </c>
      <c r="F245">
        <f t="shared" si="17"/>
        <v>0</v>
      </c>
      <c r="O245" s="2">
        <v>45658</v>
      </c>
      <c r="P245">
        <v>2025</v>
      </c>
      <c r="Q245" t="s">
        <v>268</v>
      </c>
      <c r="R245" t="s">
        <v>269</v>
      </c>
    </row>
    <row r="246" spans="1:18">
      <c r="A246" s="2">
        <f t="shared" si="18"/>
        <v>45900</v>
      </c>
      <c r="B246">
        <f t="shared" si="15"/>
        <v>7</v>
      </c>
      <c r="C246">
        <f t="shared" si="19"/>
        <v>0</v>
      </c>
      <c r="D246">
        <f t="shared" si="16"/>
        <v>0</v>
      </c>
      <c r="E246">
        <f>IF($B$2&lt;&gt;$I$3,COUNTIF(Tab_fériés[date],A246),0)</f>
        <v>0</v>
      </c>
      <c r="F246">
        <f t="shared" si="17"/>
        <v>0</v>
      </c>
      <c r="O246" s="2">
        <v>45768</v>
      </c>
      <c r="P246">
        <v>2025</v>
      </c>
      <c r="Q246" t="s">
        <v>268</v>
      </c>
      <c r="R246" t="s">
        <v>270</v>
      </c>
    </row>
    <row r="247" spans="1:18">
      <c r="A247" s="2">
        <f t="shared" si="18"/>
        <v>45901</v>
      </c>
      <c r="B247">
        <f t="shared" si="15"/>
        <v>1</v>
      </c>
      <c r="C247">
        <f t="shared" si="19"/>
        <v>0</v>
      </c>
      <c r="D247">
        <f t="shared" si="16"/>
        <v>0</v>
      </c>
      <c r="E247">
        <f>IF($B$2&lt;&gt;$I$3,COUNTIF(Tab_fériés[date],A247),0)</f>
        <v>0</v>
      </c>
      <c r="F247">
        <f t="shared" si="17"/>
        <v>0</v>
      </c>
      <c r="O247" s="2">
        <v>45778</v>
      </c>
      <c r="P247">
        <v>2025</v>
      </c>
      <c r="Q247" t="s">
        <v>268</v>
      </c>
      <c r="R247" t="s">
        <v>271</v>
      </c>
    </row>
    <row r="248" spans="1:18">
      <c r="A248" s="2">
        <f t="shared" si="18"/>
        <v>45902</v>
      </c>
      <c r="B248">
        <f t="shared" si="15"/>
        <v>2</v>
      </c>
      <c r="C248">
        <f t="shared" si="19"/>
        <v>0</v>
      </c>
      <c r="D248">
        <f t="shared" si="16"/>
        <v>0</v>
      </c>
      <c r="E248">
        <f>IF($B$2&lt;&gt;$I$3,COUNTIF(Tab_fériés[date],A248),0)</f>
        <v>0</v>
      </c>
      <c r="F248">
        <f t="shared" si="17"/>
        <v>0</v>
      </c>
      <c r="O248" s="2">
        <v>45785</v>
      </c>
      <c r="P248">
        <v>2025</v>
      </c>
      <c r="Q248" t="s">
        <v>268</v>
      </c>
      <c r="R248" s="137">
        <v>45054</v>
      </c>
    </row>
    <row r="249" spans="1:18">
      <c r="A249" s="2">
        <f t="shared" si="18"/>
        <v>45903</v>
      </c>
      <c r="B249">
        <f t="shared" si="15"/>
        <v>3</v>
      </c>
      <c r="C249">
        <f t="shared" si="19"/>
        <v>0</v>
      </c>
      <c r="D249">
        <f t="shared" si="16"/>
        <v>0</v>
      </c>
      <c r="E249">
        <f>IF($B$2&lt;&gt;$I$3,COUNTIF(Tab_fériés[date],A249),0)</f>
        <v>0</v>
      </c>
      <c r="F249">
        <f t="shared" si="17"/>
        <v>0</v>
      </c>
      <c r="O249" s="2">
        <v>45806</v>
      </c>
      <c r="P249">
        <v>2025</v>
      </c>
      <c r="Q249" t="s">
        <v>268</v>
      </c>
      <c r="R249" t="s">
        <v>274</v>
      </c>
    </row>
    <row r="250" spans="1:18">
      <c r="A250" s="2">
        <f t="shared" si="18"/>
        <v>45904</v>
      </c>
      <c r="B250">
        <f t="shared" si="15"/>
        <v>4</v>
      </c>
      <c r="C250">
        <f t="shared" si="19"/>
        <v>0</v>
      </c>
      <c r="D250">
        <f t="shared" si="16"/>
        <v>0</v>
      </c>
      <c r="E250">
        <f>IF($B$2&lt;&gt;$I$3,COUNTIF(Tab_fériés[date],A250),0)</f>
        <v>0</v>
      </c>
      <c r="F250">
        <f t="shared" si="17"/>
        <v>0</v>
      </c>
      <c r="O250" s="2">
        <v>45817</v>
      </c>
      <c r="P250">
        <v>2025</v>
      </c>
      <c r="Q250" t="s">
        <v>268</v>
      </c>
      <c r="R250" t="s">
        <v>275</v>
      </c>
    </row>
    <row r="251" spans="1:18">
      <c r="A251" s="2">
        <f t="shared" si="18"/>
        <v>45905</v>
      </c>
      <c r="B251">
        <f t="shared" si="15"/>
        <v>5</v>
      </c>
      <c r="C251">
        <f t="shared" si="19"/>
        <v>0</v>
      </c>
      <c r="D251">
        <f t="shared" si="16"/>
        <v>0</v>
      </c>
      <c r="E251">
        <f>IF($B$2&lt;&gt;$I$3,COUNTIF(Tab_fériés[date],A251),0)</f>
        <v>0</v>
      </c>
      <c r="F251">
        <f t="shared" si="17"/>
        <v>0</v>
      </c>
      <c r="O251" s="2">
        <v>45852</v>
      </c>
      <c r="P251">
        <v>2025</v>
      </c>
      <c r="Q251" t="s">
        <v>268</v>
      </c>
      <c r="R251" s="137">
        <v>45121</v>
      </c>
    </row>
    <row r="252" spans="1:18">
      <c r="A252" s="2">
        <f t="shared" si="18"/>
        <v>45906</v>
      </c>
      <c r="B252">
        <f t="shared" si="15"/>
        <v>6</v>
      </c>
      <c r="C252">
        <f t="shared" si="19"/>
        <v>0</v>
      </c>
      <c r="D252">
        <f t="shared" si="16"/>
        <v>0</v>
      </c>
      <c r="E252">
        <f>IF($B$2&lt;&gt;$I$3,COUNTIF(Tab_fériés[date],A252),0)</f>
        <v>0</v>
      </c>
      <c r="F252">
        <f t="shared" si="17"/>
        <v>0</v>
      </c>
      <c r="O252" s="2">
        <v>45884</v>
      </c>
      <c r="P252">
        <v>2025</v>
      </c>
      <c r="Q252" t="s">
        <v>268</v>
      </c>
      <c r="R252" t="s">
        <v>277</v>
      </c>
    </row>
    <row r="253" spans="1:18">
      <c r="A253" s="2">
        <f t="shared" si="18"/>
        <v>45907</v>
      </c>
      <c r="B253">
        <f t="shared" si="15"/>
        <v>7</v>
      </c>
      <c r="C253">
        <f t="shared" si="19"/>
        <v>0</v>
      </c>
      <c r="D253">
        <f t="shared" si="16"/>
        <v>0</v>
      </c>
      <c r="E253">
        <f>IF($B$2&lt;&gt;$I$3,COUNTIF(Tab_fériés[date],A253),0)</f>
        <v>0</v>
      </c>
      <c r="F253">
        <f t="shared" si="17"/>
        <v>0</v>
      </c>
      <c r="O253" s="2">
        <v>45962</v>
      </c>
      <c r="P253">
        <v>2025</v>
      </c>
      <c r="Q253" t="s">
        <v>268</v>
      </c>
      <c r="R253" t="s">
        <v>278</v>
      </c>
    </row>
    <row r="254" spans="1:18">
      <c r="A254" s="2">
        <f t="shared" si="18"/>
        <v>45908</v>
      </c>
      <c r="B254">
        <f t="shared" si="15"/>
        <v>1</v>
      </c>
      <c r="C254">
        <f t="shared" si="19"/>
        <v>0</v>
      </c>
      <c r="D254">
        <f t="shared" si="16"/>
        <v>0</v>
      </c>
      <c r="E254">
        <f>IF($B$2&lt;&gt;$I$3,COUNTIF(Tab_fériés[date],A254),0)</f>
        <v>0</v>
      </c>
      <c r="F254">
        <f t="shared" si="17"/>
        <v>0</v>
      </c>
      <c r="O254" s="2">
        <v>45972</v>
      </c>
      <c r="P254">
        <v>2025</v>
      </c>
      <c r="Q254" t="s">
        <v>268</v>
      </c>
      <c r="R254" s="137">
        <v>45241</v>
      </c>
    </row>
    <row r="255" spans="1:18">
      <c r="A255" s="2">
        <f t="shared" si="18"/>
        <v>45909</v>
      </c>
      <c r="B255">
        <f t="shared" si="15"/>
        <v>2</v>
      </c>
      <c r="C255">
        <f t="shared" si="19"/>
        <v>0</v>
      </c>
      <c r="D255">
        <f t="shared" si="16"/>
        <v>0</v>
      </c>
      <c r="E255">
        <f>IF($B$2&lt;&gt;$I$3,COUNTIF(Tab_fériés[date],A255),0)</f>
        <v>0</v>
      </c>
      <c r="F255">
        <f t="shared" si="17"/>
        <v>0</v>
      </c>
      <c r="O255" s="2">
        <v>46016</v>
      </c>
      <c r="P255">
        <v>2025</v>
      </c>
      <c r="Q255" t="s">
        <v>268</v>
      </c>
      <c r="R255" t="s">
        <v>279</v>
      </c>
    </row>
    <row r="256" spans="1:18">
      <c r="A256" s="2">
        <f t="shared" si="18"/>
        <v>45910</v>
      </c>
      <c r="B256">
        <f t="shared" si="15"/>
        <v>3</v>
      </c>
      <c r="C256">
        <f t="shared" si="19"/>
        <v>0</v>
      </c>
      <c r="D256">
        <f t="shared" si="16"/>
        <v>0</v>
      </c>
      <c r="E256">
        <f>IF($B$2&lt;&gt;$I$3,COUNTIF(Tab_fériés[date],A256),0)</f>
        <v>0</v>
      </c>
      <c r="F256">
        <f t="shared" si="17"/>
        <v>0</v>
      </c>
      <c r="O256" s="2">
        <v>46023</v>
      </c>
      <c r="P256">
        <v>2026</v>
      </c>
      <c r="Q256" t="s">
        <v>268</v>
      </c>
      <c r="R256" t="s">
        <v>269</v>
      </c>
    </row>
    <row r="257" spans="1:18">
      <c r="A257" s="2">
        <f t="shared" si="18"/>
        <v>45911</v>
      </c>
      <c r="B257">
        <f t="shared" si="15"/>
        <v>4</v>
      </c>
      <c r="C257">
        <f t="shared" si="19"/>
        <v>0</v>
      </c>
      <c r="D257">
        <f t="shared" si="16"/>
        <v>0</v>
      </c>
      <c r="E257">
        <f>IF($B$2&lt;&gt;$I$3,COUNTIF(Tab_fériés[date],A257),0)</f>
        <v>0</v>
      </c>
      <c r="F257">
        <f t="shared" si="17"/>
        <v>0</v>
      </c>
      <c r="O257" s="2">
        <v>46118</v>
      </c>
      <c r="P257">
        <v>2026</v>
      </c>
      <c r="Q257" t="s">
        <v>268</v>
      </c>
      <c r="R257" t="s">
        <v>270</v>
      </c>
    </row>
    <row r="258" spans="1:18">
      <c r="A258" s="2">
        <f t="shared" si="18"/>
        <v>45912</v>
      </c>
      <c r="B258">
        <f t="shared" si="15"/>
        <v>5</v>
      </c>
      <c r="C258">
        <f t="shared" si="19"/>
        <v>0</v>
      </c>
      <c r="D258">
        <f t="shared" si="16"/>
        <v>0</v>
      </c>
      <c r="E258">
        <f>IF($B$2&lt;&gt;$I$3,COUNTIF(Tab_fériés[date],A258),0)</f>
        <v>0</v>
      </c>
      <c r="F258">
        <f t="shared" si="17"/>
        <v>0</v>
      </c>
      <c r="O258" s="2">
        <v>46143</v>
      </c>
      <c r="P258">
        <v>2026</v>
      </c>
      <c r="Q258" t="s">
        <v>268</v>
      </c>
      <c r="R258" t="s">
        <v>271</v>
      </c>
    </row>
    <row r="259" spans="1:18">
      <c r="A259" s="2">
        <f t="shared" si="18"/>
        <v>45913</v>
      </c>
      <c r="B259">
        <f t="shared" si="15"/>
        <v>6</v>
      </c>
      <c r="C259">
        <f t="shared" si="19"/>
        <v>0</v>
      </c>
      <c r="D259">
        <f t="shared" si="16"/>
        <v>0</v>
      </c>
      <c r="E259">
        <f>IF($B$2&lt;&gt;$I$3,COUNTIF(Tab_fériés[date],A259),0)</f>
        <v>0</v>
      </c>
      <c r="F259">
        <f t="shared" si="17"/>
        <v>0</v>
      </c>
      <c r="O259" s="2">
        <v>46150</v>
      </c>
      <c r="P259">
        <v>2026</v>
      </c>
      <c r="Q259" t="s">
        <v>268</v>
      </c>
      <c r="R259" s="137">
        <v>45054</v>
      </c>
    </row>
    <row r="260" spans="1:18">
      <c r="A260" s="2">
        <f t="shared" si="18"/>
        <v>45914</v>
      </c>
      <c r="B260">
        <f t="shared" si="15"/>
        <v>7</v>
      </c>
      <c r="C260">
        <f t="shared" si="19"/>
        <v>0</v>
      </c>
      <c r="D260">
        <f t="shared" si="16"/>
        <v>0</v>
      </c>
      <c r="E260">
        <f>IF($B$2&lt;&gt;$I$3,COUNTIF(Tab_fériés[date],A260),0)</f>
        <v>0</v>
      </c>
      <c r="F260">
        <f t="shared" si="17"/>
        <v>0</v>
      </c>
      <c r="O260" s="2">
        <v>46156</v>
      </c>
      <c r="P260">
        <v>2026</v>
      </c>
      <c r="Q260" t="s">
        <v>268</v>
      </c>
      <c r="R260" t="s">
        <v>274</v>
      </c>
    </row>
    <row r="261" spans="1:18">
      <c r="A261" s="2">
        <f t="shared" si="18"/>
        <v>45915</v>
      </c>
      <c r="B261">
        <f t="shared" ref="B261:B324" si="20">WEEKDAY(A261,2)</f>
        <v>1</v>
      </c>
      <c r="C261">
        <f t="shared" si="19"/>
        <v>0</v>
      </c>
      <c r="D261">
        <f t="shared" ref="D261:D324" si="21">IF(AND(B261=7,$B$2&lt;&gt;$I$3),1,0)</f>
        <v>0</v>
      </c>
      <c r="E261">
        <f>IF($B$2&lt;&gt;$I$3,COUNTIF(Tab_fériés[date],A261),0)</f>
        <v>0</v>
      </c>
      <c r="F261">
        <f t="shared" ref="F261:F324" si="22">IFERROR(IF(SUM(C261:E261)&gt;0,1,0),0)</f>
        <v>0</v>
      </c>
      <c r="O261" s="2">
        <v>46167</v>
      </c>
      <c r="P261">
        <v>2026</v>
      </c>
      <c r="Q261" t="s">
        <v>268</v>
      </c>
      <c r="R261" t="s">
        <v>275</v>
      </c>
    </row>
    <row r="262" spans="1:18">
      <c r="A262" s="2">
        <f t="shared" ref="A262:A325" si="23">A261+1</f>
        <v>45916</v>
      </c>
      <c r="B262">
        <f t="shared" si="20"/>
        <v>2</v>
      </c>
      <c r="C262">
        <f t="shared" ref="C262:C325" si="24">IF(AND(B262=6,$B$2&lt;&gt;$I$3,$B$2&lt;&gt;$I$5),1,0)</f>
        <v>0</v>
      </c>
      <c r="D262">
        <f t="shared" si="21"/>
        <v>0</v>
      </c>
      <c r="E262">
        <f>IF($B$2&lt;&gt;$I$3,COUNTIF(Tab_fériés[date],A262),0)</f>
        <v>0</v>
      </c>
      <c r="F262">
        <f t="shared" si="22"/>
        <v>0</v>
      </c>
      <c r="O262" s="2">
        <v>46217</v>
      </c>
      <c r="P262">
        <v>2026</v>
      </c>
      <c r="Q262" t="s">
        <v>268</v>
      </c>
      <c r="R262" s="137">
        <v>45121</v>
      </c>
    </row>
    <row r="263" spans="1:18">
      <c r="A263" s="2">
        <f t="shared" si="23"/>
        <v>45917</v>
      </c>
      <c r="B263">
        <f t="shared" si="20"/>
        <v>3</v>
      </c>
      <c r="C263">
        <f t="shared" si="24"/>
        <v>0</v>
      </c>
      <c r="D263">
        <f t="shared" si="21"/>
        <v>0</v>
      </c>
      <c r="E263">
        <f>IF($B$2&lt;&gt;$I$3,COUNTIF(Tab_fériés[date],A263),0)</f>
        <v>0</v>
      </c>
      <c r="F263">
        <f t="shared" si="22"/>
        <v>0</v>
      </c>
      <c r="O263" s="2">
        <v>46249</v>
      </c>
      <c r="P263">
        <v>2026</v>
      </c>
      <c r="Q263" t="s">
        <v>268</v>
      </c>
      <c r="R263" t="s">
        <v>277</v>
      </c>
    </row>
    <row r="264" spans="1:18">
      <c r="A264" s="2">
        <f t="shared" si="23"/>
        <v>45918</v>
      </c>
      <c r="B264">
        <f t="shared" si="20"/>
        <v>4</v>
      </c>
      <c r="C264">
        <f t="shared" si="24"/>
        <v>0</v>
      </c>
      <c r="D264">
        <f t="shared" si="21"/>
        <v>0</v>
      </c>
      <c r="E264">
        <f>IF($B$2&lt;&gt;$I$3,COUNTIF(Tab_fériés[date],A264),0)</f>
        <v>0</v>
      </c>
      <c r="F264">
        <f t="shared" si="22"/>
        <v>0</v>
      </c>
      <c r="O264" s="2">
        <v>46327</v>
      </c>
      <c r="P264">
        <v>2026</v>
      </c>
      <c r="Q264" t="s">
        <v>268</v>
      </c>
      <c r="R264" t="s">
        <v>278</v>
      </c>
    </row>
    <row r="265" spans="1:18">
      <c r="A265" s="2">
        <f t="shared" si="23"/>
        <v>45919</v>
      </c>
      <c r="B265">
        <f t="shared" si="20"/>
        <v>5</v>
      </c>
      <c r="C265">
        <f t="shared" si="24"/>
        <v>0</v>
      </c>
      <c r="D265">
        <f t="shared" si="21"/>
        <v>0</v>
      </c>
      <c r="E265">
        <f>IF($B$2&lt;&gt;$I$3,COUNTIF(Tab_fériés[date],A265),0)</f>
        <v>0</v>
      </c>
      <c r="F265">
        <f t="shared" si="22"/>
        <v>0</v>
      </c>
      <c r="O265" s="2">
        <v>46337</v>
      </c>
      <c r="P265">
        <v>2026</v>
      </c>
      <c r="Q265" t="s">
        <v>268</v>
      </c>
      <c r="R265" s="137">
        <v>45241</v>
      </c>
    </row>
    <row r="266" spans="1:18">
      <c r="A266" s="2">
        <f t="shared" si="23"/>
        <v>45920</v>
      </c>
      <c r="B266">
        <f t="shared" si="20"/>
        <v>6</v>
      </c>
      <c r="C266">
        <f t="shared" si="24"/>
        <v>0</v>
      </c>
      <c r="D266">
        <f t="shared" si="21"/>
        <v>0</v>
      </c>
      <c r="E266">
        <f>IF($B$2&lt;&gt;$I$3,COUNTIF(Tab_fériés[date],A266),0)</f>
        <v>0</v>
      </c>
      <c r="F266">
        <f t="shared" si="22"/>
        <v>0</v>
      </c>
      <c r="O266" s="2">
        <v>46381</v>
      </c>
      <c r="P266">
        <v>2026</v>
      </c>
      <c r="Q266" t="s">
        <v>268</v>
      </c>
      <c r="R266" t="s">
        <v>279</v>
      </c>
    </row>
    <row r="267" spans="1:18">
      <c r="A267" s="2">
        <f t="shared" si="23"/>
        <v>45921</v>
      </c>
      <c r="B267">
        <f t="shared" si="20"/>
        <v>7</v>
      </c>
      <c r="C267">
        <f t="shared" si="24"/>
        <v>0</v>
      </c>
      <c r="D267">
        <f t="shared" si="21"/>
        <v>0</v>
      </c>
      <c r="E267">
        <f>IF($B$2&lt;&gt;$I$3,COUNTIF(Tab_fériés[date],A267),0)</f>
        <v>0</v>
      </c>
      <c r="F267">
        <f t="shared" si="22"/>
        <v>0</v>
      </c>
      <c r="O267" s="2">
        <v>46388</v>
      </c>
      <c r="P267">
        <v>2027</v>
      </c>
      <c r="Q267" t="s">
        <v>268</v>
      </c>
      <c r="R267" t="s">
        <v>269</v>
      </c>
    </row>
    <row r="268" spans="1:18">
      <c r="A268" s="2">
        <f t="shared" si="23"/>
        <v>45922</v>
      </c>
      <c r="B268">
        <f t="shared" si="20"/>
        <v>1</v>
      </c>
      <c r="C268">
        <f t="shared" si="24"/>
        <v>0</v>
      </c>
      <c r="D268">
        <f t="shared" si="21"/>
        <v>0</v>
      </c>
      <c r="E268">
        <f>IF($B$2&lt;&gt;$I$3,COUNTIF(Tab_fériés[date],A268),0)</f>
        <v>0</v>
      </c>
      <c r="F268">
        <f t="shared" si="22"/>
        <v>0</v>
      </c>
      <c r="O268" s="2">
        <v>46475</v>
      </c>
      <c r="P268">
        <v>2027</v>
      </c>
      <c r="Q268" t="s">
        <v>268</v>
      </c>
      <c r="R268" t="s">
        <v>270</v>
      </c>
    </row>
    <row r="269" spans="1:18">
      <c r="A269" s="2">
        <f t="shared" si="23"/>
        <v>45923</v>
      </c>
      <c r="B269">
        <f t="shared" si="20"/>
        <v>2</v>
      </c>
      <c r="C269">
        <f t="shared" si="24"/>
        <v>0</v>
      </c>
      <c r="D269">
        <f t="shared" si="21"/>
        <v>0</v>
      </c>
      <c r="E269">
        <f>IF($B$2&lt;&gt;$I$3,COUNTIF(Tab_fériés[date],A269),0)</f>
        <v>0</v>
      </c>
      <c r="F269">
        <f t="shared" si="22"/>
        <v>0</v>
      </c>
      <c r="O269" s="2">
        <v>46508</v>
      </c>
      <c r="P269">
        <v>2027</v>
      </c>
      <c r="Q269" t="s">
        <v>268</v>
      </c>
      <c r="R269" t="s">
        <v>271</v>
      </c>
    </row>
    <row r="270" spans="1:18">
      <c r="A270" s="2">
        <f t="shared" si="23"/>
        <v>45924</v>
      </c>
      <c r="B270">
        <f t="shared" si="20"/>
        <v>3</v>
      </c>
      <c r="C270">
        <f t="shared" si="24"/>
        <v>0</v>
      </c>
      <c r="D270">
        <f t="shared" si="21"/>
        <v>0</v>
      </c>
      <c r="E270">
        <f>IF($B$2&lt;&gt;$I$3,COUNTIF(Tab_fériés[date],A270),0)</f>
        <v>0</v>
      </c>
      <c r="F270">
        <f t="shared" si="22"/>
        <v>0</v>
      </c>
      <c r="O270" s="2">
        <v>46513</v>
      </c>
      <c r="P270">
        <v>2027</v>
      </c>
      <c r="Q270" t="s">
        <v>268</v>
      </c>
      <c r="R270" t="s">
        <v>274</v>
      </c>
    </row>
    <row r="271" spans="1:18">
      <c r="A271" s="2">
        <f t="shared" si="23"/>
        <v>45925</v>
      </c>
      <c r="B271">
        <f t="shared" si="20"/>
        <v>4</v>
      </c>
      <c r="C271">
        <f t="shared" si="24"/>
        <v>0</v>
      </c>
      <c r="D271">
        <f t="shared" si="21"/>
        <v>0</v>
      </c>
      <c r="E271">
        <f>IF($B$2&lt;&gt;$I$3,COUNTIF(Tab_fériés[date],A271),0)</f>
        <v>0</v>
      </c>
      <c r="F271">
        <f t="shared" si="22"/>
        <v>0</v>
      </c>
      <c r="O271" s="2">
        <v>46515</v>
      </c>
      <c r="P271">
        <v>2027</v>
      </c>
      <c r="Q271" t="s">
        <v>268</v>
      </c>
      <c r="R271" s="137">
        <v>45054</v>
      </c>
    </row>
    <row r="272" spans="1:18">
      <c r="A272" s="2">
        <f t="shared" si="23"/>
        <v>45926</v>
      </c>
      <c r="B272">
        <f t="shared" si="20"/>
        <v>5</v>
      </c>
      <c r="C272">
        <f t="shared" si="24"/>
        <v>0</v>
      </c>
      <c r="D272">
        <f t="shared" si="21"/>
        <v>0</v>
      </c>
      <c r="E272">
        <f>IF($B$2&lt;&gt;$I$3,COUNTIF(Tab_fériés[date],A272),0)</f>
        <v>0</v>
      </c>
      <c r="F272">
        <f t="shared" si="22"/>
        <v>0</v>
      </c>
      <c r="O272" s="2">
        <v>46524</v>
      </c>
      <c r="P272">
        <v>2027</v>
      </c>
      <c r="Q272" t="s">
        <v>268</v>
      </c>
      <c r="R272" t="s">
        <v>275</v>
      </c>
    </row>
    <row r="273" spans="1:18">
      <c r="A273" s="2">
        <f t="shared" si="23"/>
        <v>45927</v>
      </c>
      <c r="B273">
        <f t="shared" si="20"/>
        <v>6</v>
      </c>
      <c r="C273">
        <f t="shared" si="24"/>
        <v>0</v>
      </c>
      <c r="D273">
        <f t="shared" si="21"/>
        <v>0</v>
      </c>
      <c r="E273">
        <f>IF($B$2&lt;&gt;$I$3,COUNTIF(Tab_fériés[date],A273),0)</f>
        <v>0</v>
      </c>
      <c r="F273">
        <f t="shared" si="22"/>
        <v>0</v>
      </c>
      <c r="O273" s="2">
        <v>46582</v>
      </c>
      <c r="P273">
        <v>2027</v>
      </c>
      <c r="Q273" t="s">
        <v>268</v>
      </c>
      <c r="R273" s="137">
        <v>45121</v>
      </c>
    </row>
    <row r="274" spans="1:18">
      <c r="A274" s="2">
        <f t="shared" si="23"/>
        <v>45928</v>
      </c>
      <c r="B274">
        <f t="shared" si="20"/>
        <v>7</v>
      </c>
      <c r="C274">
        <f t="shared" si="24"/>
        <v>0</v>
      </c>
      <c r="D274">
        <f t="shared" si="21"/>
        <v>0</v>
      </c>
      <c r="E274">
        <f>IF($B$2&lt;&gt;$I$3,COUNTIF(Tab_fériés[date],A274),0)</f>
        <v>0</v>
      </c>
      <c r="F274">
        <f t="shared" si="22"/>
        <v>0</v>
      </c>
      <c r="O274" s="2">
        <v>46614</v>
      </c>
      <c r="P274">
        <v>2027</v>
      </c>
      <c r="Q274" t="s">
        <v>268</v>
      </c>
      <c r="R274" t="s">
        <v>277</v>
      </c>
    </row>
    <row r="275" spans="1:18">
      <c r="A275" s="2">
        <f t="shared" si="23"/>
        <v>45929</v>
      </c>
      <c r="B275">
        <f t="shared" si="20"/>
        <v>1</v>
      </c>
      <c r="C275">
        <f t="shared" si="24"/>
        <v>0</v>
      </c>
      <c r="D275">
        <f t="shared" si="21"/>
        <v>0</v>
      </c>
      <c r="E275">
        <f>IF($B$2&lt;&gt;$I$3,COUNTIF(Tab_fériés[date],A275),0)</f>
        <v>0</v>
      </c>
      <c r="F275">
        <f t="shared" si="22"/>
        <v>0</v>
      </c>
      <c r="O275" s="2">
        <v>46692</v>
      </c>
      <c r="P275">
        <v>2027</v>
      </c>
      <c r="Q275" t="s">
        <v>268</v>
      </c>
      <c r="R275" t="s">
        <v>278</v>
      </c>
    </row>
    <row r="276" spans="1:18">
      <c r="A276" s="2">
        <f t="shared" si="23"/>
        <v>45930</v>
      </c>
      <c r="B276">
        <f t="shared" si="20"/>
        <v>2</v>
      </c>
      <c r="C276">
        <f t="shared" si="24"/>
        <v>0</v>
      </c>
      <c r="D276">
        <f t="shared" si="21"/>
        <v>0</v>
      </c>
      <c r="E276">
        <f>IF($B$2&lt;&gt;$I$3,COUNTIF(Tab_fériés[date],A276),0)</f>
        <v>0</v>
      </c>
      <c r="F276">
        <f t="shared" si="22"/>
        <v>0</v>
      </c>
      <c r="O276" s="2">
        <v>46702</v>
      </c>
      <c r="P276">
        <v>2027</v>
      </c>
      <c r="Q276" t="s">
        <v>268</v>
      </c>
      <c r="R276" s="137">
        <v>45241</v>
      </c>
    </row>
    <row r="277" spans="1:18">
      <c r="A277" s="2">
        <f t="shared" si="23"/>
        <v>45931</v>
      </c>
      <c r="B277">
        <f t="shared" si="20"/>
        <v>3</v>
      </c>
      <c r="C277">
        <f t="shared" si="24"/>
        <v>0</v>
      </c>
      <c r="D277">
        <f t="shared" si="21"/>
        <v>0</v>
      </c>
      <c r="E277">
        <f>IF($B$2&lt;&gt;$I$3,COUNTIF(Tab_fériés[date],A277),0)</f>
        <v>0</v>
      </c>
      <c r="F277">
        <f t="shared" si="22"/>
        <v>0</v>
      </c>
      <c r="O277" s="2">
        <v>46746</v>
      </c>
      <c r="P277">
        <v>2027</v>
      </c>
      <c r="Q277" t="s">
        <v>268</v>
      </c>
      <c r="R277" t="s">
        <v>279</v>
      </c>
    </row>
    <row r="278" spans="1:18">
      <c r="A278" s="2">
        <f t="shared" si="23"/>
        <v>45932</v>
      </c>
      <c r="B278">
        <f t="shared" si="20"/>
        <v>4</v>
      </c>
      <c r="C278">
        <f t="shared" si="24"/>
        <v>0</v>
      </c>
      <c r="D278">
        <f t="shared" si="21"/>
        <v>0</v>
      </c>
      <c r="E278">
        <f>IF($B$2&lt;&gt;$I$3,COUNTIF(Tab_fériés[date],A278),0)</f>
        <v>0</v>
      </c>
      <c r="F278">
        <f t="shared" si="22"/>
        <v>0</v>
      </c>
      <c r="O278" s="2">
        <v>46753</v>
      </c>
      <c r="P278">
        <v>2028</v>
      </c>
      <c r="Q278" t="s">
        <v>268</v>
      </c>
      <c r="R278" t="s">
        <v>269</v>
      </c>
    </row>
    <row r="279" spans="1:18">
      <c r="A279" s="2">
        <f t="shared" si="23"/>
        <v>45933</v>
      </c>
      <c r="B279">
        <f t="shared" si="20"/>
        <v>5</v>
      </c>
      <c r="C279">
        <f t="shared" si="24"/>
        <v>0</v>
      </c>
      <c r="D279">
        <f t="shared" si="21"/>
        <v>0</v>
      </c>
      <c r="E279">
        <f>IF($B$2&lt;&gt;$I$3,COUNTIF(Tab_fériés[date],A279),0)</f>
        <v>0</v>
      </c>
      <c r="F279">
        <f t="shared" si="22"/>
        <v>0</v>
      </c>
      <c r="O279" s="2">
        <v>46860</v>
      </c>
      <c r="P279">
        <v>2028</v>
      </c>
      <c r="Q279" t="s">
        <v>268</v>
      </c>
      <c r="R279" t="s">
        <v>270</v>
      </c>
    </row>
    <row r="280" spans="1:18">
      <c r="A280" s="2">
        <f t="shared" si="23"/>
        <v>45934</v>
      </c>
      <c r="B280">
        <f t="shared" si="20"/>
        <v>6</v>
      </c>
      <c r="C280">
        <f t="shared" si="24"/>
        <v>0</v>
      </c>
      <c r="D280">
        <f t="shared" si="21"/>
        <v>0</v>
      </c>
      <c r="E280">
        <f>IF($B$2&lt;&gt;$I$3,COUNTIF(Tab_fériés[date],A280),0)</f>
        <v>0</v>
      </c>
      <c r="F280">
        <f t="shared" si="22"/>
        <v>0</v>
      </c>
      <c r="O280" s="2">
        <v>46874</v>
      </c>
      <c r="P280">
        <v>2028</v>
      </c>
      <c r="Q280" t="s">
        <v>268</v>
      </c>
      <c r="R280" t="s">
        <v>271</v>
      </c>
    </row>
    <row r="281" spans="1:18">
      <c r="A281" s="2">
        <f t="shared" si="23"/>
        <v>45935</v>
      </c>
      <c r="B281">
        <f t="shared" si="20"/>
        <v>7</v>
      </c>
      <c r="C281">
        <f t="shared" si="24"/>
        <v>0</v>
      </c>
      <c r="D281">
        <f t="shared" si="21"/>
        <v>0</v>
      </c>
      <c r="E281">
        <f>IF($B$2&lt;&gt;$I$3,COUNTIF(Tab_fériés[date],A281),0)</f>
        <v>0</v>
      </c>
      <c r="F281">
        <f t="shared" si="22"/>
        <v>0</v>
      </c>
      <c r="O281" s="2">
        <v>46881</v>
      </c>
      <c r="P281">
        <v>2028</v>
      </c>
      <c r="Q281" t="s">
        <v>268</v>
      </c>
      <c r="R281" s="137">
        <v>45054</v>
      </c>
    </row>
    <row r="282" spans="1:18">
      <c r="A282" s="2">
        <f t="shared" si="23"/>
        <v>45936</v>
      </c>
      <c r="B282">
        <f t="shared" si="20"/>
        <v>1</v>
      </c>
      <c r="C282">
        <f t="shared" si="24"/>
        <v>0</v>
      </c>
      <c r="D282">
        <f t="shared" si="21"/>
        <v>0</v>
      </c>
      <c r="E282">
        <f>IF($B$2&lt;&gt;$I$3,COUNTIF(Tab_fériés[date],A282),0)</f>
        <v>0</v>
      </c>
      <c r="F282">
        <f t="shared" si="22"/>
        <v>0</v>
      </c>
      <c r="O282" s="2">
        <v>46898</v>
      </c>
      <c r="P282">
        <v>2028</v>
      </c>
      <c r="Q282" t="s">
        <v>268</v>
      </c>
      <c r="R282" t="s">
        <v>274</v>
      </c>
    </row>
    <row r="283" spans="1:18">
      <c r="A283" s="2">
        <f t="shared" si="23"/>
        <v>45937</v>
      </c>
      <c r="B283">
        <f t="shared" si="20"/>
        <v>2</v>
      </c>
      <c r="C283">
        <f t="shared" si="24"/>
        <v>0</v>
      </c>
      <c r="D283">
        <f t="shared" si="21"/>
        <v>0</v>
      </c>
      <c r="E283">
        <f>IF($B$2&lt;&gt;$I$3,COUNTIF(Tab_fériés[date],A283),0)</f>
        <v>0</v>
      </c>
      <c r="F283">
        <f t="shared" si="22"/>
        <v>0</v>
      </c>
      <c r="O283" s="2">
        <v>46909</v>
      </c>
      <c r="P283">
        <v>2028</v>
      </c>
      <c r="Q283" t="s">
        <v>268</v>
      </c>
      <c r="R283" t="s">
        <v>275</v>
      </c>
    </row>
    <row r="284" spans="1:18">
      <c r="A284" s="2">
        <f t="shared" si="23"/>
        <v>45938</v>
      </c>
      <c r="B284">
        <f t="shared" si="20"/>
        <v>3</v>
      </c>
      <c r="C284">
        <f t="shared" si="24"/>
        <v>0</v>
      </c>
      <c r="D284">
        <f t="shared" si="21"/>
        <v>0</v>
      </c>
      <c r="E284">
        <f>IF($B$2&lt;&gt;$I$3,COUNTIF(Tab_fériés[date],A284),0)</f>
        <v>0</v>
      </c>
      <c r="F284">
        <f t="shared" si="22"/>
        <v>0</v>
      </c>
      <c r="O284" s="2">
        <v>46948</v>
      </c>
      <c r="P284">
        <v>2028</v>
      </c>
      <c r="Q284" t="s">
        <v>268</v>
      </c>
      <c r="R284" s="137">
        <v>45121</v>
      </c>
    </row>
    <row r="285" spans="1:18">
      <c r="A285" s="2">
        <f t="shared" si="23"/>
        <v>45939</v>
      </c>
      <c r="B285">
        <f t="shared" si="20"/>
        <v>4</v>
      </c>
      <c r="C285">
        <f t="shared" si="24"/>
        <v>0</v>
      </c>
      <c r="D285">
        <f t="shared" si="21"/>
        <v>0</v>
      </c>
      <c r="E285">
        <f>IF($B$2&lt;&gt;$I$3,COUNTIF(Tab_fériés[date],A285),0)</f>
        <v>0</v>
      </c>
      <c r="F285">
        <f t="shared" si="22"/>
        <v>0</v>
      </c>
      <c r="O285" s="2">
        <v>46980</v>
      </c>
      <c r="P285">
        <v>2028</v>
      </c>
      <c r="Q285" t="s">
        <v>268</v>
      </c>
      <c r="R285" t="s">
        <v>277</v>
      </c>
    </row>
    <row r="286" spans="1:18">
      <c r="A286" s="2">
        <f t="shared" si="23"/>
        <v>45940</v>
      </c>
      <c r="B286">
        <f t="shared" si="20"/>
        <v>5</v>
      </c>
      <c r="C286">
        <f t="shared" si="24"/>
        <v>0</v>
      </c>
      <c r="D286">
        <f t="shared" si="21"/>
        <v>0</v>
      </c>
      <c r="E286">
        <f>IF($B$2&lt;&gt;$I$3,COUNTIF(Tab_fériés[date],A286),0)</f>
        <v>0</v>
      </c>
      <c r="F286">
        <f t="shared" si="22"/>
        <v>0</v>
      </c>
      <c r="O286" s="2">
        <v>47058</v>
      </c>
      <c r="P286">
        <v>2028</v>
      </c>
      <c r="Q286" t="s">
        <v>268</v>
      </c>
      <c r="R286" t="s">
        <v>278</v>
      </c>
    </row>
    <row r="287" spans="1:18">
      <c r="A287" s="2">
        <f t="shared" si="23"/>
        <v>45941</v>
      </c>
      <c r="B287">
        <f t="shared" si="20"/>
        <v>6</v>
      </c>
      <c r="C287">
        <f t="shared" si="24"/>
        <v>0</v>
      </c>
      <c r="D287">
        <f t="shared" si="21"/>
        <v>0</v>
      </c>
      <c r="E287">
        <f>IF($B$2&lt;&gt;$I$3,COUNTIF(Tab_fériés[date],A287),0)</f>
        <v>0</v>
      </c>
      <c r="F287">
        <f t="shared" si="22"/>
        <v>0</v>
      </c>
      <c r="O287" s="2">
        <v>47068</v>
      </c>
      <c r="P287">
        <v>2028</v>
      </c>
      <c r="Q287" t="s">
        <v>268</v>
      </c>
      <c r="R287" s="137">
        <v>45241</v>
      </c>
    </row>
    <row r="288" spans="1:18">
      <c r="A288" s="2">
        <f t="shared" si="23"/>
        <v>45942</v>
      </c>
      <c r="B288">
        <f t="shared" si="20"/>
        <v>7</v>
      </c>
      <c r="C288">
        <f t="shared" si="24"/>
        <v>0</v>
      </c>
      <c r="D288">
        <f t="shared" si="21"/>
        <v>0</v>
      </c>
      <c r="E288">
        <f>IF($B$2&lt;&gt;$I$3,COUNTIF(Tab_fériés[date],A288),0)</f>
        <v>0</v>
      </c>
      <c r="F288">
        <f t="shared" si="22"/>
        <v>0</v>
      </c>
      <c r="O288" s="2">
        <v>47112</v>
      </c>
      <c r="P288">
        <v>2028</v>
      </c>
      <c r="Q288" t="s">
        <v>268</v>
      </c>
      <c r="R288" t="s">
        <v>279</v>
      </c>
    </row>
    <row r="289" spans="1:6">
      <c r="A289" s="2">
        <f t="shared" si="23"/>
        <v>45943</v>
      </c>
      <c r="B289">
        <f t="shared" si="20"/>
        <v>1</v>
      </c>
      <c r="C289">
        <f t="shared" si="24"/>
        <v>0</v>
      </c>
      <c r="D289">
        <f t="shared" si="21"/>
        <v>0</v>
      </c>
      <c r="E289">
        <f>IF($B$2&lt;&gt;$I$3,COUNTIF(Tab_fériés[date],A289),0)</f>
        <v>0</v>
      </c>
      <c r="F289">
        <f t="shared" si="22"/>
        <v>0</v>
      </c>
    </row>
    <row r="290" spans="1:6">
      <c r="A290" s="2">
        <f t="shared" si="23"/>
        <v>45944</v>
      </c>
      <c r="B290">
        <f t="shared" si="20"/>
        <v>2</v>
      </c>
      <c r="C290">
        <f t="shared" si="24"/>
        <v>0</v>
      </c>
      <c r="D290">
        <f t="shared" si="21"/>
        <v>0</v>
      </c>
      <c r="E290">
        <f>IF($B$2&lt;&gt;$I$3,COUNTIF(Tab_fériés[date],A290),0)</f>
        <v>0</v>
      </c>
      <c r="F290">
        <f t="shared" si="22"/>
        <v>0</v>
      </c>
    </row>
    <row r="291" spans="1:6">
      <c r="A291" s="2">
        <f t="shared" si="23"/>
        <v>45945</v>
      </c>
      <c r="B291">
        <f t="shared" si="20"/>
        <v>3</v>
      </c>
      <c r="C291">
        <f t="shared" si="24"/>
        <v>0</v>
      </c>
      <c r="D291">
        <f t="shared" si="21"/>
        <v>0</v>
      </c>
      <c r="E291">
        <f>IF($B$2&lt;&gt;$I$3,COUNTIF(Tab_fériés[date],A291),0)</f>
        <v>0</v>
      </c>
      <c r="F291">
        <f t="shared" si="22"/>
        <v>0</v>
      </c>
    </row>
    <row r="292" spans="1:6">
      <c r="A292" s="2">
        <f t="shared" si="23"/>
        <v>45946</v>
      </c>
      <c r="B292">
        <f t="shared" si="20"/>
        <v>4</v>
      </c>
      <c r="C292">
        <f t="shared" si="24"/>
        <v>0</v>
      </c>
      <c r="D292">
        <f t="shared" si="21"/>
        <v>0</v>
      </c>
      <c r="E292">
        <f>IF($B$2&lt;&gt;$I$3,COUNTIF(Tab_fériés[date],A292),0)</f>
        <v>0</v>
      </c>
      <c r="F292">
        <f t="shared" si="22"/>
        <v>0</v>
      </c>
    </row>
    <row r="293" spans="1:6">
      <c r="A293" s="2">
        <f t="shared" si="23"/>
        <v>45947</v>
      </c>
      <c r="B293">
        <f t="shared" si="20"/>
        <v>5</v>
      </c>
      <c r="C293">
        <f t="shared" si="24"/>
        <v>0</v>
      </c>
      <c r="D293">
        <f t="shared" si="21"/>
        <v>0</v>
      </c>
      <c r="E293">
        <f>IF($B$2&lt;&gt;$I$3,COUNTIF(Tab_fériés[date],A293),0)</f>
        <v>0</v>
      </c>
      <c r="F293">
        <f t="shared" si="22"/>
        <v>0</v>
      </c>
    </row>
    <row r="294" spans="1:6">
      <c r="A294" s="2">
        <f t="shared" si="23"/>
        <v>45948</v>
      </c>
      <c r="B294">
        <f t="shared" si="20"/>
        <v>6</v>
      </c>
      <c r="C294">
        <f t="shared" si="24"/>
        <v>0</v>
      </c>
      <c r="D294">
        <f t="shared" si="21"/>
        <v>0</v>
      </c>
      <c r="E294">
        <f>IF($B$2&lt;&gt;$I$3,COUNTIF(Tab_fériés[date],A294),0)</f>
        <v>0</v>
      </c>
      <c r="F294">
        <f t="shared" si="22"/>
        <v>0</v>
      </c>
    </row>
    <row r="295" spans="1:6">
      <c r="A295" s="2">
        <f t="shared" si="23"/>
        <v>45949</v>
      </c>
      <c r="B295">
        <f t="shared" si="20"/>
        <v>7</v>
      </c>
      <c r="C295">
        <f t="shared" si="24"/>
        <v>0</v>
      </c>
      <c r="D295">
        <f t="shared" si="21"/>
        <v>0</v>
      </c>
      <c r="E295">
        <f>IF($B$2&lt;&gt;$I$3,COUNTIF(Tab_fériés[date],A295),0)</f>
        <v>0</v>
      </c>
      <c r="F295">
        <f t="shared" si="22"/>
        <v>0</v>
      </c>
    </row>
    <row r="296" spans="1:6">
      <c r="A296" s="2">
        <f t="shared" si="23"/>
        <v>45950</v>
      </c>
      <c r="B296">
        <f t="shared" si="20"/>
        <v>1</v>
      </c>
      <c r="C296">
        <f t="shared" si="24"/>
        <v>0</v>
      </c>
      <c r="D296">
        <f t="shared" si="21"/>
        <v>0</v>
      </c>
      <c r="E296">
        <f>IF($B$2&lt;&gt;$I$3,COUNTIF(Tab_fériés[date],A296),0)</f>
        <v>0</v>
      </c>
      <c r="F296">
        <f t="shared" si="22"/>
        <v>0</v>
      </c>
    </row>
    <row r="297" spans="1:6">
      <c r="A297" s="2">
        <f t="shared" si="23"/>
        <v>45951</v>
      </c>
      <c r="B297">
        <f t="shared" si="20"/>
        <v>2</v>
      </c>
      <c r="C297">
        <f t="shared" si="24"/>
        <v>0</v>
      </c>
      <c r="D297">
        <f t="shared" si="21"/>
        <v>0</v>
      </c>
      <c r="E297">
        <f>IF($B$2&lt;&gt;$I$3,COUNTIF(Tab_fériés[date],A297),0)</f>
        <v>0</v>
      </c>
      <c r="F297">
        <f t="shared" si="22"/>
        <v>0</v>
      </c>
    </row>
    <row r="298" spans="1:6">
      <c r="A298" s="2">
        <f t="shared" si="23"/>
        <v>45952</v>
      </c>
      <c r="B298">
        <f t="shared" si="20"/>
        <v>3</v>
      </c>
      <c r="C298">
        <f t="shared" si="24"/>
        <v>0</v>
      </c>
      <c r="D298">
        <f t="shared" si="21"/>
        <v>0</v>
      </c>
      <c r="E298">
        <f>IF($B$2&lt;&gt;$I$3,COUNTIF(Tab_fériés[date],A298),0)</f>
        <v>0</v>
      </c>
      <c r="F298">
        <f t="shared" si="22"/>
        <v>0</v>
      </c>
    </row>
    <row r="299" spans="1:6">
      <c r="A299" s="2">
        <f t="shared" si="23"/>
        <v>45953</v>
      </c>
      <c r="B299">
        <f t="shared" si="20"/>
        <v>4</v>
      </c>
      <c r="C299">
        <f t="shared" si="24"/>
        <v>0</v>
      </c>
      <c r="D299">
        <f t="shared" si="21"/>
        <v>0</v>
      </c>
      <c r="E299">
        <f>IF($B$2&lt;&gt;$I$3,COUNTIF(Tab_fériés[date],A299),0)</f>
        <v>0</v>
      </c>
      <c r="F299">
        <f t="shared" si="22"/>
        <v>0</v>
      </c>
    </row>
    <row r="300" spans="1:6">
      <c r="A300" s="2">
        <f t="shared" si="23"/>
        <v>45954</v>
      </c>
      <c r="B300">
        <f t="shared" si="20"/>
        <v>5</v>
      </c>
      <c r="C300">
        <f t="shared" si="24"/>
        <v>0</v>
      </c>
      <c r="D300">
        <f t="shared" si="21"/>
        <v>0</v>
      </c>
      <c r="E300">
        <f>IF($B$2&lt;&gt;$I$3,COUNTIF(Tab_fériés[date],A300),0)</f>
        <v>0</v>
      </c>
      <c r="F300">
        <f t="shared" si="22"/>
        <v>0</v>
      </c>
    </row>
    <row r="301" spans="1:6">
      <c r="A301" s="2">
        <f t="shared" si="23"/>
        <v>45955</v>
      </c>
      <c r="B301">
        <f t="shared" si="20"/>
        <v>6</v>
      </c>
      <c r="C301">
        <f t="shared" si="24"/>
        <v>0</v>
      </c>
      <c r="D301">
        <f t="shared" si="21"/>
        <v>0</v>
      </c>
      <c r="E301">
        <f>IF($B$2&lt;&gt;$I$3,COUNTIF(Tab_fériés[date],A301),0)</f>
        <v>0</v>
      </c>
      <c r="F301">
        <f t="shared" si="22"/>
        <v>0</v>
      </c>
    </row>
    <row r="302" spans="1:6">
      <c r="A302" s="2">
        <f t="shared" si="23"/>
        <v>45956</v>
      </c>
      <c r="B302">
        <f t="shared" si="20"/>
        <v>7</v>
      </c>
      <c r="C302">
        <f t="shared" si="24"/>
        <v>0</v>
      </c>
      <c r="D302">
        <f t="shared" si="21"/>
        <v>0</v>
      </c>
      <c r="E302">
        <f>IF($B$2&lt;&gt;$I$3,COUNTIF(Tab_fériés[date],A302),0)</f>
        <v>0</v>
      </c>
      <c r="F302">
        <f t="shared" si="22"/>
        <v>0</v>
      </c>
    </row>
    <row r="303" spans="1:6">
      <c r="A303" s="2">
        <f t="shared" si="23"/>
        <v>45957</v>
      </c>
      <c r="B303">
        <f t="shared" si="20"/>
        <v>1</v>
      </c>
      <c r="C303">
        <f t="shared" si="24"/>
        <v>0</v>
      </c>
      <c r="D303">
        <f t="shared" si="21"/>
        <v>0</v>
      </c>
      <c r="E303">
        <f>IF($B$2&lt;&gt;$I$3,COUNTIF(Tab_fériés[date],A303),0)</f>
        <v>0</v>
      </c>
      <c r="F303">
        <f t="shared" si="22"/>
        <v>0</v>
      </c>
    </row>
    <row r="304" spans="1:6">
      <c r="A304" s="2">
        <f t="shared" si="23"/>
        <v>45958</v>
      </c>
      <c r="B304">
        <f t="shared" si="20"/>
        <v>2</v>
      </c>
      <c r="C304">
        <f t="shared" si="24"/>
        <v>0</v>
      </c>
      <c r="D304">
        <f t="shared" si="21"/>
        <v>0</v>
      </c>
      <c r="E304">
        <f>IF($B$2&lt;&gt;$I$3,COUNTIF(Tab_fériés[date],A304),0)</f>
        <v>0</v>
      </c>
      <c r="F304">
        <f t="shared" si="22"/>
        <v>0</v>
      </c>
    </row>
    <row r="305" spans="1:6">
      <c r="A305" s="2">
        <f t="shared" si="23"/>
        <v>45959</v>
      </c>
      <c r="B305">
        <f t="shared" si="20"/>
        <v>3</v>
      </c>
      <c r="C305">
        <f t="shared" si="24"/>
        <v>0</v>
      </c>
      <c r="D305">
        <f t="shared" si="21"/>
        <v>0</v>
      </c>
      <c r="E305">
        <f>IF($B$2&lt;&gt;$I$3,COUNTIF(Tab_fériés[date],A305),0)</f>
        <v>0</v>
      </c>
      <c r="F305">
        <f t="shared" si="22"/>
        <v>0</v>
      </c>
    </row>
    <row r="306" spans="1:6">
      <c r="A306" s="2">
        <f t="shared" si="23"/>
        <v>45960</v>
      </c>
      <c r="B306">
        <f t="shared" si="20"/>
        <v>4</v>
      </c>
      <c r="C306">
        <f t="shared" si="24"/>
        <v>0</v>
      </c>
      <c r="D306">
        <f t="shared" si="21"/>
        <v>0</v>
      </c>
      <c r="E306">
        <f>IF($B$2&lt;&gt;$I$3,COUNTIF(Tab_fériés[date],A306),0)</f>
        <v>0</v>
      </c>
      <c r="F306">
        <f t="shared" si="22"/>
        <v>0</v>
      </c>
    </row>
    <row r="307" spans="1:6">
      <c r="A307" s="2">
        <f t="shared" si="23"/>
        <v>45961</v>
      </c>
      <c r="B307">
        <f t="shared" si="20"/>
        <v>5</v>
      </c>
      <c r="C307">
        <f t="shared" si="24"/>
        <v>0</v>
      </c>
      <c r="D307">
        <f t="shared" si="21"/>
        <v>0</v>
      </c>
      <c r="E307">
        <f>IF($B$2&lt;&gt;$I$3,COUNTIF(Tab_fériés[date],A307),0)</f>
        <v>0</v>
      </c>
      <c r="F307">
        <f t="shared" si="22"/>
        <v>0</v>
      </c>
    </row>
    <row r="308" spans="1:6">
      <c r="A308" s="2">
        <f t="shared" si="23"/>
        <v>45962</v>
      </c>
      <c r="B308">
        <f t="shared" si="20"/>
        <v>6</v>
      </c>
      <c r="C308">
        <f t="shared" si="24"/>
        <v>0</v>
      </c>
      <c r="D308">
        <f t="shared" si="21"/>
        <v>0</v>
      </c>
      <c r="E308">
        <f>IF($B$2&lt;&gt;$I$3,COUNTIF(Tab_fériés[date],A308),0)</f>
        <v>0</v>
      </c>
      <c r="F308">
        <f t="shared" si="22"/>
        <v>0</v>
      </c>
    </row>
    <row r="309" spans="1:6">
      <c r="A309" s="2">
        <f t="shared" si="23"/>
        <v>45963</v>
      </c>
      <c r="B309">
        <f t="shared" si="20"/>
        <v>7</v>
      </c>
      <c r="C309">
        <f t="shared" si="24"/>
        <v>0</v>
      </c>
      <c r="D309">
        <f t="shared" si="21"/>
        <v>0</v>
      </c>
      <c r="E309">
        <f>IF($B$2&lt;&gt;$I$3,COUNTIF(Tab_fériés[date],A309),0)</f>
        <v>0</v>
      </c>
      <c r="F309">
        <f t="shared" si="22"/>
        <v>0</v>
      </c>
    </row>
    <row r="310" spans="1:6">
      <c r="A310" s="2">
        <f t="shared" si="23"/>
        <v>45964</v>
      </c>
      <c r="B310">
        <f t="shared" si="20"/>
        <v>1</v>
      </c>
      <c r="C310">
        <f t="shared" si="24"/>
        <v>0</v>
      </c>
      <c r="D310">
        <f t="shared" si="21"/>
        <v>0</v>
      </c>
      <c r="E310">
        <f>IF($B$2&lt;&gt;$I$3,COUNTIF(Tab_fériés[date],A310),0)</f>
        <v>0</v>
      </c>
      <c r="F310">
        <f t="shared" si="22"/>
        <v>0</v>
      </c>
    </row>
    <row r="311" spans="1:6">
      <c r="A311" s="2">
        <f t="shared" si="23"/>
        <v>45965</v>
      </c>
      <c r="B311">
        <f t="shared" si="20"/>
        <v>2</v>
      </c>
      <c r="C311">
        <f t="shared" si="24"/>
        <v>0</v>
      </c>
      <c r="D311">
        <f t="shared" si="21"/>
        <v>0</v>
      </c>
      <c r="E311">
        <f>IF($B$2&lt;&gt;$I$3,COUNTIF(Tab_fériés[date],A311),0)</f>
        <v>0</v>
      </c>
      <c r="F311">
        <f t="shared" si="22"/>
        <v>0</v>
      </c>
    </row>
    <row r="312" spans="1:6">
      <c r="A312" s="2">
        <f t="shared" si="23"/>
        <v>45966</v>
      </c>
      <c r="B312">
        <f t="shared" si="20"/>
        <v>3</v>
      </c>
      <c r="C312">
        <f t="shared" si="24"/>
        <v>0</v>
      </c>
      <c r="D312">
        <f t="shared" si="21"/>
        <v>0</v>
      </c>
      <c r="E312">
        <f>IF($B$2&lt;&gt;$I$3,COUNTIF(Tab_fériés[date],A312),0)</f>
        <v>0</v>
      </c>
      <c r="F312">
        <f t="shared" si="22"/>
        <v>0</v>
      </c>
    </row>
    <row r="313" spans="1:6">
      <c r="A313" s="2">
        <f t="shared" si="23"/>
        <v>45967</v>
      </c>
      <c r="B313">
        <f t="shared" si="20"/>
        <v>4</v>
      </c>
      <c r="C313">
        <f t="shared" si="24"/>
        <v>0</v>
      </c>
      <c r="D313">
        <f t="shared" si="21"/>
        <v>0</v>
      </c>
      <c r="E313">
        <f>IF($B$2&lt;&gt;$I$3,COUNTIF(Tab_fériés[date],A313),0)</f>
        <v>0</v>
      </c>
      <c r="F313">
        <f t="shared" si="22"/>
        <v>0</v>
      </c>
    </row>
    <row r="314" spans="1:6">
      <c r="A314" s="2">
        <f t="shared" si="23"/>
        <v>45968</v>
      </c>
      <c r="B314">
        <f t="shared" si="20"/>
        <v>5</v>
      </c>
      <c r="C314">
        <f t="shared" si="24"/>
        <v>0</v>
      </c>
      <c r="D314">
        <f t="shared" si="21"/>
        <v>0</v>
      </c>
      <c r="E314">
        <f>IF($B$2&lt;&gt;$I$3,COUNTIF(Tab_fériés[date],A314),0)</f>
        <v>0</v>
      </c>
      <c r="F314">
        <f t="shared" si="22"/>
        <v>0</v>
      </c>
    </row>
    <row r="315" spans="1:6">
      <c r="A315" s="2">
        <f t="shared" si="23"/>
        <v>45969</v>
      </c>
      <c r="B315">
        <f t="shared" si="20"/>
        <v>6</v>
      </c>
      <c r="C315">
        <f t="shared" si="24"/>
        <v>0</v>
      </c>
      <c r="D315">
        <f t="shared" si="21"/>
        <v>0</v>
      </c>
      <c r="E315">
        <f>IF($B$2&lt;&gt;$I$3,COUNTIF(Tab_fériés[date],A315),0)</f>
        <v>0</v>
      </c>
      <c r="F315">
        <f t="shared" si="22"/>
        <v>0</v>
      </c>
    </row>
    <row r="316" spans="1:6">
      <c r="A316" s="2">
        <f t="shared" si="23"/>
        <v>45970</v>
      </c>
      <c r="B316">
        <f t="shared" si="20"/>
        <v>7</v>
      </c>
      <c r="C316">
        <f t="shared" si="24"/>
        <v>0</v>
      </c>
      <c r="D316">
        <f t="shared" si="21"/>
        <v>0</v>
      </c>
      <c r="E316">
        <f>IF($B$2&lt;&gt;$I$3,COUNTIF(Tab_fériés[date],A316),0)</f>
        <v>0</v>
      </c>
      <c r="F316">
        <f t="shared" si="22"/>
        <v>0</v>
      </c>
    </row>
    <row r="317" spans="1:6">
      <c r="A317" s="2">
        <f t="shared" si="23"/>
        <v>45971</v>
      </c>
      <c r="B317">
        <f t="shared" si="20"/>
        <v>1</v>
      </c>
      <c r="C317">
        <f t="shared" si="24"/>
        <v>0</v>
      </c>
      <c r="D317">
        <f t="shared" si="21"/>
        <v>0</v>
      </c>
      <c r="E317">
        <f>IF($B$2&lt;&gt;$I$3,COUNTIF(Tab_fériés[date],A317),0)</f>
        <v>0</v>
      </c>
      <c r="F317">
        <f t="shared" si="22"/>
        <v>0</v>
      </c>
    </row>
    <row r="318" spans="1:6">
      <c r="A318" s="2">
        <f t="shared" si="23"/>
        <v>45972</v>
      </c>
      <c r="B318">
        <f t="shared" si="20"/>
        <v>2</v>
      </c>
      <c r="C318">
        <f t="shared" si="24"/>
        <v>0</v>
      </c>
      <c r="D318">
        <f t="shared" si="21"/>
        <v>0</v>
      </c>
      <c r="E318">
        <f>IF($B$2&lt;&gt;$I$3,COUNTIF(Tab_fériés[date],A318),0)</f>
        <v>0</v>
      </c>
      <c r="F318">
        <f t="shared" si="22"/>
        <v>0</v>
      </c>
    </row>
    <row r="319" spans="1:6">
      <c r="A319" s="2">
        <f t="shared" si="23"/>
        <v>45973</v>
      </c>
      <c r="B319">
        <f t="shared" si="20"/>
        <v>3</v>
      </c>
      <c r="C319">
        <f t="shared" si="24"/>
        <v>0</v>
      </c>
      <c r="D319">
        <f t="shared" si="21"/>
        <v>0</v>
      </c>
      <c r="E319">
        <f>IF($B$2&lt;&gt;$I$3,COUNTIF(Tab_fériés[date],A319),0)</f>
        <v>0</v>
      </c>
      <c r="F319">
        <f t="shared" si="22"/>
        <v>0</v>
      </c>
    </row>
    <row r="320" spans="1:6">
      <c r="A320" s="2">
        <f t="shared" si="23"/>
        <v>45974</v>
      </c>
      <c r="B320">
        <f t="shared" si="20"/>
        <v>4</v>
      </c>
      <c r="C320">
        <f t="shared" si="24"/>
        <v>0</v>
      </c>
      <c r="D320">
        <f t="shared" si="21"/>
        <v>0</v>
      </c>
      <c r="E320">
        <f>IF($B$2&lt;&gt;$I$3,COUNTIF(Tab_fériés[date],A320),0)</f>
        <v>0</v>
      </c>
      <c r="F320">
        <f t="shared" si="22"/>
        <v>0</v>
      </c>
    </row>
    <row r="321" spans="1:6">
      <c r="A321" s="2">
        <f t="shared" si="23"/>
        <v>45975</v>
      </c>
      <c r="B321">
        <f t="shared" si="20"/>
        <v>5</v>
      </c>
      <c r="C321">
        <f t="shared" si="24"/>
        <v>0</v>
      </c>
      <c r="D321">
        <f t="shared" si="21"/>
        <v>0</v>
      </c>
      <c r="E321">
        <f>IF($B$2&lt;&gt;$I$3,COUNTIF(Tab_fériés[date],A321),0)</f>
        <v>0</v>
      </c>
      <c r="F321">
        <f t="shared" si="22"/>
        <v>0</v>
      </c>
    </row>
    <row r="322" spans="1:6">
      <c r="A322" s="2">
        <f t="shared" si="23"/>
        <v>45976</v>
      </c>
      <c r="B322">
        <f t="shared" si="20"/>
        <v>6</v>
      </c>
      <c r="C322">
        <f t="shared" si="24"/>
        <v>0</v>
      </c>
      <c r="D322">
        <f t="shared" si="21"/>
        <v>0</v>
      </c>
      <c r="E322">
        <f>IF($B$2&lt;&gt;$I$3,COUNTIF(Tab_fériés[date],A322),0)</f>
        <v>0</v>
      </c>
      <c r="F322">
        <f t="shared" si="22"/>
        <v>0</v>
      </c>
    </row>
    <row r="323" spans="1:6">
      <c r="A323" s="2">
        <f t="shared" si="23"/>
        <v>45977</v>
      </c>
      <c r="B323">
        <f t="shared" si="20"/>
        <v>7</v>
      </c>
      <c r="C323">
        <f t="shared" si="24"/>
        <v>0</v>
      </c>
      <c r="D323">
        <f t="shared" si="21"/>
        <v>0</v>
      </c>
      <c r="E323">
        <f>IF($B$2&lt;&gt;$I$3,COUNTIF(Tab_fériés[date],A323),0)</f>
        <v>0</v>
      </c>
      <c r="F323">
        <f t="shared" si="22"/>
        <v>0</v>
      </c>
    </row>
    <row r="324" spans="1:6">
      <c r="A324" s="2">
        <f t="shared" si="23"/>
        <v>45978</v>
      </c>
      <c r="B324">
        <f t="shared" si="20"/>
        <v>1</v>
      </c>
      <c r="C324">
        <f t="shared" si="24"/>
        <v>0</v>
      </c>
      <c r="D324">
        <f t="shared" si="21"/>
        <v>0</v>
      </c>
      <c r="E324">
        <f>IF($B$2&lt;&gt;$I$3,COUNTIF(Tab_fériés[date],A324),0)</f>
        <v>0</v>
      </c>
      <c r="F324">
        <f t="shared" si="22"/>
        <v>0</v>
      </c>
    </row>
    <row r="325" spans="1:6">
      <c r="A325" s="2">
        <f t="shared" si="23"/>
        <v>45979</v>
      </c>
      <c r="B325">
        <f t="shared" ref="B325:B369" si="25">WEEKDAY(A325,2)</f>
        <v>2</v>
      </c>
      <c r="C325">
        <f t="shared" si="24"/>
        <v>0</v>
      </c>
      <c r="D325">
        <f t="shared" ref="D325:D369" si="26">IF(AND(B325=7,$B$2&lt;&gt;$I$3),1,0)</f>
        <v>0</v>
      </c>
      <c r="E325">
        <f>IF($B$2&lt;&gt;$I$3,COUNTIF(Tab_fériés[date],A325),0)</f>
        <v>0</v>
      </c>
      <c r="F325">
        <f t="shared" ref="F325:F369" si="27">IFERROR(IF(SUM(C325:E325)&gt;0,1,0),0)</f>
        <v>0</v>
      </c>
    </row>
    <row r="326" spans="1:6">
      <c r="A326" s="2">
        <f t="shared" ref="A326:A367" si="28">A325+1</f>
        <v>45980</v>
      </c>
      <c r="B326">
        <f t="shared" si="25"/>
        <v>3</v>
      </c>
      <c r="C326">
        <f t="shared" ref="C326:C369" si="29">IF(AND(B326=6,$B$2&lt;&gt;$I$3,$B$2&lt;&gt;$I$5),1,0)</f>
        <v>0</v>
      </c>
      <c r="D326">
        <f t="shared" si="26"/>
        <v>0</v>
      </c>
      <c r="E326">
        <f>IF($B$2&lt;&gt;$I$3,COUNTIF(Tab_fériés[date],A326),0)</f>
        <v>0</v>
      </c>
      <c r="F326">
        <f t="shared" si="27"/>
        <v>0</v>
      </c>
    </row>
    <row r="327" spans="1:6">
      <c r="A327" s="2">
        <f t="shared" si="28"/>
        <v>45981</v>
      </c>
      <c r="B327">
        <f t="shared" si="25"/>
        <v>4</v>
      </c>
      <c r="C327">
        <f t="shared" si="29"/>
        <v>0</v>
      </c>
      <c r="D327">
        <f t="shared" si="26"/>
        <v>0</v>
      </c>
      <c r="E327">
        <f>IF($B$2&lt;&gt;$I$3,COUNTIF(Tab_fériés[date],A327),0)</f>
        <v>0</v>
      </c>
      <c r="F327">
        <f t="shared" si="27"/>
        <v>0</v>
      </c>
    </row>
    <row r="328" spans="1:6">
      <c r="A328" s="2">
        <f t="shared" si="28"/>
        <v>45982</v>
      </c>
      <c r="B328">
        <f t="shared" si="25"/>
        <v>5</v>
      </c>
      <c r="C328">
        <f t="shared" si="29"/>
        <v>0</v>
      </c>
      <c r="D328">
        <f t="shared" si="26"/>
        <v>0</v>
      </c>
      <c r="E328">
        <f>IF($B$2&lt;&gt;$I$3,COUNTIF(Tab_fériés[date],A328),0)</f>
        <v>0</v>
      </c>
      <c r="F328">
        <f t="shared" si="27"/>
        <v>0</v>
      </c>
    </row>
    <row r="329" spans="1:6">
      <c r="A329" s="2">
        <f t="shared" si="28"/>
        <v>45983</v>
      </c>
      <c r="B329">
        <f t="shared" si="25"/>
        <v>6</v>
      </c>
      <c r="C329">
        <f t="shared" si="29"/>
        <v>0</v>
      </c>
      <c r="D329">
        <f t="shared" si="26"/>
        <v>0</v>
      </c>
      <c r="E329">
        <f>IF($B$2&lt;&gt;$I$3,COUNTIF(Tab_fériés[date],A329),0)</f>
        <v>0</v>
      </c>
      <c r="F329">
        <f t="shared" si="27"/>
        <v>0</v>
      </c>
    </row>
    <row r="330" spans="1:6">
      <c r="A330" s="2">
        <f t="shared" si="28"/>
        <v>45984</v>
      </c>
      <c r="B330">
        <f t="shared" si="25"/>
        <v>7</v>
      </c>
      <c r="C330">
        <f t="shared" si="29"/>
        <v>0</v>
      </c>
      <c r="D330">
        <f t="shared" si="26"/>
        <v>0</v>
      </c>
      <c r="E330">
        <f>IF($B$2&lt;&gt;$I$3,COUNTIF(Tab_fériés[date],A330),0)</f>
        <v>0</v>
      </c>
      <c r="F330">
        <f t="shared" si="27"/>
        <v>0</v>
      </c>
    </row>
    <row r="331" spans="1:6">
      <c r="A331" s="2">
        <f t="shared" si="28"/>
        <v>45985</v>
      </c>
      <c r="B331">
        <f t="shared" si="25"/>
        <v>1</v>
      </c>
      <c r="C331">
        <f t="shared" si="29"/>
        <v>0</v>
      </c>
      <c r="D331">
        <f t="shared" si="26"/>
        <v>0</v>
      </c>
      <c r="E331">
        <f>IF($B$2&lt;&gt;$I$3,COUNTIF(Tab_fériés[date],A331),0)</f>
        <v>0</v>
      </c>
      <c r="F331">
        <f t="shared" si="27"/>
        <v>0</v>
      </c>
    </row>
    <row r="332" spans="1:6">
      <c r="A332" s="2">
        <f t="shared" si="28"/>
        <v>45986</v>
      </c>
      <c r="B332">
        <f t="shared" si="25"/>
        <v>2</v>
      </c>
      <c r="C332">
        <f t="shared" si="29"/>
        <v>0</v>
      </c>
      <c r="D332">
        <f t="shared" si="26"/>
        <v>0</v>
      </c>
      <c r="E332">
        <f>IF($B$2&lt;&gt;$I$3,COUNTIF(Tab_fériés[date],A332),0)</f>
        <v>0</v>
      </c>
      <c r="F332">
        <f t="shared" si="27"/>
        <v>0</v>
      </c>
    </row>
    <row r="333" spans="1:6">
      <c r="A333" s="2">
        <f t="shared" si="28"/>
        <v>45987</v>
      </c>
      <c r="B333">
        <f t="shared" si="25"/>
        <v>3</v>
      </c>
      <c r="C333">
        <f t="shared" si="29"/>
        <v>0</v>
      </c>
      <c r="D333">
        <f t="shared" si="26"/>
        <v>0</v>
      </c>
      <c r="E333">
        <f>IF($B$2&lt;&gt;$I$3,COUNTIF(Tab_fériés[date],A333),0)</f>
        <v>0</v>
      </c>
      <c r="F333">
        <f t="shared" si="27"/>
        <v>0</v>
      </c>
    </row>
    <row r="334" spans="1:6">
      <c r="A334" s="2">
        <f t="shared" si="28"/>
        <v>45988</v>
      </c>
      <c r="B334">
        <f t="shared" si="25"/>
        <v>4</v>
      </c>
      <c r="C334">
        <f t="shared" si="29"/>
        <v>0</v>
      </c>
      <c r="D334">
        <f t="shared" si="26"/>
        <v>0</v>
      </c>
      <c r="E334">
        <f>IF($B$2&lt;&gt;$I$3,COUNTIF(Tab_fériés[date],A334),0)</f>
        <v>0</v>
      </c>
      <c r="F334">
        <f t="shared" si="27"/>
        <v>0</v>
      </c>
    </row>
    <row r="335" spans="1:6">
      <c r="A335" s="2">
        <f t="shared" si="28"/>
        <v>45989</v>
      </c>
      <c r="B335">
        <f t="shared" si="25"/>
        <v>5</v>
      </c>
      <c r="C335">
        <f t="shared" si="29"/>
        <v>0</v>
      </c>
      <c r="D335">
        <f t="shared" si="26"/>
        <v>0</v>
      </c>
      <c r="E335">
        <f>IF($B$2&lt;&gt;$I$3,COUNTIF(Tab_fériés[date],A335),0)</f>
        <v>0</v>
      </c>
      <c r="F335">
        <f t="shared" si="27"/>
        <v>0</v>
      </c>
    </row>
    <row r="336" spans="1:6">
      <c r="A336" s="2">
        <f t="shared" si="28"/>
        <v>45990</v>
      </c>
      <c r="B336">
        <f t="shared" si="25"/>
        <v>6</v>
      </c>
      <c r="C336">
        <f t="shared" si="29"/>
        <v>0</v>
      </c>
      <c r="D336">
        <f t="shared" si="26"/>
        <v>0</v>
      </c>
      <c r="E336">
        <f>IF($B$2&lt;&gt;$I$3,COUNTIF(Tab_fériés[date],A336),0)</f>
        <v>0</v>
      </c>
      <c r="F336">
        <f t="shared" si="27"/>
        <v>0</v>
      </c>
    </row>
    <row r="337" spans="1:6">
      <c r="A337" s="2">
        <f t="shared" si="28"/>
        <v>45991</v>
      </c>
      <c r="B337">
        <f t="shared" si="25"/>
        <v>7</v>
      </c>
      <c r="C337">
        <f t="shared" si="29"/>
        <v>0</v>
      </c>
      <c r="D337">
        <f t="shared" si="26"/>
        <v>0</v>
      </c>
      <c r="E337">
        <f>IF($B$2&lt;&gt;$I$3,COUNTIF(Tab_fériés[date],A337),0)</f>
        <v>0</v>
      </c>
      <c r="F337">
        <f t="shared" si="27"/>
        <v>0</v>
      </c>
    </row>
    <row r="338" spans="1:6">
      <c r="A338" s="2">
        <f t="shared" si="28"/>
        <v>45992</v>
      </c>
      <c r="B338">
        <f t="shared" si="25"/>
        <v>1</v>
      </c>
      <c r="C338">
        <f t="shared" si="29"/>
        <v>0</v>
      </c>
      <c r="D338">
        <f t="shared" si="26"/>
        <v>0</v>
      </c>
      <c r="E338">
        <f>IF($B$2&lt;&gt;$I$3,COUNTIF(Tab_fériés[date],A338),0)</f>
        <v>0</v>
      </c>
      <c r="F338">
        <f t="shared" si="27"/>
        <v>0</v>
      </c>
    </row>
    <row r="339" spans="1:6">
      <c r="A339" s="2">
        <f t="shared" si="28"/>
        <v>45993</v>
      </c>
      <c r="B339">
        <f t="shared" si="25"/>
        <v>2</v>
      </c>
      <c r="C339">
        <f t="shared" si="29"/>
        <v>0</v>
      </c>
      <c r="D339">
        <f t="shared" si="26"/>
        <v>0</v>
      </c>
      <c r="E339">
        <f>IF($B$2&lt;&gt;$I$3,COUNTIF(Tab_fériés[date],A339),0)</f>
        <v>0</v>
      </c>
      <c r="F339">
        <f t="shared" si="27"/>
        <v>0</v>
      </c>
    </row>
    <row r="340" spans="1:6">
      <c r="A340" s="2">
        <f t="shared" si="28"/>
        <v>45994</v>
      </c>
      <c r="B340">
        <f t="shared" si="25"/>
        <v>3</v>
      </c>
      <c r="C340">
        <f t="shared" si="29"/>
        <v>0</v>
      </c>
      <c r="D340">
        <f t="shared" si="26"/>
        <v>0</v>
      </c>
      <c r="E340">
        <f>IF($B$2&lt;&gt;$I$3,COUNTIF(Tab_fériés[date],A340),0)</f>
        <v>0</v>
      </c>
      <c r="F340">
        <f t="shared" si="27"/>
        <v>0</v>
      </c>
    </row>
    <row r="341" spans="1:6">
      <c r="A341" s="2">
        <f t="shared" si="28"/>
        <v>45995</v>
      </c>
      <c r="B341">
        <f t="shared" si="25"/>
        <v>4</v>
      </c>
      <c r="C341">
        <f t="shared" si="29"/>
        <v>0</v>
      </c>
      <c r="D341">
        <f t="shared" si="26"/>
        <v>0</v>
      </c>
      <c r="E341">
        <f>IF($B$2&lt;&gt;$I$3,COUNTIF(Tab_fériés[date],A341),0)</f>
        <v>0</v>
      </c>
      <c r="F341">
        <f t="shared" si="27"/>
        <v>0</v>
      </c>
    </row>
    <row r="342" spans="1:6">
      <c r="A342" s="2">
        <f t="shared" si="28"/>
        <v>45996</v>
      </c>
      <c r="B342">
        <f t="shared" si="25"/>
        <v>5</v>
      </c>
      <c r="C342">
        <f t="shared" si="29"/>
        <v>0</v>
      </c>
      <c r="D342">
        <f t="shared" si="26"/>
        <v>0</v>
      </c>
      <c r="E342">
        <f>IF($B$2&lt;&gt;$I$3,COUNTIF(Tab_fériés[date],A342),0)</f>
        <v>0</v>
      </c>
      <c r="F342">
        <f t="shared" si="27"/>
        <v>0</v>
      </c>
    </row>
    <row r="343" spans="1:6">
      <c r="A343" s="2">
        <f t="shared" si="28"/>
        <v>45997</v>
      </c>
      <c r="B343">
        <f t="shared" si="25"/>
        <v>6</v>
      </c>
      <c r="C343">
        <f t="shared" si="29"/>
        <v>0</v>
      </c>
      <c r="D343">
        <f t="shared" si="26"/>
        <v>0</v>
      </c>
      <c r="E343">
        <f>IF($B$2&lt;&gt;$I$3,COUNTIF(Tab_fériés[date],A343),0)</f>
        <v>0</v>
      </c>
      <c r="F343">
        <f t="shared" si="27"/>
        <v>0</v>
      </c>
    </row>
    <row r="344" spans="1:6">
      <c r="A344" s="2">
        <f t="shared" si="28"/>
        <v>45998</v>
      </c>
      <c r="B344">
        <f t="shared" si="25"/>
        <v>7</v>
      </c>
      <c r="C344">
        <f t="shared" si="29"/>
        <v>0</v>
      </c>
      <c r="D344">
        <f t="shared" si="26"/>
        <v>0</v>
      </c>
      <c r="E344">
        <f>IF($B$2&lt;&gt;$I$3,COUNTIF(Tab_fériés[date],A344),0)</f>
        <v>0</v>
      </c>
      <c r="F344">
        <f t="shared" si="27"/>
        <v>0</v>
      </c>
    </row>
    <row r="345" spans="1:6">
      <c r="A345" s="2">
        <f t="shared" si="28"/>
        <v>45999</v>
      </c>
      <c r="B345">
        <f t="shared" si="25"/>
        <v>1</v>
      </c>
      <c r="C345">
        <f t="shared" si="29"/>
        <v>0</v>
      </c>
      <c r="D345">
        <f t="shared" si="26"/>
        <v>0</v>
      </c>
      <c r="E345">
        <f>IF($B$2&lt;&gt;$I$3,COUNTIF(Tab_fériés[date],A345),0)</f>
        <v>0</v>
      </c>
      <c r="F345">
        <f t="shared" si="27"/>
        <v>0</v>
      </c>
    </row>
    <row r="346" spans="1:6">
      <c r="A346" s="2">
        <f t="shared" si="28"/>
        <v>46000</v>
      </c>
      <c r="B346">
        <f t="shared" si="25"/>
        <v>2</v>
      </c>
      <c r="C346">
        <f t="shared" si="29"/>
        <v>0</v>
      </c>
      <c r="D346">
        <f t="shared" si="26"/>
        <v>0</v>
      </c>
      <c r="E346">
        <f>IF($B$2&lt;&gt;$I$3,COUNTIF(Tab_fériés[date],A346),0)</f>
        <v>0</v>
      </c>
      <c r="F346">
        <f t="shared" si="27"/>
        <v>0</v>
      </c>
    </row>
    <row r="347" spans="1:6">
      <c r="A347" s="2">
        <f t="shared" si="28"/>
        <v>46001</v>
      </c>
      <c r="B347">
        <f t="shared" si="25"/>
        <v>3</v>
      </c>
      <c r="C347">
        <f t="shared" si="29"/>
        <v>0</v>
      </c>
      <c r="D347">
        <f t="shared" si="26"/>
        <v>0</v>
      </c>
      <c r="E347">
        <f>IF($B$2&lt;&gt;$I$3,COUNTIF(Tab_fériés[date],A347),0)</f>
        <v>0</v>
      </c>
      <c r="F347">
        <f t="shared" si="27"/>
        <v>0</v>
      </c>
    </row>
    <row r="348" spans="1:6">
      <c r="A348" s="2">
        <f t="shared" si="28"/>
        <v>46002</v>
      </c>
      <c r="B348">
        <f t="shared" si="25"/>
        <v>4</v>
      </c>
      <c r="C348">
        <f t="shared" si="29"/>
        <v>0</v>
      </c>
      <c r="D348">
        <f t="shared" si="26"/>
        <v>0</v>
      </c>
      <c r="E348">
        <f>IF($B$2&lt;&gt;$I$3,COUNTIF(Tab_fériés[date],A348),0)</f>
        <v>0</v>
      </c>
      <c r="F348">
        <f t="shared" si="27"/>
        <v>0</v>
      </c>
    </row>
    <row r="349" spans="1:6">
      <c r="A349" s="2">
        <f t="shared" si="28"/>
        <v>46003</v>
      </c>
      <c r="B349">
        <f t="shared" si="25"/>
        <v>5</v>
      </c>
      <c r="C349">
        <f t="shared" si="29"/>
        <v>0</v>
      </c>
      <c r="D349">
        <f t="shared" si="26"/>
        <v>0</v>
      </c>
      <c r="E349">
        <f>IF($B$2&lt;&gt;$I$3,COUNTIF(Tab_fériés[date],A349),0)</f>
        <v>0</v>
      </c>
      <c r="F349">
        <f t="shared" si="27"/>
        <v>0</v>
      </c>
    </row>
    <row r="350" spans="1:6">
      <c r="A350" s="2">
        <f t="shared" si="28"/>
        <v>46004</v>
      </c>
      <c r="B350">
        <f t="shared" si="25"/>
        <v>6</v>
      </c>
      <c r="C350">
        <f t="shared" si="29"/>
        <v>0</v>
      </c>
      <c r="D350">
        <f t="shared" si="26"/>
        <v>0</v>
      </c>
      <c r="E350">
        <f>IF($B$2&lt;&gt;$I$3,COUNTIF(Tab_fériés[date],A350),0)</f>
        <v>0</v>
      </c>
      <c r="F350">
        <f t="shared" si="27"/>
        <v>0</v>
      </c>
    </row>
    <row r="351" spans="1:6">
      <c r="A351" s="2">
        <f t="shared" si="28"/>
        <v>46005</v>
      </c>
      <c r="B351">
        <f t="shared" si="25"/>
        <v>7</v>
      </c>
      <c r="C351">
        <f t="shared" si="29"/>
        <v>0</v>
      </c>
      <c r="D351">
        <f t="shared" si="26"/>
        <v>0</v>
      </c>
      <c r="E351">
        <f>IF($B$2&lt;&gt;$I$3,COUNTIF(Tab_fériés[date],A351),0)</f>
        <v>0</v>
      </c>
      <c r="F351">
        <f t="shared" si="27"/>
        <v>0</v>
      </c>
    </row>
    <row r="352" spans="1:6">
      <c r="A352" s="2">
        <f t="shared" si="28"/>
        <v>46006</v>
      </c>
      <c r="B352">
        <f t="shared" si="25"/>
        <v>1</v>
      </c>
      <c r="C352">
        <f t="shared" si="29"/>
        <v>0</v>
      </c>
      <c r="D352">
        <f t="shared" si="26"/>
        <v>0</v>
      </c>
      <c r="E352">
        <f>IF($B$2&lt;&gt;$I$3,COUNTIF(Tab_fériés[date],A352),0)</f>
        <v>0</v>
      </c>
      <c r="F352">
        <f t="shared" si="27"/>
        <v>0</v>
      </c>
    </row>
    <row r="353" spans="1:6">
      <c r="A353" s="2">
        <f t="shared" si="28"/>
        <v>46007</v>
      </c>
      <c r="B353">
        <f t="shared" si="25"/>
        <v>2</v>
      </c>
      <c r="C353">
        <f t="shared" si="29"/>
        <v>0</v>
      </c>
      <c r="D353">
        <f t="shared" si="26"/>
        <v>0</v>
      </c>
      <c r="E353">
        <f>IF($B$2&lt;&gt;$I$3,COUNTIF(Tab_fériés[date],A353),0)</f>
        <v>0</v>
      </c>
      <c r="F353">
        <f t="shared" si="27"/>
        <v>0</v>
      </c>
    </row>
    <row r="354" spans="1:6">
      <c r="A354" s="2">
        <f t="shared" si="28"/>
        <v>46008</v>
      </c>
      <c r="B354">
        <f t="shared" si="25"/>
        <v>3</v>
      </c>
      <c r="C354">
        <f t="shared" si="29"/>
        <v>0</v>
      </c>
      <c r="D354">
        <f t="shared" si="26"/>
        <v>0</v>
      </c>
      <c r="E354">
        <f>IF($B$2&lt;&gt;$I$3,COUNTIF(Tab_fériés[date],A354),0)</f>
        <v>0</v>
      </c>
      <c r="F354">
        <f t="shared" si="27"/>
        <v>0</v>
      </c>
    </row>
    <row r="355" spans="1:6">
      <c r="A355" s="2">
        <f t="shared" si="28"/>
        <v>46009</v>
      </c>
      <c r="B355">
        <f t="shared" si="25"/>
        <v>4</v>
      </c>
      <c r="C355">
        <f t="shared" si="29"/>
        <v>0</v>
      </c>
      <c r="D355">
        <f t="shared" si="26"/>
        <v>0</v>
      </c>
      <c r="E355">
        <f>IF($B$2&lt;&gt;$I$3,COUNTIF(Tab_fériés[date],A355),0)</f>
        <v>0</v>
      </c>
      <c r="F355">
        <f t="shared" si="27"/>
        <v>0</v>
      </c>
    </row>
    <row r="356" spans="1:6">
      <c r="A356" s="2">
        <f t="shared" si="28"/>
        <v>46010</v>
      </c>
      <c r="B356">
        <f t="shared" si="25"/>
        <v>5</v>
      </c>
      <c r="C356">
        <f t="shared" si="29"/>
        <v>0</v>
      </c>
      <c r="D356">
        <f t="shared" si="26"/>
        <v>0</v>
      </c>
      <c r="E356">
        <f>IF($B$2&lt;&gt;$I$3,COUNTIF(Tab_fériés[date],A356),0)</f>
        <v>0</v>
      </c>
      <c r="F356">
        <f t="shared" si="27"/>
        <v>0</v>
      </c>
    </row>
    <row r="357" spans="1:6">
      <c r="A357" s="2">
        <f t="shared" si="28"/>
        <v>46011</v>
      </c>
      <c r="B357">
        <f t="shared" si="25"/>
        <v>6</v>
      </c>
      <c r="C357">
        <f t="shared" si="29"/>
        <v>0</v>
      </c>
      <c r="D357">
        <f t="shared" si="26"/>
        <v>0</v>
      </c>
      <c r="E357">
        <f>IF($B$2&lt;&gt;$I$3,COUNTIF(Tab_fériés[date],A357),0)</f>
        <v>0</v>
      </c>
      <c r="F357">
        <f t="shared" si="27"/>
        <v>0</v>
      </c>
    </row>
    <row r="358" spans="1:6">
      <c r="A358" s="2">
        <f t="shared" si="28"/>
        <v>46012</v>
      </c>
      <c r="B358">
        <f t="shared" si="25"/>
        <v>7</v>
      </c>
      <c r="C358">
        <f t="shared" si="29"/>
        <v>0</v>
      </c>
      <c r="D358">
        <f t="shared" si="26"/>
        <v>0</v>
      </c>
      <c r="E358">
        <f>IF($B$2&lt;&gt;$I$3,COUNTIF(Tab_fériés[date],A358),0)</f>
        <v>0</v>
      </c>
      <c r="F358">
        <f t="shared" si="27"/>
        <v>0</v>
      </c>
    </row>
    <row r="359" spans="1:6">
      <c r="A359" s="2">
        <f t="shared" si="28"/>
        <v>46013</v>
      </c>
      <c r="B359">
        <f t="shared" si="25"/>
        <v>1</v>
      </c>
      <c r="C359">
        <f t="shared" si="29"/>
        <v>0</v>
      </c>
      <c r="D359">
        <f t="shared" si="26"/>
        <v>0</v>
      </c>
      <c r="E359">
        <f>IF($B$2&lt;&gt;$I$3,COUNTIF(Tab_fériés[date],A359),0)</f>
        <v>0</v>
      </c>
      <c r="F359">
        <f t="shared" si="27"/>
        <v>0</v>
      </c>
    </row>
    <row r="360" spans="1:6">
      <c r="A360" s="2">
        <f t="shared" si="28"/>
        <v>46014</v>
      </c>
      <c r="B360">
        <f t="shared" si="25"/>
        <v>2</v>
      </c>
      <c r="C360">
        <f t="shared" si="29"/>
        <v>0</v>
      </c>
      <c r="D360">
        <f t="shared" si="26"/>
        <v>0</v>
      </c>
      <c r="E360">
        <f>IF($B$2&lt;&gt;$I$3,COUNTIF(Tab_fériés[date],A360),0)</f>
        <v>0</v>
      </c>
      <c r="F360">
        <f t="shared" si="27"/>
        <v>0</v>
      </c>
    </row>
    <row r="361" spans="1:6">
      <c r="A361" s="2">
        <f t="shared" si="28"/>
        <v>46015</v>
      </c>
      <c r="B361">
        <f t="shared" si="25"/>
        <v>3</v>
      </c>
      <c r="C361">
        <f t="shared" si="29"/>
        <v>0</v>
      </c>
      <c r="D361">
        <f t="shared" si="26"/>
        <v>0</v>
      </c>
      <c r="E361">
        <f>IF($B$2&lt;&gt;$I$3,COUNTIF(Tab_fériés[date],A361),0)</f>
        <v>0</v>
      </c>
      <c r="F361">
        <f t="shared" si="27"/>
        <v>0</v>
      </c>
    </row>
    <row r="362" spans="1:6">
      <c r="A362" s="2">
        <f t="shared" si="28"/>
        <v>46016</v>
      </c>
      <c r="B362">
        <f t="shared" si="25"/>
        <v>4</v>
      </c>
      <c r="C362">
        <f t="shared" si="29"/>
        <v>0</v>
      </c>
      <c r="D362">
        <f t="shared" si="26"/>
        <v>0</v>
      </c>
      <c r="E362">
        <f>IF($B$2&lt;&gt;$I$3,COUNTIF(Tab_fériés[date],A362),0)</f>
        <v>0</v>
      </c>
      <c r="F362">
        <f t="shared" si="27"/>
        <v>0</v>
      </c>
    </row>
    <row r="363" spans="1:6">
      <c r="A363" s="2">
        <f t="shared" si="28"/>
        <v>46017</v>
      </c>
      <c r="B363">
        <f t="shared" si="25"/>
        <v>5</v>
      </c>
      <c r="C363">
        <f t="shared" si="29"/>
        <v>0</v>
      </c>
      <c r="D363">
        <f t="shared" si="26"/>
        <v>0</v>
      </c>
      <c r="E363">
        <f>IF($B$2&lt;&gt;$I$3,COUNTIF(Tab_fériés[date],A363),0)</f>
        <v>0</v>
      </c>
      <c r="F363">
        <f t="shared" si="27"/>
        <v>0</v>
      </c>
    </row>
    <row r="364" spans="1:6">
      <c r="A364" s="2">
        <f t="shared" si="28"/>
        <v>46018</v>
      </c>
      <c r="B364">
        <f t="shared" si="25"/>
        <v>6</v>
      </c>
      <c r="C364">
        <f t="shared" si="29"/>
        <v>0</v>
      </c>
      <c r="D364">
        <f t="shared" si="26"/>
        <v>0</v>
      </c>
      <c r="E364">
        <f>IF($B$2&lt;&gt;$I$3,COUNTIF(Tab_fériés[date],A364),0)</f>
        <v>0</v>
      </c>
      <c r="F364">
        <f t="shared" si="27"/>
        <v>0</v>
      </c>
    </row>
    <row r="365" spans="1:6">
      <c r="A365" s="2">
        <f t="shared" si="28"/>
        <v>46019</v>
      </c>
      <c r="B365">
        <f t="shared" si="25"/>
        <v>7</v>
      </c>
      <c r="C365">
        <f t="shared" si="29"/>
        <v>0</v>
      </c>
      <c r="D365">
        <f t="shared" si="26"/>
        <v>0</v>
      </c>
      <c r="E365">
        <f>IF($B$2&lt;&gt;$I$3,COUNTIF(Tab_fériés[date],A365),0)</f>
        <v>0</v>
      </c>
      <c r="F365">
        <f t="shared" si="27"/>
        <v>0</v>
      </c>
    </row>
    <row r="366" spans="1:6">
      <c r="A366" s="2">
        <f t="shared" si="28"/>
        <v>46020</v>
      </c>
      <c r="B366">
        <f t="shared" si="25"/>
        <v>1</v>
      </c>
      <c r="C366">
        <f t="shared" si="29"/>
        <v>0</v>
      </c>
      <c r="D366">
        <f t="shared" si="26"/>
        <v>0</v>
      </c>
      <c r="E366">
        <f>IF($B$2&lt;&gt;$I$3,COUNTIF(Tab_fériés[date],A366),0)</f>
        <v>0</v>
      </c>
      <c r="F366">
        <f t="shared" si="27"/>
        <v>0</v>
      </c>
    </row>
    <row r="367" spans="1:6">
      <c r="A367" s="2">
        <f t="shared" si="28"/>
        <v>46021</v>
      </c>
      <c r="B367">
        <f t="shared" si="25"/>
        <v>2</v>
      </c>
      <c r="C367">
        <f t="shared" si="29"/>
        <v>0</v>
      </c>
      <c r="D367">
        <f t="shared" si="26"/>
        <v>0</v>
      </c>
      <c r="E367">
        <f>IF($B$2&lt;&gt;$I$3,COUNTIF(Tab_fériés[date],A367),0)</f>
        <v>0</v>
      </c>
      <c r="F367">
        <f t="shared" si="27"/>
        <v>0</v>
      </c>
    </row>
    <row r="368" spans="1:6">
      <c r="A368" s="2">
        <f>IF(YEAR(A367+1)=B1,A367+1,"")</f>
        <v>46022</v>
      </c>
      <c r="B368">
        <f t="shared" si="25"/>
        <v>3</v>
      </c>
      <c r="C368">
        <f t="shared" si="29"/>
        <v>0</v>
      </c>
      <c r="D368">
        <f t="shared" si="26"/>
        <v>0</v>
      </c>
      <c r="E368">
        <f>IF($B$2&lt;&gt;$I$3,COUNTIF(Tab_fériés[date],A368),0)</f>
        <v>0</v>
      </c>
      <c r="F368">
        <f t="shared" si="27"/>
        <v>0</v>
      </c>
    </row>
    <row r="369" spans="1:6">
      <c r="A369" s="2" t="str">
        <f>IF(YEAR(A368+1)=B2,A368+1,"")</f>
        <v/>
      </c>
      <c r="B369" t="e">
        <f t="shared" si="25"/>
        <v>#VALUE!</v>
      </c>
      <c r="C369" t="e">
        <f t="shared" si="29"/>
        <v>#VALUE!</v>
      </c>
      <c r="D369" t="e">
        <f t="shared" si="26"/>
        <v>#VALUE!</v>
      </c>
      <c r="E369">
        <f>IF($B$2&lt;&gt;$I$3,COUNTIF(Tab_fériés[date],A369),0)</f>
        <v>0</v>
      </c>
      <c r="F369">
        <f t="shared" si="27"/>
        <v>0</v>
      </c>
    </row>
  </sheetData>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5"/>
  <dimension ref="A1:N244"/>
  <sheetViews>
    <sheetView zoomScaleNormal="100" workbookViewId="0">
      <pane ySplit="3" topLeftCell="A4" activePane="bottomLeft" state="frozen"/>
      <selection pane="bottomLeft" activeCell="B4" sqref="B4"/>
    </sheetView>
  </sheetViews>
  <sheetFormatPr baseColWidth="10" defaultColWidth="0" defaultRowHeight="14.5" zeroHeight="1"/>
  <cols>
    <col min="1" max="1" width="22.08984375" style="84" customWidth="1"/>
    <col min="2" max="2" width="14" style="84" customWidth="1"/>
    <col min="3" max="3" width="11.6328125" style="195" customWidth="1"/>
    <col min="4" max="4" width="17.08984375" style="496" customWidth="1"/>
    <col min="5" max="5" width="11.36328125" style="514" customWidth="1"/>
    <col min="6" max="6" width="14" hidden="1" customWidth="1"/>
    <col min="7" max="8" width="11.36328125" hidden="1" customWidth="1"/>
    <col min="9" max="9" width="10.81640625" customWidth="1"/>
    <col min="10" max="10" width="21" style="194" customWidth="1"/>
    <col min="11" max="11" width="21.7265625" customWidth="1"/>
    <col min="12" max="13" width="11.36328125" customWidth="1"/>
    <col min="14" max="14" width="21.7265625" customWidth="1"/>
    <col min="15" max="16384" width="11.36328125" hidden="1"/>
  </cols>
  <sheetData>
    <row r="1" spans="1:13" ht="37.15" customHeight="1">
      <c r="A1" s="55" t="s">
        <v>393</v>
      </c>
      <c r="B1" s="199" t="s">
        <v>394</v>
      </c>
      <c r="C1" s="122" t="s">
        <v>395</v>
      </c>
      <c r="D1" s="489" t="str">
        <f>CONCATENATE("Montant ",Controle_des_données!$A$40)</f>
        <v>Montant 0</v>
      </c>
      <c r="E1" s="513" t="s">
        <v>214</v>
      </c>
      <c r="F1" s="27" t="s">
        <v>396</v>
      </c>
      <c r="G1" s="28" t="s">
        <v>397</v>
      </c>
      <c r="H1" s="28" t="s">
        <v>398</v>
      </c>
      <c r="I1" s="28" t="s">
        <v>399</v>
      </c>
      <c r="J1" s="172" t="s">
        <v>400</v>
      </c>
      <c r="K1" s="164" t="s">
        <v>19</v>
      </c>
      <c r="L1" s="170" t="str">
        <f>IF(Site!C39="", "Compteur 2",Site!C39)</f>
        <v>Compteur 2</v>
      </c>
    </row>
    <row r="2" spans="1:13" ht="20.25" hidden="1" customHeight="1">
      <c r="A2" s="81" t="s">
        <v>393</v>
      </c>
      <c r="B2" s="82" t="s">
        <v>394</v>
      </c>
      <c r="C2" s="122" t="s">
        <v>395</v>
      </c>
      <c r="D2" s="493" t="s">
        <v>92</v>
      </c>
      <c r="E2" s="513" t="s">
        <v>214</v>
      </c>
      <c r="F2" s="27" t="s">
        <v>396</v>
      </c>
      <c r="G2" s="28" t="s">
        <v>397</v>
      </c>
      <c r="H2" s="28" t="s">
        <v>398</v>
      </c>
      <c r="I2" s="184" t="s">
        <v>399</v>
      </c>
      <c r="J2" s="442" t="s">
        <v>879</v>
      </c>
      <c r="K2" s="164"/>
      <c r="L2" s="170"/>
      <c r="M2" s="171"/>
    </row>
    <row r="3" spans="1:13" hidden="1">
      <c r="A3" s="83" t="s">
        <v>233</v>
      </c>
      <c r="B3" s="83"/>
      <c r="C3" s="120"/>
      <c r="D3" s="494"/>
      <c r="E3" s="518">
        <f>Tab_Compteur_2[[#This Row],[Colonne1]]*1.2</f>
        <v>0</v>
      </c>
      <c r="F3" s="177" t="str">
        <f>IF(Tab_Compteur_2[[#This Row],[Fin de période]]&gt;0,IFERROR(B3-A3+1,""),"")</f>
        <v/>
      </c>
      <c r="G3">
        <f>IFERROR(IF(Str_TypeDonneesCpt=Cpt_Index,Tab_Compteur_1[[#This Row],[Index]],Tab_Compteur_1[[#This Row],[Quantité]])/Tab_Compteur_1[[#This Row],[Delta Jour]],0)</f>
        <v>0</v>
      </c>
      <c r="H3" s="46"/>
      <c r="I3" s="184">
        <f t="shared" ref="I3:I66" si="0">G3</f>
        <v>0</v>
      </c>
      <c r="J3" s="441"/>
      <c r="K3" s="70"/>
      <c r="L3" s="70"/>
      <c r="M3" s="70"/>
    </row>
    <row r="4" spans="1:13">
      <c r="A4" s="2">
        <f>Site!I39</f>
        <v>0</v>
      </c>
      <c r="B4" s="501"/>
      <c r="C4" s="684"/>
      <c r="D4" s="685"/>
      <c r="E4" s="519"/>
      <c r="F4" s="177" t="str">
        <f>IF(Tab_Compteur_2[[#This Row],[Fin de période]]&gt;0,IFERROR(B4-A4+1,""),"")</f>
        <v/>
      </c>
      <c r="G4" s="193" t="str">
        <f>IF(IFERROR(IF(Str_TypeDonneesCpt2=Cpt_Index,Tab_Compteur_2[[#This Row],[Index]]-L4,Tab_Compteur_2[[#This Row],[Quantité]])/Tab_Compteur_2[[#This Row],[Delta Jour]],"")&lt;0,"",IFERROR(IF(Str_TypeDonneesCpt2=Cpt_Index,Tab_Compteur_2[[#This Row],[Index]]-L4,Tab_Compteur_2[[#This Row],[Quantité]])/Tab_Compteur_2[[#This Row],[Delta Jour]],""))</f>
        <v/>
      </c>
      <c r="H4" s="177" t="str">
        <f>IFERROR(Tab_Compteur_2[[#This Row],[Colonne1]]/Tab_Compteur_2[[#This Row],[Delta Jour]],"")</f>
        <v/>
      </c>
      <c r="I4" s="184" t="str">
        <f>IF(SUM(Tab_Compteur_2[[#This Row],[Quantité]],Tab_Compteur_2[[#This Row],[Index]])&lt;=0,"",G4)</f>
        <v/>
      </c>
      <c r="J4" s="450"/>
      <c r="K4" s="192" t="s">
        <v>401</v>
      </c>
      <c r="L4" s="444">
        <v>0</v>
      </c>
    </row>
    <row r="5" spans="1:13">
      <c r="A5" s="2">
        <f>IFERROR(B4+1,0)</f>
        <v>1</v>
      </c>
      <c r="B5" s="501"/>
      <c r="C5" s="684"/>
      <c r="D5" s="685"/>
      <c r="E5" s="519"/>
      <c r="F5" s="177" t="str">
        <f>IF(Tab_Compteur_2[[#This Row],[Fin de période]]&gt;0,IFERROR(B5-A5+1,""),"")</f>
        <v/>
      </c>
      <c r="G5" t="str">
        <f>IF(IFERROR(IF(Str_TypeDonneesCpt2=Cpt_Index,Tab_Compteur_2[[#This Row],[Index]]-E4,Tab_Compteur_2[[#This Row],[Quantité]])/Tab_Compteur_2[[#This Row],[Delta Jour]],"")&lt;0,"",IFERROR(IF(Str_TypeDonneesCpt2=Cpt_Index,Tab_Compteur_2[[#This Row],[Index]]-E4,Tab_Compteur_2[[#This Row],[Quantité]])/Tab_Compteur_2[[#This Row],[Delta Jour]],""))</f>
        <v/>
      </c>
      <c r="H5" s="177" t="str">
        <f>IFERROR(Tab_Compteur_2[[#This Row],[Colonne1]]/Tab_Compteur_2[[#This Row],[Delta Jour]],"")</f>
        <v/>
      </c>
      <c r="I5" s="184" t="str">
        <f t="shared" si="0"/>
        <v/>
      </c>
      <c r="J5" s="450"/>
      <c r="K5" s="70"/>
      <c r="L5" s="70"/>
      <c r="M5" s="70"/>
    </row>
    <row r="6" spans="1:13">
      <c r="A6" s="2">
        <f t="shared" ref="A6:A69" si="1">IFERROR(B5+1,0)</f>
        <v>1</v>
      </c>
      <c r="B6" s="501"/>
      <c r="C6" s="684"/>
      <c r="D6" s="685"/>
      <c r="E6" s="519"/>
      <c r="F6" s="177" t="str">
        <f>IF(Tab_Compteur_2[[#This Row],[Fin de période]]&gt;0,IFERROR(B6-A6+1,""),"")</f>
        <v/>
      </c>
      <c r="G6" t="str">
        <f>IF(IFERROR(IF(Str_TypeDonneesCpt2=Cpt_Index,Tab_Compteur_2[[#This Row],[Index]]-E5,Tab_Compteur_2[[#This Row],[Quantité]])/Tab_Compteur_2[[#This Row],[Delta Jour]],"")&lt;0,"",IFERROR(IF(Str_TypeDonneesCpt2=Cpt_Index,Tab_Compteur_2[[#This Row],[Index]]-E5,Tab_Compteur_2[[#This Row],[Quantité]])/Tab_Compteur_2[[#This Row],[Delta Jour]],""))</f>
        <v/>
      </c>
      <c r="H6" s="177" t="str">
        <f>IFERROR(Tab_Compteur_2[[#This Row],[Colonne1]]/Tab_Compteur_2[[#This Row],[Delta Jour]],"")</f>
        <v/>
      </c>
      <c r="I6" s="184" t="str">
        <f t="shared" si="0"/>
        <v/>
      </c>
      <c r="J6" s="450"/>
      <c r="K6" s="70"/>
      <c r="L6" s="70"/>
      <c r="M6" s="70"/>
    </row>
    <row r="7" spans="1:13">
      <c r="A7" s="2">
        <f t="shared" si="1"/>
        <v>1</v>
      </c>
      <c r="B7" s="501"/>
      <c r="C7" s="684"/>
      <c r="D7" s="685"/>
      <c r="E7" s="519"/>
      <c r="F7" s="177" t="str">
        <f>IF(Tab_Compteur_2[[#This Row],[Fin de période]]&gt;0,IFERROR(B7-A7+1,""),"")</f>
        <v/>
      </c>
      <c r="G7" t="str">
        <f>IF(IFERROR(IF(Str_TypeDonneesCpt2=Cpt_Index,Tab_Compteur_2[[#This Row],[Index]]-E6,Tab_Compteur_2[[#This Row],[Quantité]])/Tab_Compteur_2[[#This Row],[Delta Jour]],"")&lt;0,"",IFERROR(IF(Str_TypeDonneesCpt2=Cpt_Index,Tab_Compteur_2[[#This Row],[Index]]-E6,Tab_Compteur_2[[#This Row],[Quantité]])/Tab_Compteur_2[[#This Row],[Delta Jour]],""))</f>
        <v/>
      </c>
      <c r="H7" s="177" t="str">
        <f>IFERROR(Tab_Compteur_2[[#This Row],[Colonne1]]/Tab_Compteur_2[[#This Row],[Delta Jour]],"")</f>
        <v/>
      </c>
      <c r="I7" s="184" t="str">
        <f t="shared" si="0"/>
        <v/>
      </c>
      <c r="J7" s="450"/>
      <c r="K7" s="70"/>
      <c r="L7" s="70"/>
      <c r="M7" s="70"/>
    </row>
    <row r="8" spans="1:13">
      <c r="A8" s="2">
        <f t="shared" si="1"/>
        <v>1</v>
      </c>
      <c r="B8" s="501"/>
      <c r="C8" s="684"/>
      <c r="D8" s="685"/>
      <c r="E8" s="519"/>
      <c r="F8" s="177" t="str">
        <f>IF(Tab_Compteur_2[[#This Row],[Fin de période]]&gt;0,IFERROR(B8-A8+1,""),"")</f>
        <v/>
      </c>
      <c r="G8" t="str">
        <f>IF(IFERROR(IF(Str_TypeDonneesCpt2=Cpt_Index,Tab_Compteur_2[[#This Row],[Index]]-E7,Tab_Compteur_2[[#This Row],[Quantité]])/Tab_Compteur_2[[#This Row],[Delta Jour]],"")&lt;0,"",IFERROR(IF(Str_TypeDonneesCpt2=Cpt_Index,Tab_Compteur_2[[#This Row],[Index]]-E7,Tab_Compteur_2[[#This Row],[Quantité]])/Tab_Compteur_2[[#This Row],[Delta Jour]],""))</f>
        <v/>
      </c>
      <c r="H8" s="177" t="str">
        <f>IFERROR(Tab_Compteur_2[[#This Row],[Colonne1]]/Tab_Compteur_2[[#This Row],[Delta Jour]],"")</f>
        <v/>
      </c>
      <c r="I8" s="184" t="str">
        <f t="shared" si="0"/>
        <v/>
      </c>
      <c r="J8" s="450"/>
      <c r="K8" s="70"/>
      <c r="L8" s="70"/>
      <c r="M8" s="70"/>
    </row>
    <row r="9" spans="1:13">
      <c r="A9" s="2">
        <f t="shared" si="1"/>
        <v>1</v>
      </c>
      <c r="B9" s="501"/>
      <c r="C9" s="684"/>
      <c r="D9" s="685"/>
      <c r="E9" s="519"/>
      <c r="F9" s="177" t="str">
        <f>IF(Tab_Compteur_2[[#This Row],[Fin de période]]&gt;0,IFERROR(B9-A9+1,""),"")</f>
        <v/>
      </c>
      <c r="G9" t="str">
        <f>IF(IFERROR(IF(Str_TypeDonneesCpt2=Cpt_Index,Tab_Compteur_2[[#This Row],[Index]]-E8,Tab_Compteur_2[[#This Row],[Quantité]])/Tab_Compteur_2[[#This Row],[Delta Jour]],"")&lt;0,"",IFERROR(IF(Str_TypeDonneesCpt2=Cpt_Index,Tab_Compteur_2[[#This Row],[Index]]-E8,Tab_Compteur_2[[#This Row],[Quantité]])/Tab_Compteur_2[[#This Row],[Delta Jour]],""))</f>
        <v/>
      </c>
      <c r="H9" s="177" t="str">
        <f>IFERROR(Tab_Compteur_2[[#This Row],[Colonne1]]/Tab_Compteur_2[[#This Row],[Delta Jour]],"")</f>
        <v/>
      </c>
      <c r="I9" s="184" t="str">
        <f t="shared" si="0"/>
        <v/>
      </c>
      <c r="J9" s="450"/>
      <c r="K9" s="70"/>
      <c r="L9" s="70"/>
      <c r="M9" s="70"/>
    </row>
    <row r="10" spans="1:13">
      <c r="A10" s="2">
        <f t="shared" si="1"/>
        <v>1</v>
      </c>
      <c r="B10" s="501"/>
      <c r="C10" s="684"/>
      <c r="D10" s="685"/>
      <c r="E10" s="519"/>
      <c r="F10" s="177" t="str">
        <f>IF(Tab_Compteur_2[[#This Row],[Fin de période]]&gt;0,IFERROR(B10-A10+1,""),"")</f>
        <v/>
      </c>
      <c r="G10" t="str">
        <f>IF(IFERROR(IF(Str_TypeDonneesCpt2=Cpt_Index,Tab_Compteur_2[[#This Row],[Index]]-E9,Tab_Compteur_2[[#This Row],[Quantité]])/Tab_Compteur_2[[#This Row],[Delta Jour]],"")&lt;0,"",IFERROR(IF(Str_TypeDonneesCpt2=Cpt_Index,Tab_Compteur_2[[#This Row],[Index]]-E9,Tab_Compteur_2[[#This Row],[Quantité]])/Tab_Compteur_2[[#This Row],[Delta Jour]],""))</f>
        <v/>
      </c>
      <c r="H10" s="177" t="str">
        <f>IFERROR(Tab_Compteur_2[[#This Row],[Colonne1]]/Tab_Compteur_2[[#This Row],[Delta Jour]],"")</f>
        <v/>
      </c>
      <c r="I10" s="184" t="str">
        <f t="shared" si="0"/>
        <v/>
      </c>
      <c r="J10" s="451"/>
      <c r="K10" s="165"/>
      <c r="L10" s="165"/>
      <c r="M10" s="165"/>
    </row>
    <row r="11" spans="1:13" ht="15" customHeight="1">
      <c r="A11" s="2">
        <f t="shared" si="1"/>
        <v>1</v>
      </c>
      <c r="B11" s="501"/>
      <c r="C11" s="684"/>
      <c r="D11" s="685"/>
      <c r="E11" s="519"/>
      <c r="F11" s="177" t="str">
        <f>IF(Tab_Compteur_2[[#This Row],[Fin de période]]&gt;0,IFERROR(B11-A11+1,""),"")</f>
        <v/>
      </c>
      <c r="G11" t="str">
        <f>IF(IFERROR(IF(Str_TypeDonneesCpt2=Cpt_Index,Tab_Compteur_2[[#This Row],[Index]]-E10,Tab_Compteur_2[[#This Row],[Quantité]])/Tab_Compteur_2[[#This Row],[Delta Jour]],"")&lt;0,"",IFERROR(IF(Str_TypeDonneesCpt2=Cpt_Index,Tab_Compteur_2[[#This Row],[Index]]-E10,Tab_Compteur_2[[#This Row],[Quantité]])/Tab_Compteur_2[[#This Row],[Delta Jour]],""))</f>
        <v/>
      </c>
      <c r="H11" s="177" t="str">
        <f>IFERROR(Tab_Compteur_2[[#This Row],[Colonne1]]/Tab_Compteur_2[[#This Row],[Delta Jour]],"")</f>
        <v/>
      </c>
      <c r="I11" s="184" t="str">
        <f t="shared" si="0"/>
        <v/>
      </c>
      <c r="J11" s="525"/>
      <c r="K11" s="823" t="str">
        <f>Compteur_1!$K$34</f>
        <v>Pour le bon fonctionnement des calculs, il est nécessaire de respecter l'ordre chonologique des données 
Dans le cas des consommations, la quantité doit correspondre à l'unité indiquée dans "Site". Pour les données de production l'unité par défaut est le kWh et pour l'eau, le m3.  
Dans le cas d'un manque de donnée sur une période donnée, indiquez les dates de début et de fin de cette période en laissant les cellules de Quantité et Montant vide
En cas de multiples factures/livraisons pour un même mois, merci d'additionner les quantités et les montants et de mettre la dernière date. 
Une fois toutes vos données de comptage complétées, Cliquez sur le bouton "Actualiser tout" la barre d'outils "Données" ou avec  le raccourcis clavier Ctrl+alt+F5</v>
      </c>
      <c r="L11" s="823"/>
      <c r="M11" s="823"/>
    </row>
    <row r="12" spans="1:13">
      <c r="A12" s="2">
        <f t="shared" si="1"/>
        <v>1</v>
      </c>
      <c r="B12" s="501"/>
      <c r="C12" s="684"/>
      <c r="D12" s="685"/>
      <c r="E12" s="687"/>
      <c r="F12" s="177" t="str">
        <f>IF(Tab_Compteur_2[[#This Row],[Fin de période]]&gt;0,IFERROR(B12-A12+1,""),"")</f>
        <v/>
      </c>
      <c r="G12" t="str">
        <f>IF(IFERROR(IF(Str_TypeDonneesCpt2=Cpt_Index,Tab_Compteur_2[[#This Row],[Index]]-E11,Tab_Compteur_2[[#This Row],[Quantité]])/Tab_Compteur_2[[#This Row],[Delta Jour]],"")&lt;0,"",IFERROR(IF(Str_TypeDonneesCpt2=Cpt_Index,Tab_Compteur_2[[#This Row],[Index]]-E11,Tab_Compteur_2[[#This Row],[Quantité]])/Tab_Compteur_2[[#This Row],[Delta Jour]],""))</f>
        <v/>
      </c>
      <c r="H12" s="177" t="str">
        <f>IFERROR(Tab_Compteur_2[[#This Row],[Colonne1]]/Tab_Compteur_2[[#This Row],[Delta Jour]],"")</f>
        <v/>
      </c>
      <c r="I12" s="184" t="str">
        <f t="shared" si="0"/>
        <v/>
      </c>
      <c r="J12" s="525"/>
      <c r="K12" s="823"/>
      <c r="L12" s="823"/>
      <c r="M12" s="823"/>
    </row>
    <row r="13" spans="1:13">
      <c r="A13" s="2">
        <f t="shared" si="1"/>
        <v>1</v>
      </c>
      <c r="B13" s="501"/>
      <c r="C13" s="684"/>
      <c r="D13" s="685"/>
      <c r="E13" s="687"/>
      <c r="F13" s="177" t="str">
        <f>IF(Tab_Compteur_2[[#This Row],[Fin de période]]&gt;0,IFERROR(B13-A13+1,""),"")</f>
        <v/>
      </c>
      <c r="G13" t="str">
        <f>IF(IFERROR(IF(Str_TypeDonneesCpt2=Cpt_Index,Tab_Compteur_2[[#This Row],[Index]]-E12,Tab_Compteur_2[[#This Row],[Quantité]])/Tab_Compteur_2[[#This Row],[Delta Jour]],"")&lt;0,"",IFERROR(IF(Str_TypeDonneesCpt2=Cpt_Index,Tab_Compteur_2[[#This Row],[Index]]-E12,Tab_Compteur_2[[#This Row],[Quantité]])/Tab_Compteur_2[[#This Row],[Delta Jour]],""))</f>
        <v/>
      </c>
      <c r="H13" s="177" t="str">
        <f>IFERROR(Tab_Compteur_2[[#This Row],[Colonne1]]/Tab_Compteur_2[[#This Row],[Delta Jour]],"")</f>
        <v/>
      </c>
      <c r="I13" s="184" t="str">
        <f t="shared" si="0"/>
        <v/>
      </c>
      <c r="J13" s="525"/>
      <c r="K13" s="823"/>
      <c r="L13" s="823"/>
      <c r="M13" s="823"/>
    </row>
    <row r="14" spans="1:13">
      <c r="A14" s="2">
        <f t="shared" si="1"/>
        <v>1</v>
      </c>
      <c r="B14" s="501"/>
      <c r="C14" s="684"/>
      <c r="D14" s="685"/>
      <c r="E14" s="687"/>
      <c r="F14" s="177" t="str">
        <f>IF(Tab_Compteur_2[[#This Row],[Fin de période]]&gt;0,IFERROR(B14-A14+1,""),"")</f>
        <v/>
      </c>
      <c r="G14" t="str">
        <f>IF(IFERROR(IF(Str_TypeDonneesCpt2=Cpt_Index,Tab_Compteur_2[[#This Row],[Index]]-E13,Tab_Compteur_2[[#This Row],[Quantité]])/Tab_Compteur_2[[#This Row],[Delta Jour]],"")&lt;0,"",IFERROR(IF(Str_TypeDonneesCpt2=Cpt_Index,Tab_Compteur_2[[#This Row],[Index]]-E13,Tab_Compteur_2[[#This Row],[Quantité]])/Tab_Compteur_2[[#This Row],[Delta Jour]],""))</f>
        <v/>
      </c>
      <c r="H14" s="177" t="str">
        <f>IFERROR(Tab_Compteur_2[[#This Row],[Colonne1]]/Tab_Compteur_2[[#This Row],[Delta Jour]],"")</f>
        <v/>
      </c>
      <c r="I14" s="184" t="str">
        <f t="shared" si="0"/>
        <v/>
      </c>
      <c r="J14" s="525"/>
      <c r="K14" s="823"/>
      <c r="L14" s="823"/>
      <c r="M14" s="823"/>
    </row>
    <row r="15" spans="1:13">
      <c r="A15" s="2">
        <f t="shared" si="1"/>
        <v>1</v>
      </c>
      <c r="B15" s="2"/>
      <c r="C15" s="681"/>
      <c r="D15" s="681"/>
      <c r="E15" s="687"/>
      <c r="F15" s="177" t="str">
        <f>IF(Tab_Compteur_2[[#This Row],[Fin de période]]&gt;0,IFERROR(B15-A15+1,""),"")</f>
        <v/>
      </c>
      <c r="G15" t="str">
        <f>IF(IFERROR(IF(Str_TypeDonneesCpt2=Cpt_Index,Tab_Compteur_2[[#This Row],[Index]]-E14,Tab_Compteur_2[[#This Row],[Quantité]])/Tab_Compteur_2[[#This Row],[Delta Jour]],"")&lt;0,"",IFERROR(IF(Str_TypeDonneesCpt2=Cpt_Index,Tab_Compteur_2[[#This Row],[Index]]-E14,Tab_Compteur_2[[#This Row],[Quantité]])/Tab_Compteur_2[[#This Row],[Delta Jour]],""))</f>
        <v/>
      </c>
      <c r="H15" s="177" t="str">
        <f>IFERROR(Tab_Compteur_2[[#This Row],[Colonne1]]/Tab_Compteur_2[[#This Row],[Delta Jour]],"")</f>
        <v/>
      </c>
      <c r="I15" s="184" t="str">
        <f t="shared" si="0"/>
        <v/>
      </c>
      <c r="J15" s="525"/>
      <c r="K15" s="823"/>
      <c r="L15" s="823"/>
      <c r="M15" s="823"/>
    </row>
    <row r="16" spans="1:13">
      <c r="A16" s="2">
        <f t="shared" si="1"/>
        <v>1</v>
      </c>
      <c r="B16" s="2"/>
      <c r="C16" s="681"/>
      <c r="D16" s="681"/>
      <c r="E16" s="687"/>
      <c r="F16" s="177" t="str">
        <f>IF(Tab_Compteur_2[[#This Row],[Fin de période]]&gt;0,IFERROR(B16-A16+1,""),"")</f>
        <v/>
      </c>
      <c r="G16" t="str">
        <f>IF(IFERROR(IF(Str_TypeDonneesCpt2=Cpt_Index,Tab_Compteur_2[[#This Row],[Index]]-E15,Tab_Compteur_2[[#This Row],[Quantité]])/Tab_Compteur_2[[#This Row],[Delta Jour]],"")&lt;0,"",IFERROR(IF(Str_TypeDonneesCpt2=Cpt_Index,Tab_Compteur_2[[#This Row],[Index]]-E15,Tab_Compteur_2[[#This Row],[Quantité]])/Tab_Compteur_2[[#This Row],[Delta Jour]],""))</f>
        <v/>
      </c>
      <c r="H16" s="177" t="str">
        <f>IFERROR(Tab_Compteur_2[[#This Row],[Colonne1]]/Tab_Compteur_2[[#This Row],[Delta Jour]],"")</f>
        <v/>
      </c>
      <c r="I16" s="184" t="str">
        <f t="shared" si="0"/>
        <v/>
      </c>
      <c r="J16" s="525"/>
      <c r="K16" s="823"/>
      <c r="L16" s="823"/>
      <c r="M16" s="823"/>
    </row>
    <row r="17" spans="1:13">
      <c r="A17" s="2">
        <f t="shared" si="1"/>
        <v>1</v>
      </c>
      <c r="B17" s="2"/>
      <c r="C17" s="681"/>
      <c r="D17" s="681"/>
      <c r="E17" s="687"/>
      <c r="F17" s="177" t="str">
        <f>IF(Tab_Compteur_2[[#This Row],[Fin de période]]&gt;0,IFERROR(B17-A17+1,""),"")</f>
        <v/>
      </c>
      <c r="G17" t="str">
        <f>IF(IFERROR(IF(Str_TypeDonneesCpt2=Cpt_Index,Tab_Compteur_2[[#This Row],[Index]]-E16,Tab_Compteur_2[[#This Row],[Quantité]])/Tab_Compteur_2[[#This Row],[Delta Jour]],"")&lt;0,"",IFERROR(IF(Str_TypeDonneesCpt2=Cpt_Index,Tab_Compteur_2[[#This Row],[Index]]-E16,Tab_Compteur_2[[#This Row],[Quantité]])/Tab_Compteur_2[[#This Row],[Delta Jour]],""))</f>
        <v/>
      </c>
      <c r="H17" s="177" t="str">
        <f>IFERROR(Tab_Compteur_2[[#This Row],[Colonne1]]/Tab_Compteur_2[[#This Row],[Delta Jour]],"")</f>
        <v/>
      </c>
      <c r="I17" s="184" t="str">
        <f t="shared" si="0"/>
        <v/>
      </c>
      <c r="J17" s="525"/>
      <c r="K17" s="823"/>
      <c r="L17" s="823"/>
      <c r="M17" s="823"/>
    </row>
    <row r="18" spans="1:13">
      <c r="A18" s="2">
        <f t="shared" si="1"/>
        <v>1</v>
      </c>
      <c r="B18" s="2"/>
      <c r="C18" s="681"/>
      <c r="D18" s="681"/>
      <c r="E18" s="687"/>
      <c r="F18" s="177" t="str">
        <f>IF(Tab_Compteur_2[[#This Row],[Fin de période]]&gt;0,IFERROR(B18-A18+1,""),"")</f>
        <v/>
      </c>
      <c r="G18" t="str">
        <f>IF(IFERROR(IF(Str_TypeDonneesCpt2=Cpt_Index,Tab_Compteur_2[[#This Row],[Index]]-E17,Tab_Compteur_2[[#This Row],[Quantité]])/Tab_Compteur_2[[#This Row],[Delta Jour]],"")&lt;0,"",IFERROR(IF(Str_TypeDonneesCpt2=Cpt_Index,Tab_Compteur_2[[#This Row],[Index]]-E17,Tab_Compteur_2[[#This Row],[Quantité]])/Tab_Compteur_2[[#This Row],[Delta Jour]],""))</f>
        <v/>
      </c>
      <c r="H18" s="177" t="str">
        <f>IFERROR(Tab_Compteur_2[[#This Row],[Colonne1]]/Tab_Compteur_2[[#This Row],[Delta Jour]],"")</f>
        <v/>
      </c>
      <c r="I18" s="184" t="str">
        <f t="shared" si="0"/>
        <v/>
      </c>
      <c r="J18" s="525"/>
      <c r="K18" s="823"/>
      <c r="L18" s="823"/>
      <c r="M18" s="823"/>
    </row>
    <row r="19" spans="1:13">
      <c r="A19" s="2">
        <f t="shared" si="1"/>
        <v>1</v>
      </c>
      <c r="B19" s="2"/>
      <c r="C19" s="681"/>
      <c r="D19" s="681"/>
      <c r="E19" s="687"/>
      <c r="F19" s="177" t="str">
        <f>IF(Tab_Compteur_2[[#This Row],[Fin de période]]&gt;0,IFERROR(B19-A19+1,""),"")</f>
        <v/>
      </c>
      <c r="G19" t="str">
        <f>IF(IFERROR(IF(Str_TypeDonneesCpt2=Cpt_Index,Tab_Compteur_2[[#This Row],[Index]]-E18,Tab_Compteur_2[[#This Row],[Quantité]])/Tab_Compteur_2[[#This Row],[Delta Jour]],"")&lt;0,"",IFERROR(IF(Str_TypeDonneesCpt2=Cpt_Index,Tab_Compteur_2[[#This Row],[Index]]-E18,Tab_Compteur_2[[#This Row],[Quantité]])/Tab_Compteur_2[[#This Row],[Delta Jour]],""))</f>
        <v/>
      </c>
      <c r="H19" s="177" t="str">
        <f>IFERROR(Tab_Compteur_2[[#This Row],[Colonne1]]/Tab_Compteur_2[[#This Row],[Delta Jour]],"")</f>
        <v/>
      </c>
      <c r="I19" s="184" t="str">
        <f t="shared" si="0"/>
        <v/>
      </c>
      <c r="J19" s="525"/>
      <c r="K19" s="823"/>
      <c r="L19" s="823"/>
      <c r="M19" s="823"/>
    </row>
    <row r="20" spans="1:13">
      <c r="A20" s="2">
        <f t="shared" si="1"/>
        <v>1</v>
      </c>
      <c r="B20" s="2"/>
      <c r="C20" s="681"/>
      <c r="D20" s="681"/>
      <c r="E20" s="687"/>
      <c r="F20" s="177" t="str">
        <f>IF(Tab_Compteur_2[[#This Row],[Fin de période]]&gt;0,IFERROR(B20-A20+1,""),"")</f>
        <v/>
      </c>
      <c r="G20" t="str">
        <f>IF(IFERROR(IF(Str_TypeDonneesCpt2=Cpt_Index,Tab_Compteur_2[[#This Row],[Index]]-E19,Tab_Compteur_2[[#This Row],[Quantité]])/Tab_Compteur_2[[#This Row],[Delta Jour]],"")&lt;0,"",IFERROR(IF(Str_TypeDonneesCpt2=Cpt_Index,Tab_Compteur_2[[#This Row],[Index]]-E19,Tab_Compteur_2[[#This Row],[Quantité]])/Tab_Compteur_2[[#This Row],[Delta Jour]],""))</f>
        <v/>
      </c>
      <c r="H20" s="177" t="str">
        <f>IFERROR(Tab_Compteur_2[[#This Row],[Colonne1]]/Tab_Compteur_2[[#This Row],[Delta Jour]],"")</f>
        <v/>
      </c>
      <c r="I20" s="184" t="str">
        <f t="shared" si="0"/>
        <v/>
      </c>
      <c r="J20" s="525"/>
      <c r="K20" s="823"/>
      <c r="L20" s="823"/>
      <c r="M20" s="823"/>
    </row>
    <row r="21" spans="1:13">
      <c r="A21" s="2">
        <f t="shared" si="1"/>
        <v>1</v>
      </c>
      <c r="B21" s="2"/>
      <c r="C21" s="681"/>
      <c r="D21" s="681"/>
      <c r="E21" s="687"/>
      <c r="F21" s="177" t="str">
        <f>IF(Tab_Compteur_2[[#This Row],[Fin de période]]&gt;0,IFERROR(B21-A21+1,""),"")</f>
        <v/>
      </c>
      <c r="G21" t="str">
        <f>IF(IFERROR(IF(Str_TypeDonneesCpt2=Cpt_Index,Tab_Compteur_2[[#This Row],[Index]]-E20,Tab_Compteur_2[[#This Row],[Quantité]])/Tab_Compteur_2[[#This Row],[Delta Jour]],"")&lt;0,"",IFERROR(IF(Str_TypeDonneesCpt2=Cpt_Index,Tab_Compteur_2[[#This Row],[Index]]-E20,Tab_Compteur_2[[#This Row],[Quantité]])/Tab_Compteur_2[[#This Row],[Delta Jour]],""))</f>
        <v/>
      </c>
      <c r="H21" s="177" t="str">
        <f>IFERROR(Tab_Compteur_2[[#This Row],[Colonne1]]/Tab_Compteur_2[[#This Row],[Delta Jour]],"")</f>
        <v/>
      </c>
      <c r="I21" s="184" t="str">
        <f t="shared" si="0"/>
        <v/>
      </c>
      <c r="J21" s="525"/>
      <c r="K21" s="823"/>
      <c r="L21" s="823"/>
      <c r="M21" s="823"/>
    </row>
    <row r="22" spans="1:13">
      <c r="A22" s="2">
        <f t="shared" si="1"/>
        <v>1</v>
      </c>
      <c r="B22" s="2"/>
      <c r="C22" s="681"/>
      <c r="D22" s="681"/>
      <c r="E22" s="519"/>
      <c r="F22" s="177" t="str">
        <f>IF(Tab_Compteur_2[[#This Row],[Fin de période]]&gt;0,IFERROR(B22-A22+1,""),"")</f>
        <v/>
      </c>
      <c r="G22" t="str">
        <f>IF(IFERROR(IF(Str_TypeDonneesCpt2=Cpt_Index,Tab_Compteur_2[[#This Row],[Index]]-E21,Tab_Compteur_2[[#This Row],[Quantité]])/Tab_Compteur_2[[#This Row],[Delta Jour]],"")&lt;0,"",IFERROR(IF(Str_TypeDonneesCpt2=Cpt_Index,Tab_Compteur_2[[#This Row],[Index]]-E21,Tab_Compteur_2[[#This Row],[Quantité]])/Tab_Compteur_2[[#This Row],[Delta Jour]],""))</f>
        <v/>
      </c>
      <c r="H22" s="177" t="str">
        <f>IFERROR(Tab_Compteur_2[[#This Row],[Colonne1]]/Tab_Compteur_2[[#This Row],[Delta Jour]],"")</f>
        <v/>
      </c>
      <c r="I22" s="184" t="str">
        <f t="shared" si="0"/>
        <v/>
      </c>
      <c r="J22" s="450"/>
      <c r="K22" s="823"/>
      <c r="L22" s="823"/>
      <c r="M22" s="823"/>
    </row>
    <row r="23" spans="1:13">
      <c r="A23" s="2">
        <f t="shared" si="1"/>
        <v>1</v>
      </c>
      <c r="B23" s="2"/>
      <c r="C23" s="681"/>
      <c r="D23" s="681"/>
      <c r="E23" s="519"/>
      <c r="F23" s="177" t="str">
        <f>IF(Tab_Compteur_2[[#This Row],[Fin de période]]&gt;0,IFERROR(B23-A23+1,""),"")</f>
        <v/>
      </c>
      <c r="G23" t="str">
        <f>IF(IFERROR(IF(Str_TypeDonneesCpt2=Cpt_Index,Tab_Compteur_2[[#This Row],[Index]]-E22,Tab_Compteur_2[[#This Row],[Quantité]])/Tab_Compteur_2[[#This Row],[Delta Jour]],"")&lt;0,"",IFERROR(IF(Str_TypeDonneesCpt2=Cpt_Index,Tab_Compteur_2[[#This Row],[Index]]-E22,Tab_Compteur_2[[#This Row],[Quantité]])/Tab_Compteur_2[[#This Row],[Delta Jour]],""))</f>
        <v/>
      </c>
      <c r="H23" s="177" t="str">
        <f>IFERROR(Tab_Compteur_2[[#This Row],[Colonne1]]/Tab_Compteur_2[[#This Row],[Delta Jour]],"")</f>
        <v/>
      </c>
      <c r="I23" s="184" t="str">
        <f t="shared" si="0"/>
        <v/>
      </c>
      <c r="J23" s="450"/>
      <c r="K23" s="823"/>
      <c r="L23" s="823"/>
      <c r="M23" s="823"/>
    </row>
    <row r="24" spans="1:13">
      <c r="A24" s="2">
        <f t="shared" si="1"/>
        <v>1</v>
      </c>
      <c r="B24" s="2"/>
      <c r="C24" s="681"/>
      <c r="D24" s="681"/>
      <c r="E24" s="519"/>
      <c r="F24" s="177" t="str">
        <f>IF(Tab_Compteur_2[[#This Row],[Fin de période]]&gt;0,IFERROR(B24-A24+1,""),"")</f>
        <v/>
      </c>
      <c r="G24" t="str">
        <f>IF(IFERROR(IF(Str_TypeDonneesCpt2=Cpt_Index,Tab_Compteur_2[[#This Row],[Index]]-E23,Tab_Compteur_2[[#This Row],[Quantité]])/Tab_Compteur_2[[#This Row],[Delta Jour]],"")&lt;0,"",IFERROR(IF(Str_TypeDonneesCpt2=Cpt_Index,Tab_Compteur_2[[#This Row],[Index]]-E23,Tab_Compteur_2[[#This Row],[Quantité]])/Tab_Compteur_2[[#This Row],[Delta Jour]],""))</f>
        <v/>
      </c>
      <c r="H24" s="177" t="str">
        <f>IFERROR(Tab_Compteur_2[[#This Row],[Colonne1]]/Tab_Compteur_2[[#This Row],[Delta Jour]],"")</f>
        <v/>
      </c>
      <c r="I24" s="184" t="str">
        <f t="shared" si="0"/>
        <v/>
      </c>
      <c r="J24" s="450"/>
      <c r="K24" s="823"/>
      <c r="L24" s="823"/>
      <c r="M24" s="823"/>
    </row>
    <row r="25" spans="1:13">
      <c r="A25" s="2">
        <f t="shared" si="1"/>
        <v>1</v>
      </c>
      <c r="B25" s="2"/>
      <c r="C25" s="681"/>
      <c r="D25" s="681"/>
      <c r="E25" s="519"/>
      <c r="F25" s="177" t="str">
        <f>IF(Tab_Compteur_2[[#This Row],[Fin de période]]&gt;0,IFERROR(B25-A25+1,""),"")</f>
        <v/>
      </c>
      <c r="G25" t="str">
        <f>IF(IFERROR(IF(Str_TypeDonneesCpt2=Cpt_Index,Tab_Compteur_2[[#This Row],[Index]]-E24,Tab_Compteur_2[[#This Row],[Quantité]])/Tab_Compteur_2[[#This Row],[Delta Jour]],"")&lt;0,"",IFERROR(IF(Str_TypeDonneesCpt2=Cpt_Index,Tab_Compteur_2[[#This Row],[Index]]-E24,Tab_Compteur_2[[#This Row],[Quantité]])/Tab_Compteur_2[[#This Row],[Delta Jour]],""))</f>
        <v/>
      </c>
      <c r="H25" s="177" t="str">
        <f>IFERROR(Tab_Compteur_2[[#This Row],[Colonne1]]/Tab_Compteur_2[[#This Row],[Delta Jour]],"")</f>
        <v/>
      </c>
      <c r="I25" s="184" t="str">
        <f t="shared" si="0"/>
        <v/>
      </c>
      <c r="J25" s="450"/>
      <c r="K25" s="823"/>
      <c r="L25" s="823"/>
      <c r="M25" s="823"/>
    </row>
    <row r="26" spans="1:13">
      <c r="A26" s="2">
        <f t="shared" si="1"/>
        <v>1</v>
      </c>
      <c r="B26" s="2"/>
      <c r="C26" s="681"/>
      <c r="D26" s="681"/>
      <c r="E26" s="519"/>
      <c r="F26" s="177" t="str">
        <f>IF(Tab_Compteur_2[[#This Row],[Fin de période]]&gt;0,IFERROR(B26-A26+1,""),"")</f>
        <v/>
      </c>
      <c r="G26" t="str">
        <f>IF(IFERROR(IF(Str_TypeDonneesCpt2=Cpt_Index,Tab_Compteur_2[[#This Row],[Index]]-E25,Tab_Compteur_2[[#This Row],[Quantité]])/Tab_Compteur_2[[#This Row],[Delta Jour]],"")&lt;0,"",IFERROR(IF(Str_TypeDonneesCpt2=Cpt_Index,Tab_Compteur_2[[#This Row],[Index]]-E25,Tab_Compteur_2[[#This Row],[Quantité]])/Tab_Compteur_2[[#This Row],[Delta Jour]],""))</f>
        <v/>
      </c>
      <c r="H26" s="177" t="str">
        <f>IFERROR(Tab_Compteur_2[[#This Row],[Colonne1]]/Tab_Compteur_2[[#This Row],[Delta Jour]],"")</f>
        <v/>
      </c>
      <c r="I26" s="184" t="str">
        <f t="shared" si="0"/>
        <v/>
      </c>
      <c r="J26" s="450"/>
      <c r="K26" s="823"/>
      <c r="L26" s="823"/>
      <c r="M26" s="823"/>
    </row>
    <row r="27" spans="1:13">
      <c r="A27" s="2">
        <f t="shared" si="1"/>
        <v>1</v>
      </c>
      <c r="B27" s="2"/>
      <c r="C27" s="681"/>
      <c r="D27" s="681"/>
      <c r="E27" s="519"/>
      <c r="F27" s="177" t="str">
        <f>IF(Tab_Compteur_2[[#This Row],[Fin de période]]&gt;0,IFERROR(B27-A27+1,""),"")</f>
        <v/>
      </c>
      <c r="G27" t="str">
        <f>IF(IFERROR(IF(Str_TypeDonneesCpt2=Cpt_Index,Tab_Compteur_2[[#This Row],[Index]]-E26,Tab_Compteur_2[[#This Row],[Quantité]])/Tab_Compteur_2[[#This Row],[Delta Jour]],"")&lt;0,"",IFERROR(IF(Str_TypeDonneesCpt2=Cpt_Index,Tab_Compteur_2[[#This Row],[Index]]-E26,Tab_Compteur_2[[#This Row],[Quantité]])/Tab_Compteur_2[[#This Row],[Delta Jour]],""))</f>
        <v/>
      </c>
      <c r="H27" s="177" t="str">
        <f>IFERROR(Tab_Compteur_2[[#This Row],[Colonne1]]/Tab_Compteur_2[[#This Row],[Delta Jour]],"")</f>
        <v/>
      </c>
      <c r="I27" s="184" t="str">
        <f t="shared" si="0"/>
        <v/>
      </c>
      <c r="J27" s="450"/>
      <c r="K27" s="823"/>
      <c r="L27" s="823"/>
      <c r="M27" s="823"/>
    </row>
    <row r="28" spans="1:13">
      <c r="A28" s="2">
        <f t="shared" si="1"/>
        <v>1</v>
      </c>
      <c r="B28" s="2"/>
      <c r="C28" s="681"/>
      <c r="D28" s="681"/>
      <c r="E28" s="519"/>
      <c r="F28" s="177" t="str">
        <f>IF(Tab_Compteur_2[[#This Row],[Fin de période]]&gt;0,IFERROR(B28-A28+1,""),"")</f>
        <v/>
      </c>
      <c r="G28" t="str">
        <f>IF(IFERROR(IF(Str_TypeDonneesCpt2=Cpt_Index,Tab_Compteur_2[[#This Row],[Index]]-E27,Tab_Compteur_2[[#This Row],[Quantité]])/Tab_Compteur_2[[#This Row],[Delta Jour]],"")&lt;0,"",IFERROR(IF(Str_TypeDonneesCpt2=Cpt_Index,Tab_Compteur_2[[#This Row],[Index]]-E27,Tab_Compteur_2[[#This Row],[Quantité]])/Tab_Compteur_2[[#This Row],[Delta Jour]],""))</f>
        <v/>
      </c>
      <c r="H28" s="177" t="str">
        <f>IFERROR(Tab_Compteur_2[[#This Row],[Colonne1]]/Tab_Compteur_2[[#This Row],[Delta Jour]],"")</f>
        <v/>
      </c>
      <c r="I28" s="184" t="str">
        <f t="shared" si="0"/>
        <v/>
      </c>
      <c r="J28" s="450"/>
      <c r="K28" s="823"/>
      <c r="L28" s="823"/>
      <c r="M28" s="823"/>
    </row>
    <row r="29" spans="1:13">
      <c r="A29" s="2">
        <f t="shared" si="1"/>
        <v>1</v>
      </c>
      <c r="B29" s="2"/>
      <c r="C29" s="681"/>
      <c r="D29" s="681"/>
      <c r="E29" s="519"/>
      <c r="F29" s="177" t="str">
        <f>IF(Tab_Compteur_2[[#This Row],[Fin de période]]&gt;0,IFERROR(B29-A29+1,""),"")</f>
        <v/>
      </c>
      <c r="G29" t="str">
        <f>IF(IFERROR(IF(Str_TypeDonneesCpt2=Cpt_Index,Tab_Compteur_2[[#This Row],[Index]]-E28,Tab_Compteur_2[[#This Row],[Quantité]])/Tab_Compteur_2[[#This Row],[Delta Jour]],"")&lt;0,"",IFERROR(IF(Str_TypeDonneesCpt2=Cpt_Index,Tab_Compteur_2[[#This Row],[Index]]-E28,Tab_Compteur_2[[#This Row],[Quantité]])/Tab_Compteur_2[[#This Row],[Delta Jour]],""))</f>
        <v/>
      </c>
      <c r="H29" s="177" t="str">
        <f>IFERROR(Tab_Compteur_2[[#This Row],[Colonne1]]/Tab_Compteur_2[[#This Row],[Delta Jour]],"")</f>
        <v/>
      </c>
      <c r="I29" s="184" t="str">
        <f t="shared" si="0"/>
        <v/>
      </c>
      <c r="J29" s="450"/>
      <c r="K29" s="823"/>
      <c r="L29" s="823"/>
      <c r="M29" s="823"/>
    </row>
    <row r="30" spans="1:13">
      <c r="A30" s="2">
        <f t="shared" si="1"/>
        <v>1</v>
      </c>
      <c r="B30" s="2"/>
      <c r="C30" s="681"/>
      <c r="D30" s="681"/>
      <c r="E30" s="519"/>
      <c r="F30" s="177" t="str">
        <f>IF(Tab_Compteur_2[[#This Row],[Fin de période]]&gt;0,IFERROR(B30-A30+1,""),"")</f>
        <v/>
      </c>
      <c r="G30" t="str">
        <f>IF(IFERROR(IF(Str_TypeDonneesCpt2=Cpt_Index,Tab_Compteur_2[[#This Row],[Index]]-E29,Tab_Compteur_2[[#This Row],[Quantité]])/Tab_Compteur_2[[#This Row],[Delta Jour]],"")&lt;0,"",IFERROR(IF(Str_TypeDonneesCpt2=Cpt_Index,Tab_Compteur_2[[#This Row],[Index]]-E29,Tab_Compteur_2[[#This Row],[Quantité]])/Tab_Compteur_2[[#This Row],[Delta Jour]],""))</f>
        <v/>
      </c>
      <c r="H30" s="177" t="str">
        <f>IFERROR(Tab_Compteur_2[[#This Row],[Colonne1]]/Tab_Compteur_2[[#This Row],[Delta Jour]],"")</f>
        <v/>
      </c>
      <c r="I30" s="184" t="str">
        <f t="shared" si="0"/>
        <v/>
      </c>
      <c r="J30" s="450"/>
      <c r="K30" s="823"/>
      <c r="L30" s="823"/>
      <c r="M30" s="823"/>
    </row>
    <row r="31" spans="1:13">
      <c r="A31" s="2">
        <f t="shared" si="1"/>
        <v>1</v>
      </c>
      <c r="B31" s="2"/>
      <c r="C31" s="681"/>
      <c r="D31" s="681"/>
      <c r="E31" s="519"/>
      <c r="F31" s="177" t="str">
        <f>IF(Tab_Compteur_2[[#This Row],[Fin de période]]&gt;0,IFERROR(B31-A31+1,""),"")</f>
        <v/>
      </c>
      <c r="G31" t="str">
        <f>IF(IFERROR(IF(Str_TypeDonneesCpt2=Cpt_Index,Tab_Compteur_2[[#This Row],[Index]]-E30,Tab_Compteur_2[[#This Row],[Quantité]])/Tab_Compteur_2[[#This Row],[Delta Jour]],"")&lt;0,"",IFERROR(IF(Str_TypeDonneesCpt2=Cpt_Index,Tab_Compteur_2[[#This Row],[Index]]-E30,Tab_Compteur_2[[#This Row],[Quantité]])/Tab_Compteur_2[[#This Row],[Delta Jour]],""))</f>
        <v/>
      </c>
      <c r="H31" s="177" t="str">
        <f>IFERROR(Tab_Compteur_2[[#This Row],[Colonne1]]/Tab_Compteur_2[[#This Row],[Delta Jour]],"")</f>
        <v/>
      </c>
      <c r="I31" s="184" t="str">
        <f t="shared" si="0"/>
        <v/>
      </c>
      <c r="J31" s="450"/>
      <c r="K31" s="823"/>
      <c r="L31" s="823"/>
      <c r="M31" s="823"/>
    </row>
    <row r="32" spans="1:13">
      <c r="A32" s="2">
        <f t="shared" si="1"/>
        <v>1</v>
      </c>
      <c r="B32" s="2"/>
      <c r="C32" s="681"/>
      <c r="D32" s="681"/>
      <c r="E32" s="519"/>
      <c r="F32" s="177" t="str">
        <f>IF(Tab_Compteur_2[[#This Row],[Fin de période]]&gt;0,IFERROR(B32-A32+1,""),"")</f>
        <v/>
      </c>
      <c r="G32" t="str">
        <f>IF(IFERROR(IF(Str_TypeDonneesCpt2=Cpt_Index,Tab_Compteur_2[[#This Row],[Index]]-E31,Tab_Compteur_2[[#This Row],[Quantité]])/Tab_Compteur_2[[#This Row],[Delta Jour]],"")&lt;0,"",IFERROR(IF(Str_TypeDonneesCpt2=Cpt_Index,Tab_Compteur_2[[#This Row],[Index]]-E31,Tab_Compteur_2[[#This Row],[Quantité]])/Tab_Compteur_2[[#This Row],[Delta Jour]],""))</f>
        <v/>
      </c>
      <c r="H32" s="177" t="str">
        <f>IFERROR(Tab_Compteur_2[[#This Row],[Colonne1]]/Tab_Compteur_2[[#This Row],[Delta Jour]],"")</f>
        <v/>
      </c>
      <c r="I32" s="184" t="str">
        <f t="shared" si="0"/>
        <v/>
      </c>
      <c r="J32" s="450"/>
      <c r="K32" s="823"/>
      <c r="L32" s="823"/>
      <c r="M32" s="823"/>
    </row>
    <row r="33" spans="1:13">
      <c r="A33" s="2">
        <f t="shared" si="1"/>
        <v>1</v>
      </c>
      <c r="B33" s="2"/>
      <c r="C33" s="681"/>
      <c r="D33" s="681"/>
      <c r="E33" s="519"/>
      <c r="F33" s="177" t="str">
        <f>IF(Tab_Compteur_2[[#This Row],[Fin de période]]&gt;0,IFERROR(B33-A33+1,""),"")</f>
        <v/>
      </c>
      <c r="G33" t="str">
        <f>IF(IFERROR(IF(Str_TypeDonneesCpt2=Cpt_Index,Tab_Compteur_2[[#This Row],[Index]]-E32,Tab_Compteur_2[[#This Row],[Quantité]])/Tab_Compteur_2[[#This Row],[Delta Jour]],"")&lt;0,"",IFERROR(IF(Str_TypeDonneesCpt2=Cpt_Index,Tab_Compteur_2[[#This Row],[Index]]-E32,Tab_Compteur_2[[#This Row],[Quantité]])/Tab_Compteur_2[[#This Row],[Delta Jour]],""))</f>
        <v/>
      </c>
      <c r="H33" s="177" t="str">
        <f>IFERROR(Tab_Compteur_2[[#This Row],[Colonne1]]/Tab_Compteur_2[[#This Row],[Delta Jour]],"")</f>
        <v/>
      </c>
      <c r="I33" s="184" t="str">
        <f t="shared" si="0"/>
        <v/>
      </c>
      <c r="J33" s="450"/>
      <c r="K33" s="823"/>
      <c r="L33" s="823"/>
      <c r="M33" s="823"/>
    </row>
    <row r="34" spans="1:13">
      <c r="A34" s="2">
        <f t="shared" si="1"/>
        <v>1</v>
      </c>
      <c r="B34" s="2"/>
      <c r="C34" s="681"/>
      <c r="D34" s="681"/>
      <c r="E34" s="519"/>
      <c r="F34" s="177" t="str">
        <f>IF(Tab_Compteur_2[[#This Row],[Fin de période]]&gt;0,IFERROR(B34-A34+1,""),"")</f>
        <v/>
      </c>
      <c r="G34" t="str">
        <f>IF(IFERROR(IF(Str_TypeDonneesCpt2=Cpt_Index,Tab_Compteur_2[[#This Row],[Index]]-E33,Tab_Compteur_2[[#This Row],[Quantité]])/Tab_Compteur_2[[#This Row],[Delta Jour]],"")&lt;0,"",IFERROR(IF(Str_TypeDonneesCpt2=Cpt_Index,Tab_Compteur_2[[#This Row],[Index]]-E33,Tab_Compteur_2[[#This Row],[Quantité]])/Tab_Compteur_2[[#This Row],[Delta Jour]],""))</f>
        <v/>
      </c>
      <c r="H34" s="177" t="str">
        <f>IFERROR(Tab_Compteur_2[[#This Row],[Colonne1]]/Tab_Compteur_2[[#This Row],[Delta Jour]],"")</f>
        <v/>
      </c>
      <c r="I34" s="184" t="str">
        <f t="shared" si="0"/>
        <v/>
      </c>
      <c r="J34" s="450"/>
      <c r="K34" s="174"/>
      <c r="L34" s="174"/>
      <c r="M34" s="174"/>
    </row>
    <row r="35" spans="1:13">
      <c r="A35" s="2">
        <f t="shared" si="1"/>
        <v>1</v>
      </c>
      <c r="B35" s="2"/>
      <c r="C35" s="681"/>
      <c r="D35" s="681"/>
      <c r="E35" s="519"/>
      <c r="F35" s="177" t="str">
        <f>IF(Tab_Compteur_2[[#This Row],[Fin de période]]&gt;0,IFERROR(B35-A35+1,""),"")</f>
        <v/>
      </c>
      <c r="G35" t="str">
        <f>IF(IFERROR(IF(Str_TypeDonneesCpt2=Cpt_Index,Tab_Compteur_2[[#This Row],[Index]]-E34,Tab_Compteur_2[[#This Row],[Quantité]])/Tab_Compteur_2[[#This Row],[Delta Jour]],"")&lt;0,"",IFERROR(IF(Str_TypeDonneesCpt2=Cpt_Index,Tab_Compteur_2[[#This Row],[Index]]-E34,Tab_Compteur_2[[#This Row],[Quantité]])/Tab_Compteur_2[[#This Row],[Delta Jour]],""))</f>
        <v/>
      </c>
      <c r="H35" s="177" t="str">
        <f>IFERROR(Tab_Compteur_2[[#This Row],[Colonne1]]/Tab_Compteur_2[[#This Row],[Delta Jour]],"")</f>
        <v/>
      </c>
      <c r="I35" s="184" t="str">
        <f t="shared" si="0"/>
        <v/>
      </c>
      <c r="J35" s="450"/>
      <c r="K35" s="174"/>
      <c r="L35" s="174"/>
      <c r="M35" s="174"/>
    </row>
    <row r="36" spans="1:13">
      <c r="A36" s="2">
        <f t="shared" si="1"/>
        <v>1</v>
      </c>
      <c r="B36" s="2"/>
      <c r="C36" s="681"/>
      <c r="D36" s="681"/>
      <c r="E36" s="519"/>
      <c r="F36" s="177" t="str">
        <f>IF(Tab_Compteur_2[[#This Row],[Fin de période]]&gt;0,IFERROR(B36-A36+1,""),"")</f>
        <v/>
      </c>
      <c r="G36" t="str">
        <f>IF(IFERROR(IF(Str_TypeDonneesCpt2=Cpt_Index,Tab_Compteur_2[[#This Row],[Index]]-E35,Tab_Compteur_2[[#This Row],[Quantité]])/Tab_Compteur_2[[#This Row],[Delta Jour]],"")&lt;0,"",IFERROR(IF(Str_TypeDonneesCpt2=Cpt_Index,Tab_Compteur_2[[#This Row],[Index]]-E35,Tab_Compteur_2[[#This Row],[Quantité]])/Tab_Compteur_2[[#This Row],[Delta Jour]],""))</f>
        <v/>
      </c>
      <c r="H36" s="177" t="str">
        <f>IFERROR(Tab_Compteur_2[[#This Row],[Colonne1]]/Tab_Compteur_2[[#This Row],[Delta Jour]],"")</f>
        <v/>
      </c>
      <c r="I36" s="184" t="str">
        <f t="shared" si="0"/>
        <v/>
      </c>
      <c r="J36" s="450"/>
      <c r="K36" s="70"/>
      <c r="L36" s="70"/>
      <c r="M36" s="70"/>
    </row>
    <row r="37" spans="1:13">
      <c r="A37" s="2">
        <f t="shared" si="1"/>
        <v>1</v>
      </c>
      <c r="B37" s="2"/>
      <c r="C37" s="681"/>
      <c r="D37" s="681"/>
      <c r="E37" s="519"/>
      <c r="F37" s="177" t="str">
        <f>IF(Tab_Compteur_2[[#This Row],[Fin de période]]&gt;0,IFERROR(B37-A37+1,""),"")</f>
        <v/>
      </c>
      <c r="G37" t="str">
        <f>IF(IFERROR(IF(Str_TypeDonneesCpt2=Cpt_Index,Tab_Compteur_2[[#This Row],[Index]]-E36,Tab_Compteur_2[[#This Row],[Quantité]])/Tab_Compteur_2[[#This Row],[Delta Jour]],"")&lt;0,"",IFERROR(IF(Str_TypeDonneesCpt2=Cpt_Index,Tab_Compteur_2[[#This Row],[Index]]-E36,Tab_Compteur_2[[#This Row],[Quantité]])/Tab_Compteur_2[[#This Row],[Delta Jour]],""))</f>
        <v/>
      </c>
      <c r="H37" s="177" t="str">
        <f>IFERROR(Tab_Compteur_2[[#This Row],[Colonne1]]/Tab_Compteur_2[[#This Row],[Delta Jour]],"")</f>
        <v/>
      </c>
      <c r="I37" s="184" t="str">
        <f t="shared" si="0"/>
        <v/>
      </c>
      <c r="J37" s="450"/>
      <c r="K37" s="70"/>
      <c r="L37" s="70"/>
      <c r="M37" s="70"/>
    </row>
    <row r="38" spans="1:13">
      <c r="A38" s="2">
        <f t="shared" si="1"/>
        <v>1</v>
      </c>
      <c r="B38" s="2"/>
      <c r="C38" s="681"/>
      <c r="D38" s="681"/>
      <c r="E38" s="519"/>
      <c r="F38" s="177" t="str">
        <f>IF(Tab_Compteur_2[[#This Row],[Fin de période]]&gt;0,IFERROR(B38-A38+1,""),"")</f>
        <v/>
      </c>
      <c r="G38" t="str">
        <f>IF(IFERROR(IF(Str_TypeDonneesCpt2=Cpt_Index,Tab_Compteur_2[[#This Row],[Index]]-E37,Tab_Compteur_2[[#This Row],[Quantité]])/Tab_Compteur_2[[#This Row],[Delta Jour]],"")&lt;0,"",IFERROR(IF(Str_TypeDonneesCpt2=Cpt_Index,Tab_Compteur_2[[#This Row],[Index]]-E37,Tab_Compteur_2[[#This Row],[Quantité]])/Tab_Compteur_2[[#This Row],[Delta Jour]],""))</f>
        <v/>
      </c>
      <c r="H38" s="177" t="str">
        <f>IFERROR(Tab_Compteur_2[[#This Row],[Colonne1]]/Tab_Compteur_2[[#This Row],[Delta Jour]],"")</f>
        <v/>
      </c>
      <c r="I38" s="184" t="str">
        <f t="shared" si="0"/>
        <v/>
      </c>
      <c r="J38" s="450"/>
      <c r="K38" s="70"/>
      <c r="L38" s="70"/>
      <c r="M38" s="70"/>
    </row>
    <row r="39" spans="1:13">
      <c r="A39" s="2">
        <f t="shared" si="1"/>
        <v>1</v>
      </c>
      <c r="B39" s="2"/>
      <c r="C39" s="681"/>
      <c r="D39" s="681"/>
      <c r="E39" s="519"/>
      <c r="F39" s="177" t="str">
        <f>IF(Tab_Compteur_2[[#This Row],[Fin de période]]&gt;0,IFERROR(B39-A39+1,""),"")</f>
        <v/>
      </c>
      <c r="G39" t="str">
        <f>IF(IFERROR(IF(Str_TypeDonneesCpt2=Cpt_Index,Tab_Compteur_2[[#This Row],[Index]]-E38,Tab_Compteur_2[[#This Row],[Quantité]])/Tab_Compteur_2[[#This Row],[Delta Jour]],"")&lt;0,"",IFERROR(IF(Str_TypeDonneesCpt2=Cpt_Index,Tab_Compteur_2[[#This Row],[Index]]-E38,Tab_Compteur_2[[#This Row],[Quantité]])/Tab_Compteur_2[[#This Row],[Delta Jour]],""))</f>
        <v/>
      </c>
      <c r="H39" s="177" t="str">
        <f>IFERROR(Tab_Compteur_2[[#This Row],[Colonne1]]/Tab_Compteur_2[[#This Row],[Delta Jour]],"")</f>
        <v/>
      </c>
      <c r="I39" s="184" t="str">
        <f t="shared" si="0"/>
        <v/>
      </c>
      <c r="J39" s="450"/>
      <c r="K39" s="70"/>
      <c r="L39" s="70"/>
      <c r="M39" s="70"/>
    </row>
    <row r="40" spans="1:13">
      <c r="A40" s="2">
        <f t="shared" si="1"/>
        <v>1</v>
      </c>
      <c r="B40" s="2"/>
      <c r="C40" s="681"/>
      <c r="D40" s="681"/>
      <c r="E40" s="519"/>
      <c r="F40" s="177" t="str">
        <f>IF(Tab_Compteur_2[[#This Row],[Fin de période]]&gt;0,IFERROR(B40-A40+1,""),"")</f>
        <v/>
      </c>
      <c r="G40" t="str">
        <f>IF(IFERROR(IF(Str_TypeDonneesCpt2=Cpt_Index,Tab_Compteur_2[[#This Row],[Index]]-E39,Tab_Compteur_2[[#This Row],[Quantité]])/Tab_Compteur_2[[#This Row],[Delta Jour]],"")&lt;0,"",IFERROR(IF(Str_TypeDonneesCpt2=Cpt_Index,Tab_Compteur_2[[#This Row],[Index]]-E39,Tab_Compteur_2[[#This Row],[Quantité]])/Tab_Compteur_2[[#This Row],[Delta Jour]],""))</f>
        <v/>
      </c>
      <c r="H40" s="177" t="str">
        <f>IFERROR(Tab_Compteur_2[[#This Row],[Colonne1]]/Tab_Compteur_2[[#This Row],[Delta Jour]],"")</f>
        <v/>
      </c>
      <c r="I40" s="184" t="str">
        <f t="shared" si="0"/>
        <v/>
      </c>
      <c r="J40" s="450"/>
      <c r="K40" s="70"/>
      <c r="L40" s="70"/>
      <c r="M40" s="70"/>
    </row>
    <row r="41" spans="1:13">
      <c r="A41" s="2">
        <f t="shared" si="1"/>
        <v>1</v>
      </c>
      <c r="B41" s="2"/>
      <c r="C41" s="681"/>
      <c r="D41" s="681"/>
      <c r="E41" s="519"/>
      <c r="F41" s="177" t="str">
        <f>IF(Tab_Compteur_2[[#This Row],[Fin de période]]&gt;0,IFERROR(B41-A41+1,""),"")</f>
        <v/>
      </c>
      <c r="G41" t="str">
        <f>IF(IFERROR(IF(Str_TypeDonneesCpt2=Cpt_Index,Tab_Compteur_2[[#This Row],[Index]]-E40,Tab_Compteur_2[[#This Row],[Quantité]])/Tab_Compteur_2[[#This Row],[Delta Jour]],"")&lt;0,"",IFERROR(IF(Str_TypeDonneesCpt2=Cpt_Index,Tab_Compteur_2[[#This Row],[Index]]-E40,Tab_Compteur_2[[#This Row],[Quantité]])/Tab_Compteur_2[[#This Row],[Delta Jour]],""))</f>
        <v/>
      </c>
      <c r="H41" s="177" t="str">
        <f>IFERROR(Tab_Compteur_2[[#This Row],[Colonne1]]/Tab_Compteur_2[[#This Row],[Delta Jour]],"")</f>
        <v/>
      </c>
      <c r="I41" s="184" t="str">
        <f t="shared" si="0"/>
        <v/>
      </c>
      <c r="J41" s="450"/>
      <c r="K41" s="70"/>
      <c r="L41" s="70"/>
      <c r="M41" s="70"/>
    </row>
    <row r="42" spans="1:13">
      <c r="A42" s="2">
        <f t="shared" si="1"/>
        <v>1</v>
      </c>
      <c r="B42" s="2"/>
      <c r="C42" s="681"/>
      <c r="D42" s="681"/>
      <c r="E42" s="519"/>
      <c r="F42" s="177" t="str">
        <f>IF(Tab_Compteur_2[[#This Row],[Fin de période]]&gt;0,IFERROR(B42-A42+1,""),"")</f>
        <v/>
      </c>
      <c r="G42" t="str">
        <f>IF(IFERROR(IF(Str_TypeDonneesCpt2=Cpt_Index,Tab_Compteur_2[[#This Row],[Index]]-E41,Tab_Compteur_2[[#This Row],[Quantité]])/Tab_Compteur_2[[#This Row],[Delta Jour]],"")&lt;0,"",IFERROR(IF(Str_TypeDonneesCpt2=Cpt_Index,Tab_Compteur_2[[#This Row],[Index]]-E41,Tab_Compteur_2[[#This Row],[Quantité]])/Tab_Compteur_2[[#This Row],[Delta Jour]],""))</f>
        <v/>
      </c>
      <c r="H42" s="177" t="str">
        <f>IFERROR(Tab_Compteur_2[[#This Row],[Colonne1]]/Tab_Compteur_2[[#This Row],[Delta Jour]],"")</f>
        <v/>
      </c>
      <c r="I42" s="184" t="str">
        <f t="shared" si="0"/>
        <v/>
      </c>
      <c r="J42" s="450"/>
      <c r="K42" s="70"/>
      <c r="L42" s="70"/>
      <c r="M42" s="70"/>
    </row>
    <row r="43" spans="1:13">
      <c r="A43" s="2">
        <f t="shared" si="1"/>
        <v>1</v>
      </c>
      <c r="B43" s="2"/>
      <c r="C43" s="681"/>
      <c r="D43" s="681"/>
      <c r="E43" s="519"/>
      <c r="F43" s="177" t="str">
        <f>IF(Tab_Compteur_2[[#This Row],[Fin de période]]&gt;0,IFERROR(B43-A43+1,""),"")</f>
        <v/>
      </c>
      <c r="G43" t="str">
        <f>IF(IFERROR(IF(Str_TypeDonneesCpt2=Cpt_Index,Tab_Compteur_2[[#This Row],[Index]]-E42,Tab_Compteur_2[[#This Row],[Quantité]])/Tab_Compteur_2[[#This Row],[Delta Jour]],"")&lt;0,"",IFERROR(IF(Str_TypeDonneesCpt2=Cpt_Index,Tab_Compteur_2[[#This Row],[Index]]-E42,Tab_Compteur_2[[#This Row],[Quantité]])/Tab_Compteur_2[[#This Row],[Delta Jour]],""))</f>
        <v/>
      </c>
      <c r="H43" s="177" t="str">
        <f>IFERROR(Tab_Compteur_2[[#This Row],[Colonne1]]/Tab_Compteur_2[[#This Row],[Delta Jour]],"")</f>
        <v/>
      </c>
      <c r="I43" s="184" t="str">
        <f t="shared" si="0"/>
        <v/>
      </c>
      <c r="J43" s="450"/>
      <c r="K43" s="70"/>
      <c r="L43" s="70"/>
      <c r="M43" s="70"/>
    </row>
    <row r="44" spans="1:13">
      <c r="A44" s="2">
        <f t="shared" si="1"/>
        <v>1</v>
      </c>
      <c r="B44" s="2"/>
      <c r="C44" s="681"/>
      <c r="D44" s="681"/>
      <c r="E44" s="519"/>
      <c r="F44" s="177" t="str">
        <f>IF(Tab_Compteur_2[[#This Row],[Fin de période]]&gt;0,IFERROR(B44-A44+1,""),"")</f>
        <v/>
      </c>
      <c r="G44" t="str">
        <f>IF(IFERROR(IF(Str_TypeDonneesCpt2=Cpt_Index,Tab_Compteur_2[[#This Row],[Index]]-E43,Tab_Compteur_2[[#This Row],[Quantité]])/Tab_Compteur_2[[#This Row],[Delta Jour]],"")&lt;0,"",IFERROR(IF(Str_TypeDonneesCpt2=Cpt_Index,Tab_Compteur_2[[#This Row],[Index]]-E43,Tab_Compteur_2[[#This Row],[Quantité]])/Tab_Compteur_2[[#This Row],[Delta Jour]],""))</f>
        <v/>
      </c>
      <c r="H44" s="177" t="str">
        <f>IFERROR(Tab_Compteur_2[[#This Row],[Colonne1]]/Tab_Compteur_2[[#This Row],[Delta Jour]],"")</f>
        <v/>
      </c>
      <c r="I44" s="184" t="str">
        <f t="shared" si="0"/>
        <v/>
      </c>
      <c r="J44" s="450"/>
      <c r="K44" s="70"/>
      <c r="L44" s="70"/>
      <c r="M44" s="70"/>
    </row>
    <row r="45" spans="1:13">
      <c r="A45" s="2">
        <f t="shared" si="1"/>
        <v>1</v>
      </c>
      <c r="B45" s="2"/>
      <c r="C45" s="681"/>
      <c r="D45" s="681"/>
      <c r="E45" s="519"/>
      <c r="F45" s="177" t="str">
        <f>IF(Tab_Compteur_2[[#This Row],[Fin de période]]&gt;0,IFERROR(B45-A45+1,""),"")</f>
        <v/>
      </c>
      <c r="G45" t="str">
        <f>IF(IFERROR(IF(Str_TypeDonneesCpt2=Cpt_Index,Tab_Compteur_2[[#This Row],[Index]]-E44,Tab_Compteur_2[[#This Row],[Quantité]])/Tab_Compteur_2[[#This Row],[Delta Jour]],"")&lt;0,"",IFERROR(IF(Str_TypeDonneesCpt2=Cpt_Index,Tab_Compteur_2[[#This Row],[Index]]-E44,Tab_Compteur_2[[#This Row],[Quantité]])/Tab_Compteur_2[[#This Row],[Delta Jour]],""))</f>
        <v/>
      </c>
      <c r="H45" s="177" t="str">
        <f>IFERROR(Tab_Compteur_2[[#This Row],[Colonne1]]/Tab_Compteur_2[[#This Row],[Delta Jour]],"")</f>
        <v/>
      </c>
      <c r="I45" s="184" t="str">
        <f t="shared" si="0"/>
        <v/>
      </c>
      <c r="J45" s="450"/>
      <c r="K45" s="70"/>
      <c r="L45" s="70"/>
      <c r="M45" s="70"/>
    </row>
    <row r="46" spans="1:13">
      <c r="A46" s="2">
        <f t="shared" si="1"/>
        <v>1</v>
      </c>
      <c r="B46" s="2"/>
      <c r="C46" s="681"/>
      <c r="D46" s="681"/>
      <c r="E46" s="519"/>
      <c r="F46" s="177" t="str">
        <f>IF(Tab_Compteur_2[[#This Row],[Fin de période]]&gt;0,IFERROR(B46-A46+1,""),"")</f>
        <v/>
      </c>
      <c r="G46" t="str">
        <f>IF(IFERROR(IF(Str_TypeDonneesCpt2=Cpt_Index,Tab_Compteur_2[[#This Row],[Index]]-E45,Tab_Compteur_2[[#This Row],[Quantité]])/Tab_Compteur_2[[#This Row],[Delta Jour]],"")&lt;0,"",IFERROR(IF(Str_TypeDonneesCpt2=Cpt_Index,Tab_Compteur_2[[#This Row],[Index]]-E45,Tab_Compteur_2[[#This Row],[Quantité]])/Tab_Compteur_2[[#This Row],[Delta Jour]],""))</f>
        <v/>
      </c>
      <c r="H46" s="177" t="str">
        <f>IFERROR(Tab_Compteur_2[[#This Row],[Colonne1]]/Tab_Compteur_2[[#This Row],[Delta Jour]],"")</f>
        <v/>
      </c>
      <c r="I46" s="184" t="str">
        <f t="shared" si="0"/>
        <v/>
      </c>
      <c r="J46" s="450"/>
      <c r="K46" s="70"/>
      <c r="L46" s="70"/>
      <c r="M46" s="70"/>
    </row>
    <row r="47" spans="1:13">
      <c r="A47" s="2">
        <f t="shared" si="1"/>
        <v>1</v>
      </c>
      <c r="B47" s="2"/>
      <c r="C47" s="681"/>
      <c r="D47" s="681"/>
      <c r="E47" s="519"/>
      <c r="F47" s="177" t="str">
        <f>IF(Tab_Compteur_2[[#This Row],[Fin de période]]&gt;0,IFERROR(B47-A47+1,""),"")</f>
        <v/>
      </c>
      <c r="G47" t="str">
        <f>IF(IFERROR(IF(Str_TypeDonneesCpt2=Cpt_Index,Tab_Compteur_2[[#This Row],[Index]]-E46,Tab_Compteur_2[[#This Row],[Quantité]])/Tab_Compteur_2[[#This Row],[Delta Jour]],"")&lt;0,"",IFERROR(IF(Str_TypeDonneesCpt2=Cpt_Index,Tab_Compteur_2[[#This Row],[Index]]-E46,Tab_Compteur_2[[#This Row],[Quantité]])/Tab_Compteur_2[[#This Row],[Delta Jour]],""))</f>
        <v/>
      </c>
      <c r="H47" s="177" t="str">
        <f>IFERROR(Tab_Compteur_2[[#This Row],[Colonne1]]/Tab_Compteur_2[[#This Row],[Delta Jour]],"")</f>
        <v/>
      </c>
      <c r="I47" s="184" t="str">
        <f t="shared" si="0"/>
        <v/>
      </c>
      <c r="J47" s="450"/>
      <c r="K47" s="70"/>
      <c r="L47" s="70"/>
      <c r="M47" s="70"/>
    </row>
    <row r="48" spans="1:13">
      <c r="A48" s="2">
        <f t="shared" si="1"/>
        <v>1</v>
      </c>
      <c r="B48" s="2"/>
      <c r="C48" s="681"/>
      <c r="D48" s="681"/>
      <c r="E48" s="519"/>
      <c r="F48" s="177" t="str">
        <f>IF(Tab_Compteur_2[[#This Row],[Fin de période]]&gt;0,IFERROR(B48-A48+1,""),"")</f>
        <v/>
      </c>
      <c r="G48" t="str">
        <f>IF(IFERROR(IF(Str_TypeDonneesCpt2=Cpt_Index,Tab_Compteur_2[[#This Row],[Index]]-E47,Tab_Compteur_2[[#This Row],[Quantité]])/Tab_Compteur_2[[#This Row],[Delta Jour]],"")&lt;0,"",IFERROR(IF(Str_TypeDonneesCpt2=Cpt_Index,Tab_Compteur_2[[#This Row],[Index]]-E47,Tab_Compteur_2[[#This Row],[Quantité]])/Tab_Compteur_2[[#This Row],[Delta Jour]],""))</f>
        <v/>
      </c>
      <c r="H48" s="177" t="str">
        <f>IFERROR(Tab_Compteur_2[[#This Row],[Colonne1]]/Tab_Compteur_2[[#This Row],[Delta Jour]],"")</f>
        <v/>
      </c>
      <c r="I48" s="184" t="str">
        <f t="shared" si="0"/>
        <v/>
      </c>
      <c r="J48" s="450"/>
      <c r="K48" s="70"/>
      <c r="L48" s="70"/>
      <c r="M48" s="70"/>
    </row>
    <row r="49" spans="1:13">
      <c r="A49" s="2">
        <f t="shared" si="1"/>
        <v>1</v>
      </c>
      <c r="B49" s="2"/>
      <c r="C49" s="681"/>
      <c r="D49" s="681"/>
      <c r="E49" s="519"/>
      <c r="F49" s="177" t="str">
        <f>IF(Tab_Compteur_2[[#This Row],[Fin de période]]&gt;0,IFERROR(B49-A49+1,""),"")</f>
        <v/>
      </c>
      <c r="G49" t="str">
        <f>IF(IFERROR(IF(Str_TypeDonneesCpt2=Cpt_Index,Tab_Compteur_2[[#This Row],[Index]]-E48,Tab_Compteur_2[[#This Row],[Quantité]])/Tab_Compteur_2[[#This Row],[Delta Jour]],"")&lt;0,"",IFERROR(IF(Str_TypeDonneesCpt2=Cpt_Index,Tab_Compteur_2[[#This Row],[Index]]-E48,Tab_Compteur_2[[#This Row],[Quantité]])/Tab_Compteur_2[[#This Row],[Delta Jour]],""))</f>
        <v/>
      </c>
      <c r="H49" s="177" t="str">
        <f>IFERROR(Tab_Compteur_2[[#This Row],[Colonne1]]/Tab_Compteur_2[[#This Row],[Delta Jour]],"")</f>
        <v/>
      </c>
      <c r="I49" s="184" t="str">
        <f t="shared" si="0"/>
        <v/>
      </c>
      <c r="J49" s="450"/>
      <c r="K49" s="70"/>
      <c r="L49" s="70"/>
      <c r="M49" s="70"/>
    </row>
    <row r="50" spans="1:13">
      <c r="A50" s="2">
        <f t="shared" si="1"/>
        <v>1</v>
      </c>
      <c r="B50" s="2"/>
      <c r="C50" s="681"/>
      <c r="D50" s="681"/>
      <c r="E50" s="519"/>
      <c r="F50" s="177" t="str">
        <f>IF(Tab_Compteur_2[[#This Row],[Fin de période]]&gt;0,IFERROR(B50-A50+1,""),"")</f>
        <v/>
      </c>
      <c r="G50" t="str">
        <f>IF(IFERROR(IF(Str_TypeDonneesCpt2=Cpt_Index,Tab_Compteur_2[[#This Row],[Index]]-E49,Tab_Compteur_2[[#This Row],[Quantité]])/Tab_Compteur_2[[#This Row],[Delta Jour]],"")&lt;0,"",IFERROR(IF(Str_TypeDonneesCpt2=Cpt_Index,Tab_Compteur_2[[#This Row],[Index]]-E49,Tab_Compteur_2[[#This Row],[Quantité]])/Tab_Compteur_2[[#This Row],[Delta Jour]],""))</f>
        <v/>
      </c>
      <c r="H50" s="177" t="str">
        <f>IFERROR(Tab_Compteur_2[[#This Row],[Colonne1]]/Tab_Compteur_2[[#This Row],[Delta Jour]],"")</f>
        <v/>
      </c>
      <c r="I50" s="184" t="str">
        <f t="shared" si="0"/>
        <v/>
      </c>
      <c r="J50" s="450"/>
      <c r="K50" s="70"/>
      <c r="L50" s="70"/>
      <c r="M50" s="70"/>
    </row>
    <row r="51" spans="1:13">
      <c r="A51" s="2">
        <f t="shared" si="1"/>
        <v>1</v>
      </c>
      <c r="B51" s="2"/>
      <c r="C51" s="681"/>
      <c r="D51" s="681"/>
      <c r="E51" s="519"/>
      <c r="F51" s="177" t="str">
        <f>IF(Tab_Compteur_2[[#This Row],[Fin de période]]&gt;0,IFERROR(B51-A51+1,""),"")</f>
        <v/>
      </c>
      <c r="G51" t="str">
        <f>IF(IFERROR(IF(Str_TypeDonneesCpt2=Cpt_Index,Tab_Compteur_2[[#This Row],[Index]]-E50,Tab_Compteur_2[[#This Row],[Quantité]])/Tab_Compteur_2[[#This Row],[Delta Jour]],"")&lt;0,"",IFERROR(IF(Str_TypeDonneesCpt2=Cpt_Index,Tab_Compteur_2[[#This Row],[Index]]-E50,Tab_Compteur_2[[#This Row],[Quantité]])/Tab_Compteur_2[[#This Row],[Delta Jour]],""))</f>
        <v/>
      </c>
      <c r="H51" s="177" t="str">
        <f>IFERROR(Tab_Compteur_2[[#This Row],[Colonne1]]/Tab_Compteur_2[[#This Row],[Delta Jour]],"")</f>
        <v/>
      </c>
      <c r="I51" s="184" t="str">
        <f t="shared" si="0"/>
        <v/>
      </c>
      <c r="J51" s="450"/>
      <c r="K51" s="70"/>
      <c r="L51" s="70"/>
      <c r="M51" s="70"/>
    </row>
    <row r="52" spans="1:13">
      <c r="A52" s="2">
        <f t="shared" si="1"/>
        <v>1</v>
      </c>
      <c r="B52" s="2"/>
      <c r="C52" s="681"/>
      <c r="D52" s="681"/>
      <c r="E52" s="519"/>
      <c r="F52" s="177" t="str">
        <f>IF(Tab_Compteur_2[[#This Row],[Fin de période]]&gt;0,IFERROR(B52-A52+1,""),"")</f>
        <v/>
      </c>
      <c r="G52" t="str">
        <f>IF(IFERROR(IF(Str_TypeDonneesCpt2=Cpt_Index,Tab_Compteur_2[[#This Row],[Index]]-E51,Tab_Compteur_2[[#This Row],[Quantité]])/Tab_Compteur_2[[#This Row],[Delta Jour]],"")&lt;0,"",IFERROR(IF(Str_TypeDonneesCpt2=Cpt_Index,Tab_Compteur_2[[#This Row],[Index]]-E51,Tab_Compteur_2[[#This Row],[Quantité]])/Tab_Compteur_2[[#This Row],[Delta Jour]],""))</f>
        <v/>
      </c>
      <c r="H52" s="177" t="str">
        <f>IFERROR(Tab_Compteur_2[[#This Row],[Colonne1]]/Tab_Compteur_2[[#This Row],[Delta Jour]],"")</f>
        <v/>
      </c>
      <c r="I52" s="184" t="str">
        <f t="shared" si="0"/>
        <v/>
      </c>
      <c r="J52" s="450"/>
      <c r="K52" s="70"/>
      <c r="L52" s="70"/>
      <c r="M52" s="70"/>
    </row>
    <row r="53" spans="1:13">
      <c r="A53" s="2">
        <f t="shared" si="1"/>
        <v>1</v>
      </c>
      <c r="B53" s="2"/>
      <c r="C53" s="681"/>
      <c r="D53" s="681"/>
      <c r="E53" s="519"/>
      <c r="F53" s="177" t="str">
        <f>IF(Tab_Compteur_2[[#This Row],[Fin de période]]&gt;0,IFERROR(B53-A53+1,""),"")</f>
        <v/>
      </c>
      <c r="G53" t="str">
        <f>IF(IFERROR(IF(Str_TypeDonneesCpt2=Cpt_Index,Tab_Compteur_2[[#This Row],[Index]]-E52,Tab_Compteur_2[[#This Row],[Quantité]])/Tab_Compteur_2[[#This Row],[Delta Jour]],"")&lt;0,"",IFERROR(IF(Str_TypeDonneesCpt2=Cpt_Index,Tab_Compteur_2[[#This Row],[Index]]-E52,Tab_Compteur_2[[#This Row],[Quantité]])/Tab_Compteur_2[[#This Row],[Delta Jour]],""))</f>
        <v/>
      </c>
      <c r="H53" s="177" t="str">
        <f>IFERROR(Tab_Compteur_2[[#This Row],[Colonne1]]/Tab_Compteur_2[[#This Row],[Delta Jour]],"")</f>
        <v/>
      </c>
      <c r="I53" s="184" t="str">
        <f t="shared" si="0"/>
        <v/>
      </c>
      <c r="J53" s="450"/>
      <c r="K53" s="70"/>
      <c r="L53" s="70"/>
      <c r="M53" s="70"/>
    </row>
    <row r="54" spans="1:13">
      <c r="A54" s="2">
        <f t="shared" si="1"/>
        <v>1</v>
      </c>
      <c r="B54" s="2"/>
      <c r="C54" s="681"/>
      <c r="D54" s="681"/>
      <c r="E54" s="519"/>
      <c r="F54" s="177" t="str">
        <f>IF(Tab_Compteur_2[[#This Row],[Fin de période]]&gt;0,IFERROR(B54-A54+1,""),"")</f>
        <v/>
      </c>
      <c r="G54" t="str">
        <f>IF(IFERROR(IF(Str_TypeDonneesCpt2=Cpt_Index,Tab_Compteur_2[[#This Row],[Index]]-E53,Tab_Compteur_2[[#This Row],[Quantité]])/Tab_Compteur_2[[#This Row],[Delta Jour]],"")&lt;0,"",IFERROR(IF(Str_TypeDonneesCpt2=Cpt_Index,Tab_Compteur_2[[#This Row],[Index]]-E53,Tab_Compteur_2[[#This Row],[Quantité]])/Tab_Compteur_2[[#This Row],[Delta Jour]],""))</f>
        <v/>
      </c>
      <c r="H54" s="177" t="str">
        <f>IFERROR(Tab_Compteur_2[[#This Row],[Colonne1]]/Tab_Compteur_2[[#This Row],[Delta Jour]],"")</f>
        <v/>
      </c>
      <c r="I54" s="184" t="str">
        <f t="shared" si="0"/>
        <v/>
      </c>
      <c r="J54" s="450"/>
      <c r="K54" s="70"/>
      <c r="L54" s="70"/>
      <c r="M54" s="70"/>
    </row>
    <row r="55" spans="1:13">
      <c r="A55" s="2">
        <f t="shared" si="1"/>
        <v>1</v>
      </c>
      <c r="B55" s="2"/>
      <c r="C55" s="681"/>
      <c r="D55" s="681"/>
      <c r="E55" s="519"/>
      <c r="F55" s="177" t="str">
        <f>IF(Tab_Compteur_2[[#This Row],[Fin de période]]&gt;0,IFERROR(B55-A55+1,""),"")</f>
        <v/>
      </c>
      <c r="G55" t="str">
        <f>IF(IFERROR(IF(Str_TypeDonneesCpt2=Cpt_Index,Tab_Compteur_2[[#This Row],[Index]]-E54,Tab_Compteur_2[[#This Row],[Quantité]])/Tab_Compteur_2[[#This Row],[Delta Jour]],"")&lt;0,"",IFERROR(IF(Str_TypeDonneesCpt2=Cpt_Index,Tab_Compteur_2[[#This Row],[Index]]-E54,Tab_Compteur_2[[#This Row],[Quantité]])/Tab_Compteur_2[[#This Row],[Delta Jour]],""))</f>
        <v/>
      </c>
      <c r="H55" s="177" t="str">
        <f>IFERROR(Tab_Compteur_2[[#This Row],[Colonne1]]/Tab_Compteur_2[[#This Row],[Delta Jour]],"")</f>
        <v/>
      </c>
      <c r="I55" s="184" t="str">
        <f t="shared" si="0"/>
        <v/>
      </c>
      <c r="J55" s="450"/>
      <c r="K55" s="70"/>
      <c r="L55" s="70"/>
      <c r="M55" s="70"/>
    </row>
    <row r="56" spans="1:13">
      <c r="A56" s="2">
        <f t="shared" si="1"/>
        <v>1</v>
      </c>
      <c r="B56" s="2"/>
      <c r="C56" s="681"/>
      <c r="D56" s="681"/>
      <c r="E56" s="519"/>
      <c r="F56" s="177" t="str">
        <f>IF(Tab_Compteur_2[[#This Row],[Fin de période]]&gt;0,IFERROR(B56-A56+1,""),"")</f>
        <v/>
      </c>
      <c r="G56" t="str">
        <f>IF(IFERROR(IF(Str_TypeDonneesCpt2=Cpt_Index,Tab_Compteur_2[[#This Row],[Index]]-E55,Tab_Compteur_2[[#This Row],[Quantité]])/Tab_Compteur_2[[#This Row],[Delta Jour]],"")&lt;0,"",IFERROR(IF(Str_TypeDonneesCpt2=Cpt_Index,Tab_Compteur_2[[#This Row],[Index]]-E55,Tab_Compteur_2[[#This Row],[Quantité]])/Tab_Compteur_2[[#This Row],[Delta Jour]],""))</f>
        <v/>
      </c>
      <c r="H56" s="177" t="str">
        <f>IFERROR(Tab_Compteur_2[[#This Row],[Colonne1]]/Tab_Compteur_2[[#This Row],[Delta Jour]],"")</f>
        <v/>
      </c>
      <c r="I56" s="184" t="str">
        <f t="shared" si="0"/>
        <v/>
      </c>
      <c r="J56" s="450"/>
      <c r="K56" s="70"/>
      <c r="L56" s="70"/>
      <c r="M56" s="70"/>
    </row>
    <row r="57" spans="1:13">
      <c r="A57" s="2">
        <f t="shared" si="1"/>
        <v>1</v>
      </c>
      <c r="B57" s="2"/>
      <c r="C57" s="681"/>
      <c r="D57" s="681"/>
      <c r="E57" s="519"/>
      <c r="F57" s="177" t="str">
        <f>IF(Tab_Compteur_2[[#This Row],[Fin de période]]&gt;0,IFERROR(B57-A57+1,""),"")</f>
        <v/>
      </c>
      <c r="G57" t="str">
        <f>IF(IFERROR(IF(Str_TypeDonneesCpt2=Cpt_Index,Tab_Compteur_2[[#This Row],[Index]]-E56,Tab_Compteur_2[[#This Row],[Quantité]])/Tab_Compteur_2[[#This Row],[Delta Jour]],"")&lt;0,"",IFERROR(IF(Str_TypeDonneesCpt2=Cpt_Index,Tab_Compteur_2[[#This Row],[Index]]-E56,Tab_Compteur_2[[#This Row],[Quantité]])/Tab_Compteur_2[[#This Row],[Delta Jour]],""))</f>
        <v/>
      </c>
      <c r="H57" s="177" t="str">
        <f>IFERROR(Tab_Compteur_2[[#This Row],[Colonne1]]/Tab_Compteur_2[[#This Row],[Delta Jour]],"")</f>
        <v/>
      </c>
      <c r="I57" s="184" t="str">
        <f t="shared" si="0"/>
        <v/>
      </c>
      <c r="J57" s="450"/>
      <c r="K57" s="70"/>
      <c r="L57" s="70"/>
      <c r="M57" s="70"/>
    </row>
    <row r="58" spans="1:13">
      <c r="A58" s="2">
        <f t="shared" si="1"/>
        <v>1</v>
      </c>
      <c r="B58" s="2"/>
      <c r="C58" s="681"/>
      <c r="D58" s="681"/>
      <c r="E58" s="519"/>
      <c r="F58" s="177" t="str">
        <f>IF(Tab_Compteur_2[[#This Row],[Fin de période]]&gt;0,IFERROR(B58-A58+1,""),"")</f>
        <v/>
      </c>
      <c r="G58" t="str">
        <f>IF(IFERROR(IF(Str_TypeDonneesCpt2=Cpt_Index,Tab_Compteur_2[[#This Row],[Index]]-E57,Tab_Compteur_2[[#This Row],[Quantité]])/Tab_Compteur_2[[#This Row],[Delta Jour]],"")&lt;0,"",IFERROR(IF(Str_TypeDonneesCpt2=Cpt_Index,Tab_Compteur_2[[#This Row],[Index]]-E57,Tab_Compteur_2[[#This Row],[Quantité]])/Tab_Compteur_2[[#This Row],[Delta Jour]],""))</f>
        <v/>
      </c>
      <c r="H58" s="177" t="str">
        <f>IFERROR(Tab_Compteur_2[[#This Row],[Colonne1]]/Tab_Compteur_2[[#This Row],[Delta Jour]],"")</f>
        <v/>
      </c>
      <c r="I58" s="184" t="str">
        <f t="shared" si="0"/>
        <v/>
      </c>
      <c r="J58" s="450"/>
      <c r="K58" s="70"/>
      <c r="L58" s="70"/>
      <c r="M58" s="70"/>
    </row>
    <row r="59" spans="1:13">
      <c r="A59" s="2">
        <f t="shared" si="1"/>
        <v>1</v>
      </c>
      <c r="B59" s="2"/>
      <c r="C59" s="681"/>
      <c r="D59" s="681"/>
      <c r="E59" s="519"/>
      <c r="F59" s="177" t="str">
        <f>IF(Tab_Compteur_2[[#This Row],[Fin de période]]&gt;0,IFERROR(B59-A59+1,""),"")</f>
        <v/>
      </c>
      <c r="G59" t="str">
        <f>IF(IFERROR(IF(Str_TypeDonneesCpt2=Cpt_Index,Tab_Compteur_2[[#This Row],[Index]]-E58,Tab_Compteur_2[[#This Row],[Quantité]])/Tab_Compteur_2[[#This Row],[Delta Jour]],"")&lt;0,"",IFERROR(IF(Str_TypeDonneesCpt2=Cpt_Index,Tab_Compteur_2[[#This Row],[Index]]-E58,Tab_Compteur_2[[#This Row],[Quantité]])/Tab_Compteur_2[[#This Row],[Delta Jour]],""))</f>
        <v/>
      </c>
      <c r="H59" s="177" t="str">
        <f>IFERROR(Tab_Compteur_2[[#This Row],[Colonne1]]/Tab_Compteur_2[[#This Row],[Delta Jour]],"")</f>
        <v/>
      </c>
      <c r="I59" s="184" t="str">
        <f t="shared" si="0"/>
        <v/>
      </c>
      <c r="J59" s="450"/>
      <c r="K59" s="70"/>
      <c r="L59" s="70"/>
      <c r="M59" s="70"/>
    </row>
    <row r="60" spans="1:13">
      <c r="A60" s="2">
        <f t="shared" si="1"/>
        <v>1</v>
      </c>
      <c r="B60" s="2"/>
      <c r="C60" s="681"/>
      <c r="D60" s="681"/>
      <c r="E60" s="519"/>
      <c r="F60" s="177" t="str">
        <f>IF(Tab_Compteur_2[[#This Row],[Fin de période]]&gt;0,IFERROR(B60-A60+1,""),"")</f>
        <v/>
      </c>
      <c r="G60" t="str">
        <f>IF(IFERROR(IF(Str_TypeDonneesCpt2=Cpt_Index,Tab_Compteur_2[[#This Row],[Index]]-E59,Tab_Compteur_2[[#This Row],[Quantité]])/Tab_Compteur_2[[#This Row],[Delta Jour]],"")&lt;0,"",IFERROR(IF(Str_TypeDonneesCpt2=Cpt_Index,Tab_Compteur_2[[#This Row],[Index]]-E59,Tab_Compteur_2[[#This Row],[Quantité]])/Tab_Compteur_2[[#This Row],[Delta Jour]],""))</f>
        <v/>
      </c>
      <c r="H60" s="177" t="str">
        <f>IFERROR(Tab_Compteur_2[[#This Row],[Colonne1]]/Tab_Compteur_2[[#This Row],[Delta Jour]],"")</f>
        <v/>
      </c>
      <c r="I60" s="184" t="str">
        <f t="shared" si="0"/>
        <v/>
      </c>
      <c r="J60" s="450"/>
      <c r="K60" s="70"/>
      <c r="L60" s="70"/>
      <c r="M60" s="70"/>
    </row>
    <row r="61" spans="1:13">
      <c r="A61" s="2">
        <f t="shared" si="1"/>
        <v>1</v>
      </c>
      <c r="B61" s="2"/>
      <c r="C61" s="681"/>
      <c r="D61" s="681"/>
      <c r="E61" s="519"/>
      <c r="F61" s="177" t="str">
        <f>IF(Tab_Compteur_2[[#This Row],[Fin de période]]&gt;0,IFERROR(B61-A61+1,""),"")</f>
        <v/>
      </c>
      <c r="G61" t="str">
        <f>IF(IFERROR(IF(Str_TypeDonneesCpt2=Cpt_Index,Tab_Compteur_2[[#This Row],[Index]]-E60,Tab_Compteur_2[[#This Row],[Quantité]])/Tab_Compteur_2[[#This Row],[Delta Jour]],"")&lt;0,"",IFERROR(IF(Str_TypeDonneesCpt2=Cpt_Index,Tab_Compteur_2[[#This Row],[Index]]-E60,Tab_Compteur_2[[#This Row],[Quantité]])/Tab_Compteur_2[[#This Row],[Delta Jour]],""))</f>
        <v/>
      </c>
      <c r="H61" s="177" t="str">
        <f>IFERROR(Tab_Compteur_2[[#This Row],[Colonne1]]/Tab_Compteur_2[[#This Row],[Delta Jour]],"")</f>
        <v/>
      </c>
      <c r="I61" s="184" t="str">
        <f t="shared" si="0"/>
        <v/>
      </c>
      <c r="J61" s="450"/>
      <c r="K61" s="70"/>
      <c r="L61" s="70"/>
      <c r="M61" s="70"/>
    </row>
    <row r="62" spans="1:13">
      <c r="A62" s="2">
        <f t="shared" si="1"/>
        <v>1</v>
      </c>
      <c r="B62" s="2"/>
      <c r="C62" s="681"/>
      <c r="D62" s="681"/>
      <c r="E62" s="519"/>
      <c r="F62" s="177" t="str">
        <f>IF(Tab_Compteur_2[[#This Row],[Fin de période]]&gt;0,IFERROR(B62-A62+1,""),"")</f>
        <v/>
      </c>
      <c r="G62" t="str">
        <f>IF(IFERROR(IF(Str_TypeDonneesCpt2=Cpt_Index,Tab_Compteur_2[[#This Row],[Index]]-E61,Tab_Compteur_2[[#This Row],[Quantité]])/Tab_Compteur_2[[#This Row],[Delta Jour]],"")&lt;0,"",IFERROR(IF(Str_TypeDonneesCpt2=Cpt_Index,Tab_Compteur_2[[#This Row],[Index]]-E61,Tab_Compteur_2[[#This Row],[Quantité]])/Tab_Compteur_2[[#This Row],[Delta Jour]],""))</f>
        <v/>
      </c>
      <c r="H62" s="177" t="str">
        <f>IFERROR(Tab_Compteur_2[[#This Row],[Colonne1]]/Tab_Compteur_2[[#This Row],[Delta Jour]],"")</f>
        <v/>
      </c>
      <c r="I62" s="184" t="str">
        <f t="shared" si="0"/>
        <v/>
      </c>
      <c r="J62" s="450"/>
      <c r="K62" s="70"/>
      <c r="L62" s="70"/>
      <c r="M62" s="70"/>
    </row>
    <row r="63" spans="1:13">
      <c r="A63" s="2">
        <f t="shared" si="1"/>
        <v>1</v>
      </c>
      <c r="B63" s="2"/>
      <c r="C63" s="681"/>
      <c r="D63" s="681"/>
      <c r="E63" s="519"/>
      <c r="F63" s="177" t="str">
        <f>IF(Tab_Compteur_2[[#This Row],[Fin de période]]&gt;0,IFERROR(B63-A63+1,""),"")</f>
        <v/>
      </c>
      <c r="G63" t="str">
        <f>IF(IFERROR(IF(Str_TypeDonneesCpt2=Cpt_Index,Tab_Compteur_2[[#This Row],[Index]]-E62,Tab_Compteur_2[[#This Row],[Quantité]])/Tab_Compteur_2[[#This Row],[Delta Jour]],"")&lt;0,"",IFERROR(IF(Str_TypeDonneesCpt2=Cpt_Index,Tab_Compteur_2[[#This Row],[Index]]-E62,Tab_Compteur_2[[#This Row],[Quantité]])/Tab_Compteur_2[[#This Row],[Delta Jour]],""))</f>
        <v/>
      </c>
      <c r="H63" s="177" t="str">
        <f>IFERROR(Tab_Compteur_2[[#This Row],[Colonne1]]/Tab_Compteur_2[[#This Row],[Delta Jour]],"")</f>
        <v/>
      </c>
      <c r="I63" s="184" t="str">
        <f t="shared" si="0"/>
        <v/>
      </c>
      <c r="J63" s="450"/>
      <c r="K63" s="70"/>
      <c r="L63" s="70"/>
      <c r="M63" s="70"/>
    </row>
    <row r="64" spans="1:13">
      <c r="A64" s="2">
        <f t="shared" si="1"/>
        <v>1</v>
      </c>
      <c r="B64" s="2"/>
      <c r="C64" s="681"/>
      <c r="D64" s="681"/>
      <c r="E64" s="519"/>
      <c r="F64" s="177" t="str">
        <f>IF(Tab_Compteur_2[[#This Row],[Fin de période]]&gt;0,IFERROR(B64-A64+1,""),"")</f>
        <v/>
      </c>
      <c r="G64" t="str">
        <f>IF(IFERROR(IF(Str_TypeDonneesCpt2=Cpt_Index,Tab_Compteur_2[[#This Row],[Index]]-E63,Tab_Compteur_2[[#This Row],[Quantité]])/Tab_Compteur_2[[#This Row],[Delta Jour]],"")&lt;0,"",IFERROR(IF(Str_TypeDonneesCpt2=Cpt_Index,Tab_Compteur_2[[#This Row],[Index]]-E63,Tab_Compteur_2[[#This Row],[Quantité]])/Tab_Compteur_2[[#This Row],[Delta Jour]],""))</f>
        <v/>
      </c>
      <c r="H64" s="177" t="str">
        <f>IFERROR(Tab_Compteur_2[[#This Row],[Colonne1]]/Tab_Compteur_2[[#This Row],[Delta Jour]],"")</f>
        <v/>
      </c>
      <c r="I64" s="184" t="str">
        <f t="shared" si="0"/>
        <v/>
      </c>
      <c r="J64" s="450"/>
      <c r="K64" s="70"/>
      <c r="L64" s="70"/>
      <c r="M64" s="70"/>
    </row>
    <row r="65" spans="1:13">
      <c r="A65" s="2">
        <f t="shared" si="1"/>
        <v>1</v>
      </c>
      <c r="B65" s="2"/>
      <c r="C65" s="681"/>
      <c r="D65" s="681"/>
      <c r="E65" s="519"/>
      <c r="F65" s="177" t="str">
        <f>IF(Tab_Compteur_2[[#This Row],[Fin de période]]&gt;0,IFERROR(B65-A65+1,""),"")</f>
        <v/>
      </c>
      <c r="G65" t="str">
        <f>IF(IFERROR(IF(Str_TypeDonneesCpt2=Cpt_Index,Tab_Compteur_2[[#This Row],[Index]]-E64,Tab_Compteur_2[[#This Row],[Quantité]])/Tab_Compteur_2[[#This Row],[Delta Jour]],"")&lt;0,"",IFERROR(IF(Str_TypeDonneesCpt2=Cpt_Index,Tab_Compteur_2[[#This Row],[Index]]-E64,Tab_Compteur_2[[#This Row],[Quantité]])/Tab_Compteur_2[[#This Row],[Delta Jour]],""))</f>
        <v/>
      </c>
      <c r="H65" s="177" t="str">
        <f>IFERROR(Tab_Compteur_2[[#This Row],[Colonne1]]/Tab_Compteur_2[[#This Row],[Delta Jour]],"")</f>
        <v/>
      </c>
      <c r="I65" s="184" t="str">
        <f t="shared" si="0"/>
        <v/>
      </c>
      <c r="J65" s="450"/>
      <c r="K65" s="70"/>
      <c r="L65" s="70"/>
      <c r="M65" s="70"/>
    </row>
    <row r="66" spans="1:13">
      <c r="A66" s="2">
        <f t="shared" si="1"/>
        <v>1</v>
      </c>
      <c r="B66" s="2"/>
      <c r="C66" s="681"/>
      <c r="D66" s="681"/>
      <c r="E66" s="519"/>
      <c r="F66" s="177" t="str">
        <f>IF(Tab_Compteur_2[[#This Row],[Fin de période]]&gt;0,IFERROR(B66-A66+1,""),"")</f>
        <v/>
      </c>
      <c r="G66" t="str">
        <f>IF(IFERROR(IF(Str_TypeDonneesCpt2=Cpt_Index,Tab_Compteur_2[[#This Row],[Index]]-E65,Tab_Compteur_2[[#This Row],[Quantité]])/Tab_Compteur_2[[#This Row],[Delta Jour]],"")&lt;0,"",IFERROR(IF(Str_TypeDonneesCpt2=Cpt_Index,Tab_Compteur_2[[#This Row],[Index]]-E65,Tab_Compteur_2[[#This Row],[Quantité]])/Tab_Compteur_2[[#This Row],[Delta Jour]],""))</f>
        <v/>
      </c>
      <c r="H66" s="177" t="str">
        <f>IFERROR(Tab_Compteur_2[[#This Row],[Colonne1]]/Tab_Compteur_2[[#This Row],[Delta Jour]],"")</f>
        <v/>
      </c>
      <c r="I66" s="184" t="str">
        <f t="shared" si="0"/>
        <v/>
      </c>
      <c r="J66" s="450"/>
      <c r="K66" s="70"/>
      <c r="L66" s="70"/>
      <c r="M66" s="70"/>
    </row>
    <row r="67" spans="1:13">
      <c r="A67" s="2">
        <f t="shared" si="1"/>
        <v>1</v>
      </c>
      <c r="B67" s="2"/>
      <c r="C67" s="681"/>
      <c r="D67" s="681"/>
      <c r="E67" s="519"/>
      <c r="F67" s="177" t="str">
        <f>IF(Tab_Compteur_2[[#This Row],[Fin de période]]&gt;0,IFERROR(B67-A67+1,""),"")</f>
        <v/>
      </c>
      <c r="G67" t="str">
        <f>IF(IFERROR(IF(Str_TypeDonneesCpt2=Cpt_Index,Tab_Compteur_2[[#This Row],[Index]]-E66,Tab_Compteur_2[[#This Row],[Quantité]])/Tab_Compteur_2[[#This Row],[Delta Jour]],"")&lt;0,"",IFERROR(IF(Str_TypeDonneesCpt2=Cpt_Index,Tab_Compteur_2[[#This Row],[Index]]-E66,Tab_Compteur_2[[#This Row],[Quantité]])/Tab_Compteur_2[[#This Row],[Delta Jour]],""))</f>
        <v/>
      </c>
      <c r="H67" s="177" t="str">
        <f>IFERROR(Tab_Compteur_2[[#This Row],[Colonne1]]/Tab_Compteur_2[[#This Row],[Delta Jour]],"")</f>
        <v/>
      </c>
      <c r="I67" s="184" t="str">
        <f t="shared" ref="I67:I130" si="2">G67</f>
        <v/>
      </c>
      <c r="J67" s="450"/>
      <c r="K67" s="70"/>
      <c r="L67" s="70"/>
      <c r="M67" s="70"/>
    </row>
    <row r="68" spans="1:13">
      <c r="A68" s="2">
        <f t="shared" si="1"/>
        <v>1</v>
      </c>
      <c r="B68" s="2"/>
      <c r="C68" s="681"/>
      <c r="D68" s="681"/>
      <c r="E68" s="519"/>
      <c r="F68" s="177" t="str">
        <f>IF(Tab_Compteur_2[[#This Row],[Fin de période]]&gt;0,IFERROR(B68-A68+1,""),"")</f>
        <v/>
      </c>
      <c r="G68" t="str">
        <f>IF(IFERROR(IF(Str_TypeDonneesCpt2=Cpt_Index,Tab_Compteur_2[[#This Row],[Index]]-E67,Tab_Compteur_2[[#This Row],[Quantité]])/Tab_Compteur_2[[#This Row],[Delta Jour]],"")&lt;0,"",IFERROR(IF(Str_TypeDonneesCpt2=Cpt_Index,Tab_Compteur_2[[#This Row],[Index]]-E67,Tab_Compteur_2[[#This Row],[Quantité]])/Tab_Compteur_2[[#This Row],[Delta Jour]],""))</f>
        <v/>
      </c>
      <c r="H68" s="177" t="str">
        <f>IFERROR(Tab_Compteur_2[[#This Row],[Colonne1]]/Tab_Compteur_2[[#This Row],[Delta Jour]],"")</f>
        <v/>
      </c>
      <c r="I68" s="184" t="str">
        <f t="shared" si="2"/>
        <v/>
      </c>
      <c r="J68" s="450"/>
      <c r="K68" s="70"/>
      <c r="L68" s="70"/>
      <c r="M68" s="70"/>
    </row>
    <row r="69" spans="1:13">
      <c r="A69" s="2">
        <f t="shared" si="1"/>
        <v>1</v>
      </c>
      <c r="B69" s="2"/>
      <c r="C69" s="681"/>
      <c r="D69" s="681"/>
      <c r="E69" s="519"/>
      <c r="F69" s="177" t="str">
        <f>IF(Tab_Compteur_2[[#This Row],[Fin de période]]&gt;0,IFERROR(B69-A69+1,""),"")</f>
        <v/>
      </c>
      <c r="G69" t="str">
        <f>IF(IFERROR(IF(Str_TypeDonneesCpt2=Cpt_Index,Tab_Compteur_2[[#This Row],[Index]]-E68,Tab_Compteur_2[[#This Row],[Quantité]])/Tab_Compteur_2[[#This Row],[Delta Jour]],"")&lt;0,"",IFERROR(IF(Str_TypeDonneesCpt2=Cpt_Index,Tab_Compteur_2[[#This Row],[Index]]-E68,Tab_Compteur_2[[#This Row],[Quantité]])/Tab_Compteur_2[[#This Row],[Delta Jour]],""))</f>
        <v/>
      </c>
      <c r="H69" s="177" t="str">
        <f>IFERROR(Tab_Compteur_2[[#This Row],[Colonne1]]/Tab_Compteur_2[[#This Row],[Delta Jour]],"")</f>
        <v/>
      </c>
      <c r="I69" s="184" t="str">
        <f t="shared" si="2"/>
        <v/>
      </c>
      <c r="J69" s="450"/>
      <c r="K69" s="70"/>
      <c r="L69" s="70"/>
      <c r="M69" s="70"/>
    </row>
    <row r="70" spans="1:13">
      <c r="A70" s="2">
        <f t="shared" ref="A70:A133" si="3">IFERROR(B69+1,0)</f>
        <v>1</v>
      </c>
      <c r="B70" s="2"/>
      <c r="C70" s="681"/>
      <c r="D70" s="681"/>
      <c r="E70" s="519"/>
      <c r="F70" s="177" t="str">
        <f>IF(Tab_Compteur_2[[#This Row],[Fin de période]]&gt;0,IFERROR(B70-A70+1,""),"")</f>
        <v/>
      </c>
      <c r="G70" t="str">
        <f>IF(IFERROR(IF(Str_TypeDonneesCpt2=Cpt_Index,Tab_Compteur_2[[#This Row],[Index]]-E69,Tab_Compteur_2[[#This Row],[Quantité]])/Tab_Compteur_2[[#This Row],[Delta Jour]],"")&lt;0,"",IFERROR(IF(Str_TypeDonneesCpt2=Cpt_Index,Tab_Compteur_2[[#This Row],[Index]]-E69,Tab_Compteur_2[[#This Row],[Quantité]])/Tab_Compteur_2[[#This Row],[Delta Jour]],""))</f>
        <v/>
      </c>
      <c r="H70" s="177" t="str">
        <f>IFERROR(Tab_Compteur_2[[#This Row],[Colonne1]]/Tab_Compteur_2[[#This Row],[Delta Jour]],"")</f>
        <v/>
      </c>
      <c r="I70" s="184" t="str">
        <f t="shared" si="2"/>
        <v/>
      </c>
      <c r="J70" s="450"/>
      <c r="K70" s="70"/>
      <c r="L70" s="70"/>
      <c r="M70" s="70"/>
    </row>
    <row r="71" spans="1:13">
      <c r="A71" s="2">
        <f t="shared" si="3"/>
        <v>1</v>
      </c>
      <c r="B71" s="2"/>
      <c r="C71" s="681"/>
      <c r="D71" s="681"/>
      <c r="E71" s="519"/>
      <c r="F71" s="177" t="str">
        <f>IF(Tab_Compteur_2[[#This Row],[Fin de période]]&gt;0,IFERROR(B71-A71+1,""),"")</f>
        <v/>
      </c>
      <c r="G71" t="str">
        <f>IF(IFERROR(IF(Str_TypeDonneesCpt2=Cpt_Index,Tab_Compteur_2[[#This Row],[Index]]-E70,Tab_Compteur_2[[#This Row],[Quantité]])/Tab_Compteur_2[[#This Row],[Delta Jour]],"")&lt;0,"",IFERROR(IF(Str_TypeDonneesCpt2=Cpt_Index,Tab_Compteur_2[[#This Row],[Index]]-E70,Tab_Compteur_2[[#This Row],[Quantité]])/Tab_Compteur_2[[#This Row],[Delta Jour]],""))</f>
        <v/>
      </c>
      <c r="H71" s="177" t="str">
        <f>IFERROR(Tab_Compteur_2[[#This Row],[Colonne1]]/Tab_Compteur_2[[#This Row],[Delta Jour]],"")</f>
        <v/>
      </c>
      <c r="I71" s="184" t="str">
        <f t="shared" si="2"/>
        <v/>
      </c>
      <c r="J71" s="450"/>
      <c r="K71" s="70"/>
      <c r="L71" s="70"/>
      <c r="M71" s="70"/>
    </row>
    <row r="72" spans="1:13">
      <c r="A72" s="2">
        <f t="shared" si="3"/>
        <v>1</v>
      </c>
      <c r="B72" s="2"/>
      <c r="C72" s="681"/>
      <c r="D72" s="681"/>
      <c r="E72" s="519"/>
      <c r="F72" s="177" t="str">
        <f>IF(Tab_Compteur_2[[#This Row],[Fin de période]]&gt;0,IFERROR(B72-A72+1,""),"")</f>
        <v/>
      </c>
      <c r="G72" t="str">
        <f>IF(IFERROR(IF(Str_TypeDonneesCpt2=Cpt_Index,Tab_Compteur_2[[#This Row],[Index]]-E71,Tab_Compteur_2[[#This Row],[Quantité]])/Tab_Compteur_2[[#This Row],[Delta Jour]],"")&lt;0,"",IFERROR(IF(Str_TypeDonneesCpt2=Cpt_Index,Tab_Compteur_2[[#This Row],[Index]]-E71,Tab_Compteur_2[[#This Row],[Quantité]])/Tab_Compteur_2[[#This Row],[Delta Jour]],""))</f>
        <v/>
      </c>
      <c r="H72" s="177" t="str">
        <f>IFERROR(Tab_Compteur_2[[#This Row],[Colonne1]]/Tab_Compteur_2[[#This Row],[Delta Jour]],"")</f>
        <v/>
      </c>
      <c r="I72" s="184" t="str">
        <f t="shared" si="2"/>
        <v/>
      </c>
      <c r="J72" s="450"/>
      <c r="K72" s="70"/>
      <c r="L72" s="70"/>
      <c r="M72" s="70"/>
    </row>
    <row r="73" spans="1:13">
      <c r="A73" s="2">
        <f t="shared" si="3"/>
        <v>1</v>
      </c>
      <c r="B73" s="2"/>
      <c r="C73" s="681"/>
      <c r="D73" s="681"/>
      <c r="E73" s="519"/>
      <c r="F73" s="177" t="str">
        <f>IF(Tab_Compteur_2[[#This Row],[Fin de période]]&gt;0,IFERROR(B73-A73+1,""),"")</f>
        <v/>
      </c>
      <c r="G73" t="str">
        <f>IF(IFERROR(IF(Str_TypeDonneesCpt2=Cpt_Index,Tab_Compteur_2[[#This Row],[Index]]-E72,Tab_Compteur_2[[#This Row],[Quantité]])/Tab_Compteur_2[[#This Row],[Delta Jour]],"")&lt;0,"",IFERROR(IF(Str_TypeDonneesCpt2=Cpt_Index,Tab_Compteur_2[[#This Row],[Index]]-E72,Tab_Compteur_2[[#This Row],[Quantité]])/Tab_Compteur_2[[#This Row],[Delta Jour]],""))</f>
        <v/>
      </c>
      <c r="H73" s="177" t="str">
        <f>IFERROR(Tab_Compteur_2[[#This Row],[Colonne1]]/Tab_Compteur_2[[#This Row],[Delta Jour]],"")</f>
        <v/>
      </c>
      <c r="I73" s="184" t="str">
        <f t="shared" si="2"/>
        <v/>
      </c>
      <c r="J73" s="450"/>
      <c r="K73" s="70"/>
      <c r="L73" s="70"/>
      <c r="M73" s="70"/>
    </row>
    <row r="74" spans="1:13">
      <c r="A74" s="2">
        <f t="shared" si="3"/>
        <v>1</v>
      </c>
      <c r="B74" s="2"/>
      <c r="C74" s="681"/>
      <c r="D74" s="681"/>
      <c r="E74" s="519"/>
      <c r="F74" s="177" t="str">
        <f>IF(Tab_Compteur_2[[#This Row],[Fin de période]]&gt;0,IFERROR(B74-A74+1,""),"")</f>
        <v/>
      </c>
      <c r="G74" t="str">
        <f>IF(IFERROR(IF(Str_TypeDonneesCpt2=Cpt_Index,Tab_Compteur_2[[#This Row],[Index]]-E73,Tab_Compteur_2[[#This Row],[Quantité]])/Tab_Compteur_2[[#This Row],[Delta Jour]],"")&lt;0,"",IFERROR(IF(Str_TypeDonneesCpt2=Cpt_Index,Tab_Compteur_2[[#This Row],[Index]]-E73,Tab_Compteur_2[[#This Row],[Quantité]])/Tab_Compteur_2[[#This Row],[Delta Jour]],""))</f>
        <v/>
      </c>
      <c r="H74" s="177" t="str">
        <f>IFERROR(Tab_Compteur_2[[#This Row],[Colonne1]]/Tab_Compteur_2[[#This Row],[Delta Jour]],"")</f>
        <v/>
      </c>
      <c r="I74" s="184" t="str">
        <f t="shared" si="2"/>
        <v/>
      </c>
      <c r="J74" s="450"/>
      <c r="K74" s="70"/>
      <c r="L74" s="70"/>
      <c r="M74" s="70"/>
    </row>
    <row r="75" spans="1:13">
      <c r="A75" s="2">
        <f t="shared" si="3"/>
        <v>1</v>
      </c>
      <c r="B75" s="2"/>
      <c r="C75" s="681"/>
      <c r="D75" s="681"/>
      <c r="E75" s="519"/>
      <c r="F75" s="177" t="str">
        <f>IF(Tab_Compteur_2[[#This Row],[Fin de période]]&gt;0,IFERROR(B75-A75+1,""),"")</f>
        <v/>
      </c>
      <c r="G75" t="str">
        <f>IF(IFERROR(IF(Str_TypeDonneesCpt2=Cpt_Index,Tab_Compteur_2[[#This Row],[Index]]-E74,Tab_Compteur_2[[#This Row],[Quantité]])/Tab_Compteur_2[[#This Row],[Delta Jour]],"")&lt;0,"",IFERROR(IF(Str_TypeDonneesCpt2=Cpt_Index,Tab_Compteur_2[[#This Row],[Index]]-E74,Tab_Compteur_2[[#This Row],[Quantité]])/Tab_Compteur_2[[#This Row],[Delta Jour]],""))</f>
        <v/>
      </c>
      <c r="H75" s="177" t="str">
        <f>IFERROR(Tab_Compteur_2[[#This Row],[Colonne1]]/Tab_Compteur_2[[#This Row],[Delta Jour]],"")</f>
        <v/>
      </c>
      <c r="I75" s="184" t="str">
        <f t="shared" si="2"/>
        <v/>
      </c>
      <c r="J75" s="450"/>
      <c r="K75" s="70"/>
      <c r="L75" s="70"/>
      <c r="M75" s="70"/>
    </row>
    <row r="76" spans="1:13">
      <c r="A76" s="2">
        <f t="shared" si="3"/>
        <v>1</v>
      </c>
      <c r="B76" s="2"/>
      <c r="C76" s="681"/>
      <c r="D76" s="681"/>
      <c r="E76" s="519"/>
      <c r="F76" s="177" t="str">
        <f>IF(Tab_Compteur_2[[#This Row],[Fin de période]]&gt;0,IFERROR(B76-A76+1,""),"")</f>
        <v/>
      </c>
      <c r="G76" t="str">
        <f>IF(IFERROR(IF(Str_TypeDonneesCpt2=Cpt_Index,Tab_Compteur_2[[#This Row],[Index]]-E75,Tab_Compteur_2[[#This Row],[Quantité]])/Tab_Compteur_2[[#This Row],[Delta Jour]],"")&lt;0,"",IFERROR(IF(Str_TypeDonneesCpt2=Cpt_Index,Tab_Compteur_2[[#This Row],[Index]]-E75,Tab_Compteur_2[[#This Row],[Quantité]])/Tab_Compteur_2[[#This Row],[Delta Jour]],""))</f>
        <v/>
      </c>
      <c r="H76" s="177" t="str">
        <f>IFERROR(Tab_Compteur_2[[#This Row],[Colonne1]]/Tab_Compteur_2[[#This Row],[Delta Jour]],"")</f>
        <v/>
      </c>
      <c r="I76" s="184" t="str">
        <f t="shared" si="2"/>
        <v/>
      </c>
      <c r="J76" s="450"/>
      <c r="K76" s="70"/>
      <c r="L76" s="70"/>
      <c r="M76" s="70"/>
    </row>
    <row r="77" spans="1:13">
      <c r="A77" s="2">
        <f t="shared" si="3"/>
        <v>1</v>
      </c>
      <c r="B77" s="2"/>
      <c r="C77" s="681"/>
      <c r="D77" s="681"/>
      <c r="E77" s="519"/>
      <c r="F77" s="177" t="str">
        <f>IF(Tab_Compteur_2[[#This Row],[Fin de période]]&gt;0,IFERROR(B77-A77+1,""),"")</f>
        <v/>
      </c>
      <c r="G77" t="str">
        <f>IF(IFERROR(IF(Str_TypeDonneesCpt2=Cpt_Index,Tab_Compteur_2[[#This Row],[Index]]-E76,Tab_Compteur_2[[#This Row],[Quantité]])/Tab_Compteur_2[[#This Row],[Delta Jour]],"")&lt;0,"",IFERROR(IF(Str_TypeDonneesCpt2=Cpt_Index,Tab_Compteur_2[[#This Row],[Index]]-E76,Tab_Compteur_2[[#This Row],[Quantité]])/Tab_Compteur_2[[#This Row],[Delta Jour]],""))</f>
        <v/>
      </c>
      <c r="H77" s="177" t="str">
        <f>IFERROR(Tab_Compteur_2[[#This Row],[Colonne1]]/Tab_Compteur_2[[#This Row],[Delta Jour]],"")</f>
        <v/>
      </c>
      <c r="I77" s="184" t="str">
        <f t="shared" si="2"/>
        <v/>
      </c>
      <c r="J77" s="450"/>
      <c r="K77" s="70"/>
      <c r="L77" s="70"/>
      <c r="M77" s="70"/>
    </row>
    <row r="78" spans="1:13">
      <c r="A78" s="2">
        <f t="shared" si="3"/>
        <v>1</v>
      </c>
      <c r="B78" s="2"/>
      <c r="C78" s="681"/>
      <c r="D78" s="681"/>
      <c r="E78" s="519"/>
      <c r="F78" s="177" t="str">
        <f>IF(Tab_Compteur_2[[#This Row],[Fin de période]]&gt;0,IFERROR(B78-A78+1,""),"")</f>
        <v/>
      </c>
      <c r="G78" t="str">
        <f>IF(IFERROR(IF(Str_TypeDonneesCpt2=Cpt_Index,Tab_Compteur_2[[#This Row],[Index]]-E77,Tab_Compteur_2[[#This Row],[Quantité]])/Tab_Compteur_2[[#This Row],[Delta Jour]],"")&lt;0,"",IFERROR(IF(Str_TypeDonneesCpt2=Cpt_Index,Tab_Compteur_2[[#This Row],[Index]]-E77,Tab_Compteur_2[[#This Row],[Quantité]])/Tab_Compteur_2[[#This Row],[Delta Jour]],""))</f>
        <v/>
      </c>
      <c r="H78" s="177" t="str">
        <f>IFERROR(Tab_Compteur_2[[#This Row],[Colonne1]]/Tab_Compteur_2[[#This Row],[Delta Jour]],"")</f>
        <v/>
      </c>
      <c r="I78" s="184" t="str">
        <f t="shared" si="2"/>
        <v/>
      </c>
      <c r="J78" s="450"/>
      <c r="K78" s="70"/>
      <c r="L78" s="70"/>
      <c r="M78" s="70"/>
    </row>
    <row r="79" spans="1:13">
      <c r="A79" s="2">
        <f t="shared" si="3"/>
        <v>1</v>
      </c>
      <c r="B79" s="2"/>
      <c r="C79" s="681"/>
      <c r="D79" s="681"/>
      <c r="E79" s="519"/>
      <c r="F79" s="177" t="str">
        <f>IF(Tab_Compteur_2[[#This Row],[Fin de période]]&gt;0,IFERROR(B79-A79+1,""),"")</f>
        <v/>
      </c>
      <c r="G79" t="str">
        <f>IF(IFERROR(IF(Str_TypeDonneesCpt2=Cpt_Index,Tab_Compteur_2[[#This Row],[Index]]-E78,Tab_Compteur_2[[#This Row],[Quantité]])/Tab_Compteur_2[[#This Row],[Delta Jour]],"")&lt;0,"",IFERROR(IF(Str_TypeDonneesCpt2=Cpt_Index,Tab_Compteur_2[[#This Row],[Index]]-E78,Tab_Compteur_2[[#This Row],[Quantité]])/Tab_Compteur_2[[#This Row],[Delta Jour]],""))</f>
        <v/>
      </c>
      <c r="H79" s="177" t="str">
        <f>IFERROR(Tab_Compteur_2[[#This Row],[Colonne1]]/Tab_Compteur_2[[#This Row],[Delta Jour]],"")</f>
        <v/>
      </c>
      <c r="I79" s="184" t="str">
        <f t="shared" si="2"/>
        <v/>
      </c>
      <c r="J79" s="450"/>
      <c r="K79" s="70"/>
      <c r="L79" s="70"/>
      <c r="M79" s="70"/>
    </row>
    <row r="80" spans="1:13">
      <c r="A80" s="2">
        <f t="shared" si="3"/>
        <v>1</v>
      </c>
      <c r="B80" s="2"/>
      <c r="C80" s="681"/>
      <c r="D80" s="681"/>
      <c r="E80" s="519"/>
      <c r="F80" s="177" t="str">
        <f>IF(Tab_Compteur_2[[#This Row],[Fin de période]]&gt;0,IFERROR(B80-A80+1,""),"")</f>
        <v/>
      </c>
      <c r="G80" t="str">
        <f>IF(IFERROR(IF(Str_TypeDonneesCpt2=Cpt_Index,Tab_Compteur_2[[#This Row],[Index]]-E79,Tab_Compteur_2[[#This Row],[Quantité]])/Tab_Compteur_2[[#This Row],[Delta Jour]],"")&lt;0,"",IFERROR(IF(Str_TypeDonneesCpt2=Cpt_Index,Tab_Compteur_2[[#This Row],[Index]]-E79,Tab_Compteur_2[[#This Row],[Quantité]])/Tab_Compteur_2[[#This Row],[Delta Jour]],""))</f>
        <v/>
      </c>
      <c r="H80" s="177" t="str">
        <f>IFERROR(Tab_Compteur_2[[#This Row],[Colonne1]]/Tab_Compteur_2[[#This Row],[Delta Jour]],"")</f>
        <v/>
      </c>
      <c r="I80" s="184" t="str">
        <f t="shared" si="2"/>
        <v/>
      </c>
      <c r="J80" s="450"/>
      <c r="K80" s="70"/>
      <c r="L80" s="70"/>
      <c r="M80" s="70"/>
    </row>
    <row r="81" spans="1:13">
      <c r="A81" s="2">
        <f t="shared" si="3"/>
        <v>1</v>
      </c>
      <c r="B81" s="2"/>
      <c r="C81" s="681"/>
      <c r="D81" s="681"/>
      <c r="E81" s="519"/>
      <c r="F81" s="177" t="str">
        <f>IF(Tab_Compteur_2[[#This Row],[Fin de période]]&gt;0,IFERROR(B81-A81+1,""),"")</f>
        <v/>
      </c>
      <c r="G81" t="str">
        <f>IF(IFERROR(IF(Str_TypeDonneesCpt2=Cpt_Index,Tab_Compteur_2[[#This Row],[Index]]-E80,Tab_Compteur_2[[#This Row],[Quantité]])/Tab_Compteur_2[[#This Row],[Delta Jour]],"")&lt;0,"",IFERROR(IF(Str_TypeDonneesCpt2=Cpt_Index,Tab_Compteur_2[[#This Row],[Index]]-E80,Tab_Compteur_2[[#This Row],[Quantité]])/Tab_Compteur_2[[#This Row],[Delta Jour]],""))</f>
        <v/>
      </c>
      <c r="H81" s="177" t="str">
        <f>IFERROR(Tab_Compteur_2[[#This Row],[Colonne1]]/Tab_Compteur_2[[#This Row],[Delta Jour]],"")</f>
        <v/>
      </c>
      <c r="I81" s="184" t="str">
        <f t="shared" si="2"/>
        <v/>
      </c>
      <c r="J81" s="450"/>
      <c r="K81" s="70"/>
      <c r="L81" s="70"/>
      <c r="M81" s="70"/>
    </row>
    <row r="82" spans="1:13">
      <c r="A82" s="2">
        <f t="shared" si="3"/>
        <v>1</v>
      </c>
      <c r="B82" s="2"/>
      <c r="C82" s="681"/>
      <c r="D82" s="681"/>
      <c r="E82" s="519"/>
      <c r="F82" s="177" t="str">
        <f>IF(Tab_Compteur_2[[#This Row],[Fin de période]]&gt;0,IFERROR(B82-A82+1,""),"")</f>
        <v/>
      </c>
      <c r="G82" t="str">
        <f>IF(IFERROR(IF(Str_TypeDonneesCpt2=Cpt_Index,Tab_Compteur_2[[#This Row],[Index]]-E81,Tab_Compteur_2[[#This Row],[Quantité]])/Tab_Compteur_2[[#This Row],[Delta Jour]],"")&lt;0,"",IFERROR(IF(Str_TypeDonneesCpt2=Cpt_Index,Tab_Compteur_2[[#This Row],[Index]]-E81,Tab_Compteur_2[[#This Row],[Quantité]])/Tab_Compteur_2[[#This Row],[Delta Jour]],""))</f>
        <v/>
      </c>
      <c r="H82" s="177" t="str">
        <f>IFERROR(Tab_Compteur_2[[#This Row],[Colonne1]]/Tab_Compteur_2[[#This Row],[Delta Jour]],"")</f>
        <v/>
      </c>
      <c r="I82" s="184" t="str">
        <f t="shared" si="2"/>
        <v/>
      </c>
      <c r="J82" s="450"/>
      <c r="K82" s="70"/>
      <c r="L82" s="70"/>
      <c r="M82" s="70"/>
    </row>
    <row r="83" spans="1:13">
      <c r="A83" s="2">
        <f t="shared" si="3"/>
        <v>1</v>
      </c>
      <c r="B83" s="2"/>
      <c r="C83" s="681"/>
      <c r="D83" s="681"/>
      <c r="E83" s="519"/>
      <c r="F83" s="177" t="str">
        <f>IF(Tab_Compteur_2[[#This Row],[Fin de période]]&gt;0,IFERROR(B83-A83+1,""),"")</f>
        <v/>
      </c>
      <c r="G83" t="str">
        <f>IF(IFERROR(IF(Str_TypeDonneesCpt2=Cpt_Index,Tab_Compteur_2[[#This Row],[Index]]-E82,Tab_Compteur_2[[#This Row],[Quantité]])/Tab_Compteur_2[[#This Row],[Delta Jour]],"")&lt;0,"",IFERROR(IF(Str_TypeDonneesCpt2=Cpt_Index,Tab_Compteur_2[[#This Row],[Index]]-E82,Tab_Compteur_2[[#This Row],[Quantité]])/Tab_Compteur_2[[#This Row],[Delta Jour]],""))</f>
        <v/>
      </c>
      <c r="H83" s="177" t="str">
        <f>IFERROR(Tab_Compteur_2[[#This Row],[Colonne1]]/Tab_Compteur_2[[#This Row],[Delta Jour]],"")</f>
        <v/>
      </c>
      <c r="I83" s="184" t="str">
        <f t="shared" si="2"/>
        <v/>
      </c>
      <c r="J83" s="450"/>
      <c r="K83" s="70"/>
      <c r="L83" s="70"/>
      <c r="M83" s="70"/>
    </row>
    <row r="84" spans="1:13">
      <c r="A84" s="2">
        <f t="shared" si="3"/>
        <v>1</v>
      </c>
      <c r="B84" s="2"/>
      <c r="C84" s="681"/>
      <c r="D84" s="681"/>
      <c r="E84" s="519"/>
      <c r="F84" s="177" t="str">
        <f>IF(Tab_Compteur_2[[#This Row],[Fin de période]]&gt;0,IFERROR(B84-A84+1,""),"")</f>
        <v/>
      </c>
      <c r="G84" t="str">
        <f>IF(IFERROR(IF(Str_TypeDonneesCpt2=Cpt_Index,Tab_Compteur_2[[#This Row],[Index]]-E83,Tab_Compteur_2[[#This Row],[Quantité]])/Tab_Compteur_2[[#This Row],[Delta Jour]],"")&lt;0,"",IFERROR(IF(Str_TypeDonneesCpt2=Cpt_Index,Tab_Compteur_2[[#This Row],[Index]]-E83,Tab_Compteur_2[[#This Row],[Quantité]])/Tab_Compteur_2[[#This Row],[Delta Jour]],""))</f>
        <v/>
      </c>
      <c r="H84" s="177" t="str">
        <f>IFERROR(Tab_Compteur_2[[#This Row],[Colonne1]]/Tab_Compteur_2[[#This Row],[Delta Jour]],"")</f>
        <v/>
      </c>
      <c r="I84" s="184" t="str">
        <f t="shared" si="2"/>
        <v/>
      </c>
      <c r="J84" s="450"/>
      <c r="K84" s="70"/>
      <c r="L84" s="70"/>
      <c r="M84" s="70"/>
    </row>
    <row r="85" spans="1:13">
      <c r="A85" s="2">
        <f t="shared" si="3"/>
        <v>1</v>
      </c>
      <c r="B85" s="2"/>
      <c r="C85" s="681"/>
      <c r="D85" s="681"/>
      <c r="E85" s="519"/>
      <c r="F85" s="177" t="str">
        <f>IF(Tab_Compteur_2[[#This Row],[Fin de période]]&gt;0,IFERROR(B85-A85+1,""),"")</f>
        <v/>
      </c>
      <c r="G85" t="str">
        <f>IF(IFERROR(IF(Str_TypeDonneesCpt2=Cpt_Index,Tab_Compteur_2[[#This Row],[Index]]-E84,Tab_Compteur_2[[#This Row],[Quantité]])/Tab_Compteur_2[[#This Row],[Delta Jour]],"")&lt;0,"",IFERROR(IF(Str_TypeDonneesCpt2=Cpt_Index,Tab_Compteur_2[[#This Row],[Index]]-E84,Tab_Compteur_2[[#This Row],[Quantité]])/Tab_Compteur_2[[#This Row],[Delta Jour]],""))</f>
        <v/>
      </c>
      <c r="H85" s="177" t="str">
        <f>IFERROR(Tab_Compteur_2[[#This Row],[Colonne1]]/Tab_Compteur_2[[#This Row],[Delta Jour]],"")</f>
        <v/>
      </c>
      <c r="I85" s="184" t="str">
        <f t="shared" si="2"/>
        <v/>
      </c>
      <c r="J85" s="450"/>
      <c r="K85" s="70"/>
      <c r="L85" s="70"/>
      <c r="M85" s="70"/>
    </row>
    <row r="86" spans="1:13">
      <c r="A86" s="2">
        <f t="shared" si="3"/>
        <v>1</v>
      </c>
      <c r="B86" s="2"/>
      <c r="C86" s="681"/>
      <c r="D86" s="681"/>
      <c r="E86" s="519"/>
      <c r="F86" s="177" t="str">
        <f>IF(Tab_Compteur_2[[#This Row],[Fin de période]]&gt;0,IFERROR(B86-A86+1,""),"")</f>
        <v/>
      </c>
      <c r="G86" t="str">
        <f>IF(IFERROR(IF(Str_TypeDonneesCpt2=Cpt_Index,Tab_Compteur_2[[#This Row],[Index]]-E85,Tab_Compteur_2[[#This Row],[Quantité]])/Tab_Compteur_2[[#This Row],[Delta Jour]],"")&lt;0,"",IFERROR(IF(Str_TypeDonneesCpt2=Cpt_Index,Tab_Compteur_2[[#This Row],[Index]]-E85,Tab_Compteur_2[[#This Row],[Quantité]])/Tab_Compteur_2[[#This Row],[Delta Jour]],""))</f>
        <v/>
      </c>
      <c r="H86" s="177" t="str">
        <f>IFERROR(Tab_Compteur_2[[#This Row],[Colonne1]]/Tab_Compteur_2[[#This Row],[Delta Jour]],"")</f>
        <v/>
      </c>
      <c r="I86" s="184" t="str">
        <f t="shared" si="2"/>
        <v/>
      </c>
      <c r="J86" s="450"/>
      <c r="K86" s="70"/>
      <c r="L86" s="70"/>
      <c r="M86" s="70"/>
    </row>
    <row r="87" spans="1:13">
      <c r="A87" s="2">
        <f t="shared" si="3"/>
        <v>1</v>
      </c>
      <c r="B87" s="2"/>
      <c r="C87" s="681"/>
      <c r="D87" s="681"/>
      <c r="E87" s="519"/>
      <c r="F87" s="177" t="str">
        <f>IF(Tab_Compteur_2[[#This Row],[Fin de période]]&gt;0,IFERROR(B87-A87+1,""),"")</f>
        <v/>
      </c>
      <c r="G87" t="str">
        <f>IF(IFERROR(IF(Str_TypeDonneesCpt2=Cpt_Index,Tab_Compteur_2[[#This Row],[Index]]-E86,Tab_Compteur_2[[#This Row],[Quantité]])/Tab_Compteur_2[[#This Row],[Delta Jour]],"")&lt;0,"",IFERROR(IF(Str_TypeDonneesCpt2=Cpt_Index,Tab_Compteur_2[[#This Row],[Index]]-E86,Tab_Compteur_2[[#This Row],[Quantité]])/Tab_Compteur_2[[#This Row],[Delta Jour]],""))</f>
        <v/>
      </c>
      <c r="H87" s="177" t="str">
        <f>IFERROR(Tab_Compteur_2[[#This Row],[Colonne1]]/Tab_Compteur_2[[#This Row],[Delta Jour]],"")</f>
        <v/>
      </c>
      <c r="I87" s="184" t="str">
        <f t="shared" si="2"/>
        <v/>
      </c>
      <c r="J87" s="450"/>
      <c r="K87" s="70"/>
      <c r="L87" s="70"/>
      <c r="M87" s="70"/>
    </row>
    <row r="88" spans="1:13">
      <c r="A88" s="2">
        <f t="shared" si="3"/>
        <v>1</v>
      </c>
      <c r="B88" s="2"/>
      <c r="C88" s="681"/>
      <c r="D88" s="681"/>
      <c r="E88" s="519"/>
      <c r="F88" s="177" t="str">
        <f>IF(Tab_Compteur_2[[#This Row],[Fin de période]]&gt;0,IFERROR(B88-A88+1,""),"")</f>
        <v/>
      </c>
      <c r="G88" t="str">
        <f>IF(IFERROR(IF(Str_TypeDonneesCpt2=Cpt_Index,Tab_Compteur_2[[#This Row],[Index]]-E87,Tab_Compteur_2[[#This Row],[Quantité]])/Tab_Compteur_2[[#This Row],[Delta Jour]],"")&lt;0,"",IFERROR(IF(Str_TypeDonneesCpt2=Cpt_Index,Tab_Compteur_2[[#This Row],[Index]]-E87,Tab_Compteur_2[[#This Row],[Quantité]])/Tab_Compteur_2[[#This Row],[Delta Jour]],""))</f>
        <v/>
      </c>
      <c r="H88" s="177" t="str">
        <f>IFERROR(Tab_Compteur_2[[#This Row],[Colonne1]]/Tab_Compteur_2[[#This Row],[Delta Jour]],"")</f>
        <v/>
      </c>
      <c r="I88" s="184" t="str">
        <f t="shared" si="2"/>
        <v/>
      </c>
      <c r="J88" s="450"/>
      <c r="K88" s="70"/>
      <c r="L88" s="70"/>
      <c r="M88" s="70"/>
    </row>
    <row r="89" spans="1:13">
      <c r="A89" s="2">
        <f t="shared" si="3"/>
        <v>1</v>
      </c>
      <c r="B89" s="2"/>
      <c r="C89" s="681"/>
      <c r="D89" s="681"/>
      <c r="E89" s="519"/>
      <c r="F89" s="177" t="str">
        <f>IF(Tab_Compteur_2[[#This Row],[Fin de période]]&gt;0,IFERROR(B89-A89+1,""),"")</f>
        <v/>
      </c>
      <c r="G89" t="str">
        <f>IF(IFERROR(IF(Str_TypeDonneesCpt2=Cpt_Index,Tab_Compteur_2[[#This Row],[Index]]-E88,Tab_Compteur_2[[#This Row],[Quantité]])/Tab_Compteur_2[[#This Row],[Delta Jour]],"")&lt;0,"",IFERROR(IF(Str_TypeDonneesCpt2=Cpt_Index,Tab_Compteur_2[[#This Row],[Index]]-E88,Tab_Compteur_2[[#This Row],[Quantité]])/Tab_Compteur_2[[#This Row],[Delta Jour]],""))</f>
        <v/>
      </c>
      <c r="H89" s="177" t="str">
        <f>IFERROR(Tab_Compteur_2[[#This Row],[Colonne1]]/Tab_Compteur_2[[#This Row],[Delta Jour]],"")</f>
        <v/>
      </c>
      <c r="I89" s="184" t="str">
        <f t="shared" si="2"/>
        <v/>
      </c>
      <c r="J89" s="450"/>
      <c r="K89" s="70"/>
      <c r="L89" s="70"/>
      <c r="M89" s="70"/>
    </row>
    <row r="90" spans="1:13">
      <c r="A90" s="2">
        <f t="shared" si="3"/>
        <v>1</v>
      </c>
      <c r="B90" s="2"/>
      <c r="C90" s="681"/>
      <c r="D90" s="681"/>
      <c r="E90" s="519"/>
      <c r="F90" s="177" t="str">
        <f>IF(Tab_Compteur_2[[#This Row],[Fin de période]]&gt;0,IFERROR(B90-A90+1,""),"")</f>
        <v/>
      </c>
      <c r="G90" t="str">
        <f>IF(IFERROR(IF(Str_TypeDonneesCpt2=Cpt_Index,Tab_Compteur_2[[#This Row],[Index]]-E89,Tab_Compteur_2[[#This Row],[Quantité]])/Tab_Compteur_2[[#This Row],[Delta Jour]],"")&lt;0,"",IFERROR(IF(Str_TypeDonneesCpt2=Cpt_Index,Tab_Compteur_2[[#This Row],[Index]]-E89,Tab_Compteur_2[[#This Row],[Quantité]])/Tab_Compteur_2[[#This Row],[Delta Jour]],""))</f>
        <v/>
      </c>
      <c r="H90" s="177" t="str">
        <f>IFERROR(Tab_Compteur_2[[#This Row],[Colonne1]]/Tab_Compteur_2[[#This Row],[Delta Jour]],"")</f>
        <v/>
      </c>
      <c r="I90" s="184" t="str">
        <f t="shared" si="2"/>
        <v/>
      </c>
      <c r="J90" s="450"/>
      <c r="K90" s="70"/>
      <c r="L90" s="70"/>
      <c r="M90" s="70"/>
    </row>
    <row r="91" spans="1:13">
      <c r="A91" s="2">
        <f t="shared" si="3"/>
        <v>1</v>
      </c>
      <c r="B91" s="2"/>
      <c r="C91" s="681"/>
      <c r="D91" s="681"/>
      <c r="E91" s="519"/>
      <c r="F91" s="177" t="str">
        <f>IF(Tab_Compteur_2[[#This Row],[Fin de période]]&gt;0,IFERROR(B91-A91+1,""),"")</f>
        <v/>
      </c>
      <c r="G91" t="str">
        <f>IF(IFERROR(IF(Str_TypeDonneesCpt2=Cpt_Index,Tab_Compteur_2[[#This Row],[Index]]-E90,Tab_Compteur_2[[#This Row],[Quantité]])/Tab_Compteur_2[[#This Row],[Delta Jour]],"")&lt;0,"",IFERROR(IF(Str_TypeDonneesCpt2=Cpt_Index,Tab_Compteur_2[[#This Row],[Index]]-E90,Tab_Compteur_2[[#This Row],[Quantité]])/Tab_Compteur_2[[#This Row],[Delta Jour]],""))</f>
        <v/>
      </c>
      <c r="H91" s="177" t="str">
        <f>IFERROR(Tab_Compteur_2[[#This Row],[Colonne1]]/Tab_Compteur_2[[#This Row],[Delta Jour]],"")</f>
        <v/>
      </c>
      <c r="I91" s="184" t="str">
        <f t="shared" si="2"/>
        <v/>
      </c>
      <c r="J91" s="450"/>
      <c r="K91" s="70"/>
      <c r="L91" s="70"/>
      <c r="M91" s="70"/>
    </row>
    <row r="92" spans="1:13">
      <c r="A92" s="2">
        <f t="shared" si="3"/>
        <v>1</v>
      </c>
      <c r="B92" s="2"/>
      <c r="C92" s="681"/>
      <c r="D92" s="681"/>
      <c r="E92" s="519"/>
      <c r="F92" s="177" t="str">
        <f>IF(Tab_Compteur_2[[#This Row],[Fin de période]]&gt;0,IFERROR(B92-A92+1,""),"")</f>
        <v/>
      </c>
      <c r="G92" t="str">
        <f>IF(IFERROR(IF(Str_TypeDonneesCpt2=Cpt_Index,Tab_Compteur_2[[#This Row],[Index]]-E91,Tab_Compteur_2[[#This Row],[Quantité]])/Tab_Compteur_2[[#This Row],[Delta Jour]],"")&lt;0,"",IFERROR(IF(Str_TypeDonneesCpt2=Cpt_Index,Tab_Compteur_2[[#This Row],[Index]]-E91,Tab_Compteur_2[[#This Row],[Quantité]])/Tab_Compteur_2[[#This Row],[Delta Jour]],""))</f>
        <v/>
      </c>
      <c r="H92" s="177" t="str">
        <f>IFERROR(Tab_Compteur_2[[#This Row],[Colonne1]]/Tab_Compteur_2[[#This Row],[Delta Jour]],"")</f>
        <v/>
      </c>
      <c r="I92" s="184" t="str">
        <f t="shared" si="2"/>
        <v/>
      </c>
      <c r="J92" s="450"/>
      <c r="K92" s="70"/>
      <c r="L92" s="70"/>
      <c r="M92" s="70"/>
    </row>
    <row r="93" spans="1:13">
      <c r="A93" s="2">
        <f t="shared" si="3"/>
        <v>1</v>
      </c>
      <c r="B93" s="2"/>
      <c r="C93" s="681"/>
      <c r="D93" s="681"/>
      <c r="E93" s="519"/>
      <c r="F93" s="177" t="str">
        <f>IF(Tab_Compteur_2[[#This Row],[Fin de période]]&gt;0,IFERROR(B93-A93+1,""),"")</f>
        <v/>
      </c>
      <c r="G93" t="str">
        <f>IF(IFERROR(IF(Str_TypeDonneesCpt2=Cpt_Index,Tab_Compteur_2[[#This Row],[Index]]-E92,Tab_Compteur_2[[#This Row],[Quantité]])/Tab_Compteur_2[[#This Row],[Delta Jour]],"")&lt;0,"",IFERROR(IF(Str_TypeDonneesCpt2=Cpt_Index,Tab_Compteur_2[[#This Row],[Index]]-E92,Tab_Compteur_2[[#This Row],[Quantité]])/Tab_Compteur_2[[#This Row],[Delta Jour]],""))</f>
        <v/>
      </c>
      <c r="H93" s="177" t="str">
        <f>IFERROR(Tab_Compteur_2[[#This Row],[Colonne1]]/Tab_Compteur_2[[#This Row],[Delta Jour]],"")</f>
        <v/>
      </c>
      <c r="I93" s="184" t="str">
        <f t="shared" si="2"/>
        <v/>
      </c>
      <c r="J93" s="450"/>
      <c r="K93" s="70"/>
      <c r="L93" s="70"/>
      <c r="M93" s="70"/>
    </row>
    <row r="94" spans="1:13">
      <c r="A94" s="2">
        <f t="shared" si="3"/>
        <v>1</v>
      </c>
      <c r="B94" s="2"/>
      <c r="C94" s="681"/>
      <c r="D94" s="681"/>
      <c r="E94" s="519"/>
      <c r="F94" s="177" t="str">
        <f>IF(Tab_Compteur_2[[#This Row],[Fin de période]]&gt;0,IFERROR(B94-A94+1,""),"")</f>
        <v/>
      </c>
      <c r="G94" t="str">
        <f>IF(IFERROR(IF(Str_TypeDonneesCpt2=Cpt_Index,Tab_Compteur_2[[#This Row],[Index]]-E93,Tab_Compteur_2[[#This Row],[Quantité]])/Tab_Compteur_2[[#This Row],[Delta Jour]],"")&lt;0,"",IFERROR(IF(Str_TypeDonneesCpt2=Cpt_Index,Tab_Compteur_2[[#This Row],[Index]]-E93,Tab_Compteur_2[[#This Row],[Quantité]])/Tab_Compteur_2[[#This Row],[Delta Jour]],""))</f>
        <v/>
      </c>
      <c r="H94" s="177" t="str">
        <f>IFERROR(Tab_Compteur_2[[#This Row],[Colonne1]]/Tab_Compteur_2[[#This Row],[Delta Jour]],"")</f>
        <v/>
      </c>
      <c r="I94" s="184" t="str">
        <f t="shared" si="2"/>
        <v/>
      </c>
      <c r="J94" s="450"/>
      <c r="K94" s="70"/>
      <c r="L94" s="70"/>
      <c r="M94" s="70"/>
    </row>
    <row r="95" spans="1:13">
      <c r="A95" s="2">
        <f t="shared" si="3"/>
        <v>1</v>
      </c>
      <c r="B95" s="2"/>
      <c r="C95" s="681"/>
      <c r="D95" s="681"/>
      <c r="E95" s="519"/>
      <c r="F95" s="177" t="str">
        <f>IF(Tab_Compteur_2[[#This Row],[Fin de période]]&gt;0,IFERROR(B95-A95+1,""),"")</f>
        <v/>
      </c>
      <c r="G95" t="str">
        <f>IF(IFERROR(IF(Str_TypeDonneesCpt2=Cpt_Index,Tab_Compteur_2[[#This Row],[Index]]-E94,Tab_Compteur_2[[#This Row],[Quantité]])/Tab_Compteur_2[[#This Row],[Delta Jour]],"")&lt;0,"",IFERROR(IF(Str_TypeDonneesCpt2=Cpt_Index,Tab_Compteur_2[[#This Row],[Index]]-E94,Tab_Compteur_2[[#This Row],[Quantité]])/Tab_Compteur_2[[#This Row],[Delta Jour]],""))</f>
        <v/>
      </c>
      <c r="H95" s="177" t="str">
        <f>IFERROR(Tab_Compteur_2[[#This Row],[Colonne1]]/Tab_Compteur_2[[#This Row],[Delta Jour]],"")</f>
        <v/>
      </c>
      <c r="I95" s="184" t="str">
        <f t="shared" si="2"/>
        <v/>
      </c>
      <c r="J95" s="450"/>
      <c r="K95" s="70"/>
      <c r="L95" s="70"/>
      <c r="M95" s="70"/>
    </row>
    <row r="96" spans="1:13">
      <c r="A96" s="2">
        <f t="shared" si="3"/>
        <v>1</v>
      </c>
      <c r="B96" s="2"/>
      <c r="C96" s="681"/>
      <c r="D96" s="681"/>
      <c r="E96" s="519"/>
      <c r="F96" s="177" t="str">
        <f>IF(Tab_Compteur_2[[#This Row],[Fin de période]]&gt;0,IFERROR(B96-A96+1,""),"")</f>
        <v/>
      </c>
      <c r="G96" t="str">
        <f>IF(IFERROR(IF(Str_TypeDonneesCpt2=Cpt_Index,Tab_Compteur_2[[#This Row],[Index]]-E95,Tab_Compteur_2[[#This Row],[Quantité]])/Tab_Compteur_2[[#This Row],[Delta Jour]],"")&lt;0,"",IFERROR(IF(Str_TypeDonneesCpt2=Cpt_Index,Tab_Compteur_2[[#This Row],[Index]]-E95,Tab_Compteur_2[[#This Row],[Quantité]])/Tab_Compteur_2[[#This Row],[Delta Jour]],""))</f>
        <v/>
      </c>
      <c r="H96" s="177" t="str">
        <f>IFERROR(Tab_Compteur_2[[#This Row],[Colonne1]]/Tab_Compteur_2[[#This Row],[Delta Jour]],"")</f>
        <v/>
      </c>
      <c r="I96" s="184" t="str">
        <f t="shared" si="2"/>
        <v/>
      </c>
      <c r="J96" s="450"/>
      <c r="K96" s="70"/>
      <c r="L96" s="70"/>
      <c r="M96" s="70"/>
    </row>
    <row r="97" spans="1:13">
      <c r="A97" s="2">
        <f t="shared" si="3"/>
        <v>1</v>
      </c>
      <c r="B97" s="501"/>
      <c r="C97" s="688"/>
      <c r="D97" s="689"/>
      <c r="E97" s="519"/>
      <c r="F97" s="177" t="str">
        <f>IF(Tab_Compteur_2[[#This Row],[Fin de période]]&gt;0,IFERROR(B97-A97+1,""),"")</f>
        <v/>
      </c>
      <c r="G97" t="str">
        <f>IF(IFERROR(IF(Str_TypeDonneesCpt2=Cpt_Index,Tab_Compteur_2[[#This Row],[Index]]-E96,Tab_Compteur_2[[#This Row],[Quantité]])/Tab_Compteur_2[[#This Row],[Delta Jour]],"")&lt;0,"",IFERROR(IF(Str_TypeDonneesCpt2=Cpt_Index,Tab_Compteur_2[[#This Row],[Index]]-E96,Tab_Compteur_2[[#This Row],[Quantité]])/Tab_Compteur_2[[#This Row],[Delta Jour]],""))</f>
        <v/>
      </c>
      <c r="H97" s="177" t="str">
        <f>IFERROR(Tab_Compteur_2[[#This Row],[Colonne1]]/Tab_Compteur_2[[#This Row],[Delta Jour]],"")</f>
        <v/>
      </c>
      <c r="I97" s="184" t="str">
        <f t="shared" si="2"/>
        <v/>
      </c>
      <c r="J97" s="450"/>
      <c r="K97" s="70"/>
      <c r="L97" s="70"/>
      <c r="M97" s="70"/>
    </row>
    <row r="98" spans="1:13">
      <c r="A98" s="2">
        <f t="shared" si="3"/>
        <v>1</v>
      </c>
      <c r="B98" s="501"/>
      <c r="C98" s="688"/>
      <c r="D98" s="689"/>
      <c r="E98" s="519"/>
      <c r="F98" s="177" t="str">
        <f>IF(Tab_Compteur_2[[#This Row],[Fin de période]]&gt;0,IFERROR(B98-A98+1,""),"")</f>
        <v/>
      </c>
      <c r="G98" t="str">
        <f>IF(IFERROR(IF(Str_TypeDonneesCpt2=Cpt_Index,Tab_Compteur_2[[#This Row],[Index]]-E97,Tab_Compteur_2[[#This Row],[Quantité]])/Tab_Compteur_2[[#This Row],[Delta Jour]],"")&lt;0,"",IFERROR(IF(Str_TypeDonneesCpt2=Cpt_Index,Tab_Compteur_2[[#This Row],[Index]]-E97,Tab_Compteur_2[[#This Row],[Quantité]])/Tab_Compteur_2[[#This Row],[Delta Jour]],""))</f>
        <v/>
      </c>
      <c r="H98" s="177" t="str">
        <f>IFERROR(Tab_Compteur_2[[#This Row],[Colonne1]]/Tab_Compteur_2[[#This Row],[Delta Jour]],"")</f>
        <v/>
      </c>
      <c r="I98" s="184" t="str">
        <f t="shared" si="2"/>
        <v/>
      </c>
      <c r="J98" s="450"/>
      <c r="K98" s="70"/>
      <c r="L98" s="70"/>
      <c r="M98" s="70"/>
    </row>
    <row r="99" spans="1:13">
      <c r="A99" s="2">
        <f t="shared" si="3"/>
        <v>1</v>
      </c>
      <c r="B99" s="501"/>
      <c r="C99" s="688"/>
      <c r="D99" s="689"/>
      <c r="E99" s="519"/>
      <c r="F99" s="177" t="str">
        <f>IF(Tab_Compteur_2[[#This Row],[Fin de période]]&gt;0,IFERROR(B99-A99+1,""),"")</f>
        <v/>
      </c>
      <c r="G99" t="str">
        <f>IF(IFERROR(IF(Str_TypeDonneesCpt2=Cpt_Index,Tab_Compteur_2[[#This Row],[Index]]-E98,Tab_Compteur_2[[#This Row],[Quantité]])/Tab_Compteur_2[[#This Row],[Delta Jour]],"")&lt;0,"",IFERROR(IF(Str_TypeDonneesCpt2=Cpt_Index,Tab_Compteur_2[[#This Row],[Index]]-E98,Tab_Compteur_2[[#This Row],[Quantité]])/Tab_Compteur_2[[#This Row],[Delta Jour]],""))</f>
        <v/>
      </c>
      <c r="H99" s="177" t="str">
        <f>IFERROR(Tab_Compteur_2[[#This Row],[Colonne1]]/Tab_Compteur_2[[#This Row],[Delta Jour]],"")</f>
        <v/>
      </c>
      <c r="I99" s="184" t="str">
        <f t="shared" si="2"/>
        <v/>
      </c>
      <c r="J99" s="450"/>
      <c r="K99" s="70"/>
      <c r="L99" s="70"/>
      <c r="M99" s="70"/>
    </row>
    <row r="100" spans="1:13">
      <c r="A100" s="2">
        <f t="shared" si="3"/>
        <v>1</v>
      </c>
      <c r="B100" s="501"/>
      <c r="C100" s="688"/>
      <c r="D100" s="689"/>
      <c r="E100" s="519"/>
      <c r="F100" s="177" t="str">
        <f>IF(Tab_Compteur_2[[#This Row],[Fin de période]]&gt;0,IFERROR(B100-A100+1,""),"")</f>
        <v/>
      </c>
      <c r="G100" t="str">
        <f>IF(IFERROR(IF(Str_TypeDonneesCpt2=Cpt_Index,Tab_Compteur_2[[#This Row],[Index]]-E99,Tab_Compteur_2[[#This Row],[Quantité]])/Tab_Compteur_2[[#This Row],[Delta Jour]],"")&lt;0,"",IFERROR(IF(Str_TypeDonneesCpt2=Cpt_Index,Tab_Compteur_2[[#This Row],[Index]]-E99,Tab_Compteur_2[[#This Row],[Quantité]])/Tab_Compteur_2[[#This Row],[Delta Jour]],""))</f>
        <v/>
      </c>
      <c r="H100" s="177" t="str">
        <f>IFERROR(Tab_Compteur_2[[#This Row],[Colonne1]]/Tab_Compteur_2[[#This Row],[Delta Jour]],"")</f>
        <v/>
      </c>
      <c r="I100" s="184" t="str">
        <f t="shared" si="2"/>
        <v/>
      </c>
      <c r="J100" s="450"/>
      <c r="K100" s="70"/>
      <c r="L100" s="70"/>
      <c r="M100" s="70"/>
    </row>
    <row r="101" spans="1:13">
      <c r="A101" s="2">
        <f t="shared" si="3"/>
        <v>1</v>
      </c>
      <c r="B101" s="501"/>
      <c r="C101" s="688"/>
      <c r="D101" s="689"/>
      <c r="E101" s="519"/>
      <c r="F101" s="177" t="str">
        <f>IF(Tab_Compteur_2[[#This Row],[Fin de période]]&gt;0,IFERROR(B101-A101+1,""),"")</f>
        <v/>
      </c>
      <c r="G101" t="str">
        <f>IF(IFERROR(IF(Str_TypeDonneesCpt2=Cpt_Index,Tab_Compteur_2[[#This Row],[Index]]-E100,Tab_Compteur_2[[#This Row],[Quantité]])/Tab_Compteur_2[[#This Row],[Delta Jour]],"")&lt;0,"",IFERROR(IF(Str_TypeDonneesCpt2=Cpt_Index,Tab_Compteur_2[[#This Row],[Index]]-E100,Tab_Compteur_2[[#This Row],[Quantité]])/Tab_Compteur_2[[#This Row],[Delta Jour]],""))</f>
        <v/>
      </c>
      <c r="H101" s="177" t="str">
        <f>IFERROR(Tab_Compteur_2[[#This Row],[Colonne1]]/Tab_Compteur_2[[#This Row],[Delta Jour]],"")</f>
        <v/>
      </c>
      <c r="I101" s="184" t="str">
        <f t="shared" si="2"/>
        <v/>
      </c>
      <c r="J101" s="450"/>
      <c r="K101" s="70"/>
      <c r="L101" s="70"/>
      <c r="M101" s="70"/>
    </row>
    <row r="102" spans="1:13">
      <c r="A102" s="2">
        <f t="shared" si="3"/>
        <v>1</v>
      </c>
      <c r="B102" s="501"/>
      <c r="C102" s="688"/>
      <c r="D102" s="689"/>
      <c r="E102" s="519"/>
      <c r="F102" s="177" t="str">
        <f>IF(Tab_Compteur_2[[#This Row],[Fin de période]]&gt;0,IFERROR(B102-A102+1,""),"")</f>
        <v/>
      </c>
      <c r="G102" t="str">
        <f>IF(IFERROR(IF(Str_TypeDonneesCpt2=Cpt_Index,Tab_Compteur_2[[#This Row],[Index]]-E101,Tab_Compteur_2[[#This Row],[Quantité]])/Tab_Compteur_2[[#This Row],[Delta Jour]],"")&lt;0,"",IFERROR(IF(Str_TypeDonneesCpt2=Cpt_Index,Tab_Compteur_2[[#This Row],[Index]]-E101,Tab_Compteur_2[[#This Row],[Quantité]])/Tab_Compteur_2[[#This Row],[Delta Jour]],""))</f>
        <v/>
      </c>
      <c r="H102" s="177" t="str">
        <f>IFERROR(Tab_Compteur_2[[#This Row],[Colonne1]]/Tab_Compteur_2[[#This Row],[Delta Jour]],"")</f>
        <v/>
      </c>
      <c r="I102" s="184" t="str">
        <f t="shared" si="2"/>
        <v/>
      </c>
      <c r="J102" s="450"/>
      <c r="K102" s="70"/>
      <c r="L102" s="70"/>
      <c r="M102" s="70"/>
    </row>
    <row r="103" spans="1:13">
      <c r="A103" s="2">
        <f t="shared" si="3"/>
        <v>1</v>
      </c>
      <c r="B103" s="501"/>
      <c r="C103" s="688"/>
      <c r="D103" s="689"/>
      <c r="E103" s="519"/>
      <c r="F103" s="177" t="str">
        <f>IF(Tab_Compteur_2[[#This Row],[Fin de période]]&gt;0,IFERROR(B103-A103+1,""),"")</f>
        <v/>
      </c>
      <c r="G103" t="str">
        <f>IF(IFERROR(IF(Str_TypeDonneesCpt2=Cpt_Index,Tab_Compteur_2[[#This Row],[Index]]-E102,Tab_Compteur_2[[#This Row],[Quantité]])/Tab_Compteur_2[[#This Row],[Delta Jour]],"")&lt;0,"",IFERROR(IF(Str_TypeDonneesCpt2=Cpt_Index,Tab_Compteur_2[[#This Row],[Index]]-E102,Tab_Compteur_2[[#This Row],[Quantité]])/Tab_Compteur_2[[#This Row],[Delta Jour]],""))</f>
        <v/>
      </c>
      <c r="H103" s="177" t="str">
        <f>IFERROR(Tab_Compteur_2[[#This Row],[Colonne1]]/Tab_Compteur_2[[#This Row],[Delta Jour]],"")</f>
        <v/>
      </c>
      <c r="I103" s="184" t="str">
        <f t="shared" si="2"/>
        <v/>
      </c>
      <c r="J103" s="450"/>
      <c r="K103" s="70"/>
      <c r="L103" s="70"/>
      <c r="M103" s="70"/>
    </row>
    <row r="104" spans="1:13">
      <c r="A104" s="2">
        <f t="shared" si="3"/>
        <v>1</v>
      </c>
      <c r="B104" s="651"/>
      <c r="C104" s="683"/>
      <c r="D104" s="683"/>
      <c r="E104" s="519"/>
      <c r="F104" s="177" t="str">
        <f>IF(Tab_Compteur_2[[#This Row],[Fin de période]]&gt;0,IFERROR(B104-A104+1,""),"")</f>
        <v/>
      </c>
      <c r="G104" t="str">
        <f>IF(IFERROR(IF(Str_TypeDonneesCpt2=Cpt_Index,Tab_Compteur_2[[#This Row],[Index]]-E103,Tab_Compteur_2[[#This Row],[Quantité]])/Tab_Compteur_2[[#This Row],[Delta Jour]],"")&lt;0,"",IFERROR(IF(Str_TypeDonneesCpt2=Cpt_Index,Tab_Compteur_2[[#This Row],[Index]]-E103,Tab_Compteur_2[[#This Row],[Quantité]])/Tab_Compteur_2[[#This Row],[Delta Jour]],""))</f>
        <v/>
      </c>
      <c r="H104" s="177" t="str">
        <f>IFERROR(Tab_Compteur_2[[#This Row],[Colonne1]]/Tab_Compteur_2[[#This Row],[Delta Jour]],"")</f>
        <v/>
      </c>
      <c r="I104" s="184" t="str">
        <f t="shared" si="2"/>
        <v/>
      </c>
      <c r="J104" s="450"/>
      <c r="K104" s="70"/>
      <c r="L104" s="70"/>
      <c r="M104" s="70"/>
    </row>
    <row r="105" spans="1:13">
      <c r="A105" s="2">
        <f t="shared" si="3"/>
        <v>1</v>
      </c>
      <c r="B105" s="651"/>
      <c r="C105" s="683"/>
      <c r="D105" s="683"/>
      <c r="E105" s="519"/>
      <c r="F105" s="177" t="str">
        <f>IF(Tab_Compteur_2[[#This Row],[Fin de période]]&gt;0,IFERROR(B105-A105+1,""),"")</f>
        <v/>
      </c>
      <c r="G105" t="str">
        <f>IF(IFERROR(IF(Str_TypeDonneesCpt2=Cpt_Index,Tab_Compteur_2[[#This Row],[Index]]-E104,Tab_Compteur_2[[#This Row],[Quantité]])/Tab_Compteur_2[[#This Row],[Delta Jour]],"")&lt;0,"",IFERROR(IF(Str_TypeDonneesCpt2=Cpt_Index,Tab_Compteur_2[[#This Row],[Index]]-E104,Tab_Compteur_2[[#This Row],[Quantité]])/Tab_Compteur_2[[#This Row],[Delta Jour]],""))</f>
        <v/>
      </c>
      <c r="H105" s="177" t="str">
        <f>IFERROR(Tab_Compteur_2[[#This Row],[Colonne1]]/Tab_Compteur_2[[#This Row],[Delta Jour]],"")</f>
        <v/>
      </c>
      <c r="I105" s="184" t="str">
        <f t="shared" si="2"/>
        <v/>
      </c>
      <c r="J105" s="450"/>
      <c r="K105" s="70"/>
      <c r="L105" s="70"/>
      <c r="M105" s="70"/>
    </row>
    <row r="106" spans="1:13">
      <c r="A106" s="2">
        <f t="shared" si="3"/>
        <v>1</v>
      </c>
      <c r="B106" s="651"/>
      <c r="C106" s="683"/>
      <c r="D106" s="683"/>
      <c r="E106" s="519"/>
      <c r="F106" s="177" t="str">
        <f>IF(Tab_Compteur_2[[#This Row],[Fin de période]]&gt;0,IFERROR(B106-A106+1,""),"")</f>
        <v/>
      </c>
      <c r="G106" t="str">
        <f>IF(IFERROR(IF(Str_TypeDonneesCpt2=Cpt_Index,Tab_Compteur_2[[#This Row],[Index]]-E105,Tab_Compteur_2[[#This Row],[Quantité]])/Tab_Compteur_2[[#This Row],[Delta Jour]],"")&lt;0,"",IFERROR(IF(Str_TypeDonneesCpt2=Cpt_Index,Tab_Compteur_2[[#This Row],[Index]]-E105,Tab_Compteur_2[[#This Row],[Quantité]])/Tab_Compteur_2[[#This Row],[Delta Jour]],""))</f>
        <v/>
      </c>
      <c r="H106" s="177" t="str">
        <f>IFERROR(Tab_Compteur_2[[#This Row],[Colonne1]]/Tab_Compteur_2[[#This Row],[Delta Jour]],"")</f>
        <v/>
      </c>
      <c r="I106" s="184" t="str">
        <f t="shared" si="2"/>
        <v/>
      </c>
      <c r="J106" s="450"/>
      <c r="K106" s="70"/>
      <c r="L106" s="70"/>
      <c r="M106" s="70"/>
    </row>
    <row r="107" spans="1:13">
      <c r="A107" s="2">
        <f t="shared" si="3"/>
        <v>1</v>
      </c>
      <c r="B107" s="651"/>
      <c r="C107" s="683"/>
      <c r="D107" s="683"/>
      <c r="E107" s="519"/>
      <c r="F107" s="177" t="str">
        <f>IF(Tab_Compteur_2[[#This Row],[Fin de période]]&gt;0,IFERROR(B107-A107+1,""),"")</f>
        <v/>
      </c>
      <c r="G107" t="str">
        <f>IF(IFERROR(IF(Str_TypeDonneesCpt2=Cpt_Index,Tab_Compteur_2[[#This Row],[Index]]-E106,Tab_Compteur_2[[#This Row],[Quantité]])/Tab_Compteur_2[[#This Row],[Delta Jour]],"")&lt;0,"",IFERROR(IF(Str_TypeDonneesCpt2=Cpt_Index,Tab_Compteur_2[[#This Row],[Index]]-E106,Tab_Compteur_2[[#This Row],[Quantité]])/Tab_Compteur_2[[#This Row],[Delta Jour]],""))</f>
        <v/>
      </c>
      <c r="H107" s="177" t="str">
        <f>IFERROR(Tab_Compteur_2[[#This Row],[Colonne1]]/Tab_Compteur_2[[#This Row],[Delta Jour]],"")</f>
        <v/>
      </c>
      <c r="I107" s="184" t="str">
        <f t="shared" si="2"/>
        <v/>
      </c>
      <c r="J107" s="450"/>
      <c r="K107" s="70"/>
      <c r="L107" s="70"/>
      <c r="M107" s="70"/>
    </row>
    <row r="108" spans="1:13">
      <c r="A108" s="2">
        <f t="shared" si="3"/>
        <v>1</v>
      </c>
      <c r="B108" s="651"/>
      <c r="C108" s="683"/>
      <c r="D108" s="683"/>
      <c r="E108" s="519"/>
      <c r="F108" s="177" t="str">
        <f>IF(Tab_Compteur_2[[#This Row],[Fin de période]]&gt;0,IFERROR(B108-A108+1,""),"")</f>
        <v/>
      </c>
      <c r="G108" t="str">
        <f>IF(IFERROR(IF(Str_TypeDonneesCpt2=Cpt_Index,Tab_Compteur_2[[#This Row],[Index]]-E107,Tab_Compteur_2[[#This Row],[Quantité]])/Tab_Compteur_2[[#This Row],[Delta Jour]],"")&lt;0,"",IFERROR(IF(Str_TypeDonneesCpt2=Cpt_Index,Tab_Compteur_2[[#This Row],[Index]]-E107,Tab_Compteur_2[[#This Row],[Quantité]])/Tab_Compteur_2[[#This Row],[Delta Jour]],""))</f>
        <v/>
      </c>
      <c r="H108" s="177" t="str">
        <f>IFERROR(Tab_Compteur_2[[#This Row],[Colonne1]]/Tab_Compteur_2[[#This Row],[Delta Jour]],"")</f>
        <v/>
      </c>
      <c r="I108" s="184" t="str">
        <f t="shared" si="2"/>
        <v/>
      </c>
      <c r="J108" s="450"/>
      <c r="K108" s="70"/>
      <c r="L108" s="70"/>
      <c r="M108" s="70"/>
    </row>
    <row r="109" spans="1:13">
      <c r="A109" s="2">
        <f t="shared" si="3"/>
        <v>1</v>
      </c>
      <c r="B109" s="651"/>
      <c r="C109" s="683"/>
      <c r="D109" s="683"/>
      <c r="E109" s="519"/>
      <c r="F109" s="177" t="str">
        <f>IF(Tab_Compteur_2[[#This Row],[Fin de période]]&gt;0,IFERROR(B109-A109+1,""),"")</f>
        <v/>
      </c>
      <c r="G109" t="str">
        <f>IF(IFERROR(IF(Str_TypeDonneesCpt2=Cpt_Index,Tab_Compteur_2[[#This Row],[Index]]-E108,Tab_Compteur_2[[#This Row],[Quantité]])/Tab_Compteur_2[[#This Row],[Delta Jour]],"")&lt;0,"",IFERROR(IF(Str_TypeDonneesCpt2=Cpt_Index,Tab_Compteur_2[[#This Row],[Index]]-E108,Tab_Compteur_2[[#This Row],[Quantité]])/Tab_Compteur_2[[#This Row],[Delta Jour]],""))</f>
        <v/>
      </c>
      <c r="H109" s="177" t="str">
        <f>IFERROR(Tab_Compteur_2[[#This Row],[Colonne1]]/Tab_Compteur_2[[#This Row],[Delta Jour]],"")</f>
        <v/>
      </c>
      <c r="I109" s="184" t="str">
        <f t="shared" si="2"/>
        <v/>
      </c>
      <c r="J109" s="450"/>
      <c r="K109" s="70"/>
      <c r="L109" s="70"/>
      <c r="M109" s="70"/>
    </row>
    <row r="110" spans="1:13">
      <c r="A110" s="2">
        <f t="shared" si="3"/>
        <v>1</v>
      </c>
      <c r="B110" s="651"/>
      <c r="C110" s="683"/>
      <c r="D110" s="683"/>
      <c r="E110" s="519"/>
      <c r="F110" s="177" t="str">
        <f>IF(Tab_Compteur_2[[#This Row],[Fin de période]]&gt;0,IFERROR(B110-A110+1,""),"")</f>
        <v/>
      </c>
      <c r="G110" t="str">
        <f>IF(IFERROR(IF(Str_TypeDonneesCpt2=Cpt_Index,Tab_Compteur_2[[#This Row],[Index]]-E109,Tab_Compteur_2[[#This Row],[Quantité]])/Tab_Compteur_2[[#This Row],[Delta Jour]],"")&lt;0,"",IFERROR(IF(Str_TypeDonneesCpt2=Cpt_Index,Tab_Compteur_2[[#This Row],[Index]]-E109,Tab_Compteur_2[[#This Row],[Quantité]])/Tab_Compteur_2[[#This Row],[Delta Jour]],""))</f>
        <v/>
      </c>
      <c r="H110" s="177" t="str">
        <f>IFERROR(Tab_Compteur_2[[#This Row],[Colonne1]]/Tab_Compteur_2[[#This Row],[Delta Jour]],"")</f>
        <v/>
      </c>
      <c r="I110" s="184" t="str">
        <f t="shared" si="2"/>
        <v/>
      </c>
      <c r="J110" s="450"/>
      <c r="K110" s="70"/>
      <c r="L110" s="70"/>
      <c r="M110" s="70"/>
    </row>
    <row r="111" spans="1:13">
      <c r="A111" s="2">
        <f t="shared" si="3"/>
        <v>1</v>
      </c>
      <c r="B111" s="651"/>
      <c r="C111" s="683"/>
      <c r="D111" s="683"/>
      <c r="E111" s="519"/>
      <c r="F111" s="177" t="str">
        <f>IF(Tab_Compteur_2[[#This Row],[Fin de période]]&gt;0,IFERROR(B111-A111+1,""),"")</f>
        <v/>
      </c>
      <c r="G111" t="str">
        <f>IF(IFERROR(IF(Str_TypeDonneesCpt2=Cpt_Index,Tab_Compteur_2[[#This Row],[Index]]-E110,Tab_Compteur_2[[#This Row],[Quantité]])/Tab_Compteur_2[[#This Row],[Delta Jour]],"")&lt;0,"",IFERROR(IF(Str_TypeDonneesCpt2=Cpt_Index,Tab_Compteur_2[[#This Row],[Index]]-E110,Tab_Compteur_2[[#This Row],[Quantité]])/Tab_Compteur_2[[#This Row],[Delta Jour]],""))</f>
        <v/>
      </c>
      <c r="H111" s="177" t="str">
        <f>IFERROR(Tab_Compteur_2[[#This Row],[Colonne1]]/Tab_Compteur_2[[#This Row],[Delta Jour]],"")</f>
        <v/>
      </c>
      <c r="I111" s="184" t="str">
        <f t="shared" si="2"/>
        <v/>
      </c>
      <c r="J111" s="450"/>
      <c r="K111" s="70"/>
      <c r="L111" s="70"/>
      <c r="M111" s="70"/>
    </row>
    <row r="112" spans="1:13">
      <c r="A112" s="2">
        <f t="shared" si="3"/>
        <v>1</v>
      </c>
      <c r="B112" s="651"/>
      <c r="C112" s="683"/>
      <c r="D112" s="683"/>
      <c r="E112" s="519"/>
      <c r="F112" s="177" t="str">
        <f>IF(Tab_Compteur_2[[#This Row],[Fin de période]]&gt;0,IFERROR(B112-A112+1,""),"")</f>
        <v/>
      </c>
      <c r="G112" t="str">
        <f>IF(IFERROR(IF(Str_TypeDonneesCpt2=Cpt_Index,Tab_Compteur_2[[#This Row],[Index]]-E111,Tab_Compteur_2[[#This Row],[Quantité]])/Tab_Compteur_2[[#This Row],[Delta Jour]],"")&lt;0,"",IFERROR(IF(Str_TypeDonneesCpt2=Cpt_Index,Tab_Compteur_2[[#This Row],[Index]]-E111,Tab_Compteur_2[[#This Row],[Quantité]])/Tab_Compteur_2[[#This Row],[Delta Jour]],""))</f>
        <v/>
      </c>
      <c r="H112" s="177" t="str">
        <f>IFERROR(Tab_Compteur_2[[#This Row],[Colonne1]]/Tab_Compteur_2[[#This Row],[Delta Jour]],"")</f>
        <v/>
      </c>
      <c r="I112" s="184" t="str">
        <f t="shared" si="2"/>
        <v/>
      </c>
      <c r="J112" s="450"/>
      <c r="K112" s="70"/>
      <c r="L112" s="70"/>
      <c r="M112" s="70"/>
    </row>
    <row r="113" spans="1:13">
      <c r="A113" s="2">
        <f t="shared" si="3"/>
        <v>1</v>
      </c>
      <c r="B113" s="651"/>
      <c r="C113" s="683"/>
      <c r="D113" s="683"/>
      <c r="E113" s="519"/>
      <c r="F113" s="177" t="str">
        <f>IF(Tab_Compteur_2[[#This Row],[Fin de période]]&gt;0,IFERROR(B113-A113+1,""),"")</f>
        <v/>
      </c>
      <c r="G113" t="str">
        <f>IF(IFERROR(IF(Str_TypeDonneesCpt2=Cpt_Index,Tab_Compteur_2[[#This Row],[Index]]-E112,Tab_Compteur_2[[#This Row],[Quantité]])/Tab_Compteur_2[[#This Row],[Delta Jour]],"")&lt;0,"",IFERROR(IF(Str_TypeDonneesCpt2=Cpt_Index,Tab_Compteur_2[[#This Row],[Index]]-E112,Tab_Compteur_2[[#This Row],[Quantité]])/Tab_Compteur_2[[#This Row],[Delta Jour]],""))</f>
        <v/>
      </c>
      <c r="H113" s="177" t="str">
        <f>IFERROR(Tab_Compteur_2[[#This Row],[Colonne1]]/Tab_Compteur_2[[#This Row],[Delta Jour]],"")</f>
        <v/>
      </c>
      <c r="I113" s="184" t="str">
        <f t="shared" si="2"/>
        <v/>
      </c>
      <c r="J113" s="450"/>
      <c r="K113" s="70"/>
      <c r="L113" s="70"/>
      <c r="M113" s="70"/>
    </row>
    <row r="114" spans="1:13">
      <c r="A114" s="2">
        <f t="shared" si="3"/>
        <v>1</v>
      </c>
      <c r="B114" s="651"/>
      <c r="C114" s="683"/>
      <c r="D114" s="683"/>
      <c r="E114" s="519"/>
      <c r="F114" s="177" t="str">
        <f>IF(Tab_Compteur_2[[#This Row],[Fin de période]]&gt;0,IFERROR(B114-A114+1,""),"")</f>
        <v/>
      </c>
      <c r="G114" t="str">
        <f>IF(IFERROR(IF(Str_TypeDonneesCpt2=Cpt_Index,Tab_Compteur_2[[#This Row],[Index]]-E113,Tab_Compteur_2[[#This Row],[Quantité]])/Tab_Compteur_2[[#This Row],[Delta Jour]],"")&lt;0,"",IFERROR(IF(Str_TypeDonneesCpt2=Cpt_Index,Tab_Compteur_2[[#This Row],[Index]]-E113,Tab_Compteur_2[[#This Row],[Quantité]])/Tab_Compteur_2[[#This Row],[Delta Jour]],""))</f>
        <v/>
      </c>
      <c r="H114" s="177" t="str">
        <f>IFERROR(Tab_Compteur_2[[#This Row],[Colonne1]]/Tab_Compteur_2[[#This Row],[Delta Jour]],"")</f>
        <v/>
      </c>
      <c r="I114" s="184" t="str">
        <f t="shared" si="2"/>
        <v/>
      </c>
      <c r="J114" s="450"/>
      <c r="K114" s="70"/>
      <c r="L114" s="70"/>
      <c r="M114" s="70"/>
    </row>
    <row r="115" spans="1:13">
      <c r="A115" s="2">
        <f t="shared" si="3"/>
        <v>1</v>
      </c>
      <c r="B115" s="651"/>
      <c r="C115" s="683"/>
      <c r="D115" s="683"/>
      <c r="E115" s="519"/>
      <c r="F115" s="177" t="str">
        <f>IF(Tab_Compteur_2[[#This Row],[Fin de période]]&gt;0,IFERROR(B115-A115+1,""),"")</f>
        <v/>
      </c>
      <c r="G115" t="str">
        <f>IF(IFERROR(IF(Str_TypeDonneesCpt2=Cpt_Index,Tab_Compteur_2[[#This Row],[Index]]-E114,Tab_Compteur_2[[#This Row],[Quantité]])/Tab_Compteur_2[[#This Row],[Delta Jour]],"")&lt;0,"",IFERROR(IF(Str_TypeDonneesCpt2=Cpt_Index,Tab_Compteur_2[[#This Row],[Index]]-E114,Tab_Compteur_2[[#This Row],[Quantité]])/Tab_Compteur_2[[#This Row],[Delta Jour]],""))</f>
        <v/>
      </c>
      <c r="H115" s="177" t="str">
        <f>IFERROR(Tab_Compteur_2[[#This Row],[Colonne1]]/Tab_Compteur_2[[#This Row],[Delta Jour]],"")</f>
        <v/>
      </c>
      <c r="I115" s="184" t="str">
        <f t="shared" si="2"/>
        <v/>
      </c>
      <c r="J115" s="450"/>
      <c r="K115" s="70"/>
      <c r="L115" s="70"/>
      <c r="M115" s="70"/>
    </row>
    <row r="116" spans="1:13">
      <c r="A116" s="2">
        <f t="shared" si="3"/>
        <v>1</v>
      </c>
      <c r="B116" s="651"/>
      <c r="C116" s="683"/>
      <c r="D116" s="683"/>
      <c r="E116" s="519"/>
      <c r="F116" s="177" t="str">
        <f>IF(Tab_Compteur_2[[#This Row],[Fin de période]]&gt;0,IFERROR(B116-A116+1,""),"")</f>
        <v/>
      </c>
      <c r="G116" t="str">
        <f>IF(IFERROR(IF(Str_TypeDonneesCpt2=Cpt_Index,Tab_Compteur_2[[#This Row],[Index]]-E115,Tab_Compteur_2[[#This Row],[Quantité]])/Tab_Compteur_2[[#This Row],[Delta Jour]],"")&lt;0,"",IFERROR(IF(Str_TypeDonneesCpt2=Cpt_Index,Tab_Compteur_2[[#This Row],[Index]]-E115,Tab_Compteur_2[[#This Row],[Quantité]])/Tab_Compteur_2[[#This Row],[Delta Jour]],""))</f>
        <v/>
      </c>
      <c r="H116" s="177" t="str">
        <f>IFERROR(Tab_Compteur_2[[#This Row],[Colonne1]]/Tab_Compteur_2[[#This Row],[Delta Jour]],"")</f>
        <v/>
      </c>
      <c r="I116" s="184" t="str">
        <f t="shared" si="2"/>
        <v/>
      </c>
      <c r="J116" s="450"/>
      <c r="K116" s="70"/>
      <c r="L116" s="70"/>
      <c r="M116" s="70"/>
    </row>
    <row r="117" spans="1:13">
      <c r="A117" s="2">
        <f t="shared" si="3"/>
        <v>1</v>
      </c>
      <c r="B117" s="651"/>
      <c r="C117" s="683"/>
      <c r="D117" s="683"/>
      <c r="E117" s="519"/>
      <c r="F117" s="177" t="str">
        <f>IF(Tab_Compteur_2[[#This Row],[Fin de période]]&gt;0,IFERROR(B117-A117+1,""),"")</f>
        <v/>
      </c>
      <c r="G117" t="str">
        <f>IF(IFERROR(IF(Str_TypeDonneesCpt2=Cpt_Index,Tab_Compteur_2[[#This Row],[Index]]-E116,Tab_Compteur_2[[#This Row],[Quantité]])/Tab_Compteur_2[[#This Row],[Delta Jour]],"")&lt;0,"",IFERROR(IF(Str_TypeDonneesCpt2=Cpt_Index,Tab_Compteur_2[[#This Row],[Index]]-E116,Tab_Compteur_2[[#This Row],[Quantité]])/Tab_Compteur_2[[#This Row],[Delta Jour]],""))</f>
        <v/>
      </c>
      <c r="H117" s="177" t="str">
        <f>IFERROR(Tab_Compteur_2[[#This Row],[Colonne1]]/Tab_Compteur_2[[#This Row],[Delta Jour]],"")</f>
        <v/>
      </c>
      <c r="I117" s="184" t="str">
        <f t="shared" si="2"/>
        <v/>
      </c>
      <c r="J117" s="450"/>
      <c r="K117" s="70"/>
      <c r="L117" s="70"/>
      <c r="M117" s="70"/>
    </row>
    <row r="118" spans="1:13">
      <c r="A118" s="2">
        <f t="shared" si="3"/>
        <v>1</v>
      </c>
      <c r="B118" s="651"/>
      <c r="C118" s="683"/>
      <c r="D118" s="683"/>
      <c r="E118" s="519"/>
      <c r="F118" s="177" t="str">
        <f>IF(Tab_Compteur_2[[#This Row],[Fin de période]]&gt;0,IFERROR(B118-A118+1,""),"")</f>
        <v/>
      </c>
      <c r="G118" t="str">
        <f>IF(IFERROR(IF(Str_TypeDonneesCpt2=Cpt_Index,Tab_Compteur_2[[#This Row],[Index]]-E117,Tab_Compteur_2[[#This Row],[Quantité]])/Tab_Compteur_2[[#This Row],[Delta Jour]],"")&lt;0,"",IFERROR(IF(Str_TypeDonneesCpt2=Cpt_Index,Tab_Compteur_2[[#This Row],[Index]]-E117,Tab_Compteur_2[[#This Row],[Quantité]])/Tab_Compteur_2[[#This Row],[Delta Jour]],""))</f>
        <v/>
      </c>
      <c r="H118" s="177" t="str">
        <f>IFERROR(Tab_Compteur_2[[#This Row],[Colonne1]]/Tab_Compteur_2[[#This Row],[Delta Jour]],"")</f>
        <v/>
      </c>
      <c r="I118" s="184" t="str">
        <f t="shared" si="2"/>
        <v/>
      </c>
      <c r="J118" s="450"/>
      <c r="K118" s="70"/>
      <c r="L118" s="70"/>
      <c r="M118" s="70"/>
    </row>
    <row r="119" spans="1:13">
      <c r="A119" s="2">
        <f t="shared" si="3"/>
        <v>1</v>
      </c>
      <c r="B119" s="501"/>
      <c r="C119" s="688"/>
      <c r="D119" s="689"/>
      <c r="E119" s="519"/>
      <c r="F119" s="177" t="str">
        <f>IF(Tab_Compteur_2[[#This Row],[Fin de période]]&gt;0,IFERROR(B119-A119+1,""),"")</f>
        <v/>
      </c>
      <c r="G119" t="str">
        <f>IF(IFERROR(IF(Str_TypeDonneesCpt2=Cpt_Index,Tab_Compteur_2[[#This Row],[Index]]-E118,Tab_Compteur_2[[#This Row],[Quantité]])/Tab_Compteur_2[[#This Row],[Delta Jour]],"")&lt;0,"",IFERROR(IF(Str_TypeDonneesCpt2=Cpt_Index,Tab_Compteur_2[[#This Row],[Index]]-E118,Tab_Compteur_2[[#This Row],[Quantité]])/Tab_Compteur_2[[#This Row],[Delta Jour]],""))</f>
        <v/>
      </c>
      <c r="H119" s="177" t="str">
        <f>IFERROR(Tab_Compteur_2[[#This Row],[Colonne1]]/Tab_Compteur_2[[#This Row],[Delta Jour]],"")</f>
        <v/>
      </c>
      <c r="I119" s="184" t="str">
        <f t="shared" si="2"/>
        <v/>
      </c>
      <c r="J119" s="450"/>
      <c r="K119" s="70"/>
      <c r="L119" s="70"/>
      <c r="M119" s="70"/>
    </row>
    <row r="120" spans="1:13">
      <c r="A120" s="2">
        <f t="shared" si="3"/>
        <v>1</v>
      </c>
      <c r="B120" s="501"/>
      <c r="C120" s="688"/>
      <c r="D120" s="689"/>
      <c r="E120" s="519"/>
      <c r="F120" s="177" t="str">
        <f>IF(Tab_Compteur_2[[#This Row],[Fin de période]]&gt;0,IFERROR(B120-A120+1,""),"")</f>
        <v/>
      </c>
      <c r="G120" t="str">
        <f>IF(IFERROR(IF(Str_TypeDonneesCpt2=Cpt_Index,Tab_Compteur_2[[#This Row],[Index]]-E119,Tab_Compteur_2[[#This Row],[Quantité]])/Tab_Compteur_2[[#This Row],[Delta Jour]],"")&lt;0,"",IFERROR(IF(Str_TypeDonneesCpt2=Cpt_Index,Tab_Compteur_2[[#This Row],[Index]]-E119,Tab_Compteur_2[[#This Row],[Quantité]])/Tab_Compteur_2[[#This Row],[Delta Jour]],""))</f>
        <v/>
      </c>
      <c r="H120" s="177" t="str">
        <f>IFERROR(Tab_Compteur_2[[#This Row],[Colonne1]]/Tab_Compteur_2[[#This Row],[Delta Jour]],"")</f>
        <v/>
      </c>
      <c r="I120" s="184" t="str">
        <f t="shared" si="2"/>
        <v/>
      </c>
      <c r="J120" s="450"/>
      <c r="K120" s="70"/>
      <c r="L120" s="70"/>
      <c r="M120" s="70"/>
    </row>
    <row r="121" spans="1:13">
      <c r="A121" s="2">
        <f t="shared" si="3"/>
        <v>1</v>
      </c>
      <c r="B121" s="501"/>
      <c r="C121" s="688"/>
      <c r="D121" s="689"/>
      <c r="E121" s="519"/>
      <c r="F121" s="177" t="str">
        <f>IF(Tab_Compteur_2[[#This Row],[Fin de période]]&gt;0,IFERROR(B121-A121+1,""),"")</f>
        <v/>
      </c>
      <c r="G121" t="str">
        <f>IF(IFERROR(IF(Str_TypeDonneesCpt2=Cpt_Index,Tab_Compteur_2[[#This Row],[Index]]-E120,Tab_Compteur_2[[#This Row],[Quantité]])/Tab_Compteur_2[[#This Row],[Delta Jour]],"")&lt;0,"",IFERROR(IF(Str_TypeDonneesCpt2=Cpt_Index,Tab_Compteur_2[[#This Row],[Index]]-E120,Tab_Compteur_2[[#This Row],[Quantité]])/Tab_Compteur_2[[#This Row],[Delta Jour]],""))</f>
        <v/>
      </c>
      <c r="H121" s="177" t="str">
        <f>IFERROR(Tab_Compteur_2[[#This Row],[Colonne1]]/Tab_Compteur_2[[#This Row],[Delta Jour]],"")</f>
        <v/>
      </c>
      <c r="I121" s="184" t="str">
        <f t="shared" si="2"/>
        <v/>
      </c>
      <c r="J121" s="450"/>
      <c r="K121" s="70"/>
      <c r="L121" s="70"/>
      <c r="M121" s="70"/>
    </row>
    <row r="122" spans="1:13">
      <c r="A122" s="2">
        <f t="shared" si="3"/>
        <v>1</v>
      </c>
      <c r="B122" s="501"/>
      <c r="C122" s="688"/>
      <c r="D122" s="689"/>
      <c r="E122" s="519"/>
      <c r="F122" s="177" t="str">
        <f>IF(Tab_Compteur_2[[#This Row],[Fin de période]]&gt;0,IFERROR(B122-A122+1,""),"")</f>
        <v/>
      </c>
      <c r="G122" t="str">
        <f>IF(IFERROR(IF(Str_TypeDonneesCpt2=Cpt_Index,Tab_Compteur_2[[#This Row],[Index]]-E121,Tab_Compteur_2[[#This Row],[Quantité]])/Tab_Compteur_2[[#This Row],[Delta Jour]],"")&lt;0,"",IFERROR(IF(Str_TypeDonneesCpt2=Cpt_Index,Tab_Compteur_2[[#This Row],[Index]]-E121,Tab_Compteur_2[[#This Row],[Quantité]])/Tab_Compteur_2[[#This Row],[Delta Jour]],""))</f>
        <v/>
      </c>
      <c r="H122" s="177" t="str">
        <f>IFERROR(Tab_Compteur_2[[#This Row],[Colonne1]]/Tab_Compteur_2[[#This Row],[Delta Jour]],"")</f>
        <v/>
      </c>
      <c r="I122" s="184" t="str">
        <f t="shared" si="2"/>
        <v/>
      </c>
      <c r="J122" s="450"/>
      <c r="K122" s="70"/>
      <c r="L122" s="70"/>
      <c r="M122" s="70"/>
    </row>
    <row r="123" spans="1:13">
      <c r="A123" s="2">
        <f t="shared" si="3"/>
        <v>1</v>
      </c>
      <c r="B123" s="501"/>
      <c r="C123" s="688"/>
      <c r="D123" s="689"/>
      <c r="E123" s="519"/>
      <c r="F123" s="177" t="str">
        <f>IF(Tab_Compteur_2[[#This Row],[Fin de période]]&gt;0,IFERROR(B123-A123+1,""),"")</f>
        <v/>
      </c>
      <c r="G123" t="str">
        <f>IF(IFERROR(IF(Str_TypeDonneesCpt2=Cpt_Index,Tab_Compteur_2[[#This Row],[Index]]-E122,Tab_Compteur_2[[#This Row],[Quantité]])/Tab_Compteur_2[[#This Row],[Delta Jour]],"")&lt;0,"",IFERROR(IF(Str_TypeDonneesCpt2=Cpt_Index,Tab_Compteur_2[[#This Row],[Index]]-E122,Tab_Compteur_2[[#This Row],[Quantité]])/Tab_Compteur_2[[#This Row],[Delta Jour]],""))</f>
        <v/>
      </c>
      <c r="H123" s="177" t="str">
        <f>IFERROR(Tab_Compteur_2[[#This Row],[Colonne1]]/Tab_Compteur_2[[#This Row],[Delta Jour]],"")</f>
        <v/>
      </c>
      <c r="I123" s="184" t="str">
        <f t="shared" si="2"/>
        <v/>
      </c>
      <c r="J123" s="450"/>
      <c r="K123" s="70"/>
      <c r="L123" s="70"/>
      <c r="M123" s="70"/>
    </row>
    <row r="124" spans="1:13">
      <c r="A124" s="2">
        <f t="shared" si="3"/>
        <v>1</v>
      </c>
      <c r="B124" s="501"/>
      <c r="C124" s="688"/>
      <c r="D124" s="689"/>
      <c r="E124" s="519"/>
      <c r="F124" s="177" t="str">
        <f>IF(Tab_Compteur_2[[#This Row],[Fin de période]]&gt;0,IFERROR(B124-A124+1,""),"")</f>
        <v/>
      </c>
      <c r="G124" t="str">
        <f>IF(IFERROR(IF(Str_TypeDonneesCpt2=Cpt_Index,Tab_Compteur_2[[#This Row],[Index]]-E123,Tab_Compteur_2[[#This Row],[Quantité]])/Tab_Compteur_2[[#This Row],[Delta Jour]],"")&lt;0,"",IFERROR(IF(Str_TypeDonneesCpt2=Cpt_Index,Tab_Compteur_2[[#This Row],[Index]]-E123,Tab_Compteur_2[[#This Row],[Quantité]])/Tab_Compteur_2[[#This Row],[Delta Jour]],""))</f>
        <v/>
      </c>
      <c r="H124" s="177" t="str">
        <f>IFERROR(Tab_Compteur_2[[#This Row],[Colonne1]]/Tab_Compteur_2[[#This Row],[Delta Jour]],"")</f>
        <v/>
      </c>
      <c r="I124" s="184" t="str">
        <f t="shared" si="2"/>
        <v/>
      </c>
      <c r="J124" s="450"/>
      <c r="K124" s="70"/>
      <c r="L124" s="70"/>
      <c r="M124" s="70"/>
    </row>
    <row r="125" spans="1:13">
      <c r="A125" s="2">
        <f t="shared" si="3"/>
        <v>1</v>
      </c>
      <c r="B125" s="501"/>
      <c r="C125" s="688"/>
      <c r="D125" s="689"/>
      <c r="E125" s="519"/>
      <c r="F125" s="177" t="str">
        <f>IF(Tab_Compteur_2[[#This Row],[Fin de période]]&gt;0,IFERROR(B125-A125+1,""),"")</f>
        <v/>
      </c>
      <c r="G125" t="str">
        <f>IF(IFERROR(IF(Str_TypeDonneesCpt2=Cpt_Index,Tab_Compteur_2[[#This Row],[Index]]-E124,Tab_Compteur_2[[#This Row],[Quantité]])/Tab_Compteur_2[[#This Row],[Delta Jour]],"")&lt;0,"",IFERROR(IF(Str_TypeDonneesCpt2=Cpt_Index,Tab_Compteur_2[[#This Row],[Index]]-E124,Tab_Compteur_2[[#This Row],[Quantité]])/Tab_Compteur_2[[#This Row],[Delta Jour]],""))</f>
        <v/>
      </c>
      <c r="H125" s="177" t="str">
        <f>IFERROR(Tab_Compteur_2[[#This Row],[Colonne1]]/Tab_Compteur_2[[#This Row],[Delta Jour]],"")</f>
        <v/>
      </c>
      <c r="I125" s="184" t="str">
        <f t="shared" si="2"/>
        <v/>
      </c>
      <c r="J125" s="450"/>
      <c r="K125" s="70"/>
      <c r="L125" s="70"/>
      <c r="M125" s="70"/>
    </row>
    <row r="126" spans="1:13">
      <c r="A126" s="2">
        <f t="shared" si="3"/>
        <v>1</v>
      </c>
      <c r="B126" s="501"/>
      <c r="C126" s="688"/>
      <c r="D126" s="689"/>
      <c r="E126" s="519"/>
      <c r="F126" s="177" t="str">
        <f>IF(Tab_Compteur_2[[#This Row],[Fin de période]]&gt;0,IFERROR(B126-A126+1,""),"")</f>
        <v/>
      </c>
      <c r="G126" t="str">
        <f>IF(IFERROR(IF(Str_TypeDonneesCpt2=Cpt_Index,Tab_Compteur_2[[#This Row],[Index]]-E125,Tab_Compteur_2[[#This Row],[Quantité]])/Tab_Compteur_2[[#This Row],[Delta Jour]],"")&lt;0,"",IFERROR(IF(Str_TypeDonneesCpt2=Cpt_Index,Tab_Compteur_2[[#This Row],[Index]]-E125,Tab_Compteur_2[[#This Row],[Quantité]])/Tab_Compteur_2[[#This Row],[Delta Jour]],""))</f>
        <v/>
      </c>
      <c r="H126" s="177" t="str">
        <f>IFERROR(Tab_Compteur_2[[#This Row],[Colonne1]]/Tab_Compteur_2[[#This Row],[Delta Jour]],"")</f>
        <v/>
      </c>
      <c r="I126" s="184" t="str">
        <f t="shared" si="2"/>
        <v/>
      </c>
      <c r="J126" s="450"/>
      <c r="K126" s="70"/>
      <c r="L126" s="70"/>
      <c r="M126" s="70"/>
    </row>
    <row r="127" spans="1:13">
      <c r="A127" s="2">
        <f t="shared" si="3"/>
        <v>1</v>
      </c>
      <c r="B127" s="501"/>
      <c r="C127" s="688"/>
      <c r="D127" s="689"/>
      <c r="E127" s="519"/>
      <c r="F127" s="177" t="str">
        <f>IF(Tab_Compteur_2[[#This Row],[Fin de période]]&gt;0,IFERROR(B127-A127+1,""),"")</f>
        <v/>
      </c>
      <c r="G127" t="str">
        <f>IF(IFERROR(IF(Str_TypeDonneesCpt2=Cpt_Index,Tab_Compteur_2[[#This Row],[Index]]-E126,Tab_Compteur_2[[#This Row],[Quantité]])/Tab_Compteur_2[[#This Row],[Delta Jour]],"")&lt;0,"",IFERROR(IF(Str_TypeDonneesCpt2=Cpt_Index,Tab_Compteur_2[[#This Row],[Index]]-E126,Tab_Compteur_2[[#This Row],[Quantité]])/Tab_Compteur_2[[#This Row],[Delta Jour]],""))</f>
        <v/>
      </c>
      <c r="H127" s="177" t="str">
        <f>IFERROR(Tab_Compteur_2[[#This Row],[Colonne1]]/Tab_Compteur_2[[#This Row],[Delta Jour]],"")</f>
        <v/>
      </c>
      <c r="I127" s="184" t="str">
        <f t="shared" si="2"/>
        <v/>
      </c>
      <c r="J127" s="450"/>
      <c r="K127" s="70"/>
      <c r="L127" s="70"/>
      <c r="M127" s="70"/>
    </row>
    <row r="128" spans="1:13">
      <c r="A128" s="2">
        <f t="shared" si="3"/>
        <v>1</v>
      </c>
      <c r="B128" s="501"/>
      <c r="C128" s="688"/>
      <c r="D128" s="689"/>
      <c r="E128" s="519"/>
      <c r="F128" s="177" t="str">
        <f>IF(Tab_Compteur_2[[#This Row],[Fin de période]]&gt;0,IFERROR(B128-A128+1,""),"")</f>
        <v/>
      </c>
      <c r="G128" t="str">
        <f>IF(IFERROR(IF(Str_TypeDonneesCpt2=Cpt_Index,Tab_Compteur_2[[#This Row],[Index]]-E127,Tab_Compteur_2[[#This Row],[Quantité]])/Tab_Compteur_2[[#This Row],[Delta Jour]],"")&lt;0,"",IFERROR(IF(Str_TypeDonneesCpt2=Cpt_Index,Tab_Compteur_2[[#This Row],[Index]]-E127,Tab_Compteur_2[[#This Row],[Quantité]])/Tab_Compteur_2[[#This Row],[Delta Jour]],""))</f>
        <v/>
      </c>
      <c r="H128" s="177" t="str">
        <f>IFERROR(Tab_Compteur_2[[#This Row],[Colonne1]]/Tab_Compteur_2[[#This Row],[Delta Jour]],"")</f>
        <v/>
      </c>
      <c r="I128" s="184" t="str">
        <f t="shared" si="2"/>
        <v/>
      </c>
      <c r="J128" s="450"/>
      <c r="K128" s="70"/>
      <c r="L128" s="70"/>
      <c r="M128" s="70"/>
    </row>
    <row r="129" spans="1:13">
      <c r="A129" s="2">
        <f t="shared" si="3"/>
        <v>1</v>
      </c>
      <c r="B129" s="501"/>
      <c r="C129" s="688"/>
      <c r="D129" s="689"/>
      <c r="E129" s="519"/>
      <c r="F129" s="177" t="str">
        <f>IF(Tab_Compteur_2[[#This Row],[Fin de période]]&gt;0,IFERROR(B129-A129+1,""),"")</f>
        <v/>
      </c>
      <c r="G129" t="str">
        <f>IF(IFERROR(IF(Str_TypeDonneesCpt2=Cpt_Index,Tab_Compteur_2[[#This Row],[Index]]-E128,Tab_Compteur_2[[#This Row],[Quantité]])/Tab_Compteur_2[[#This Row],[Delta Jour]],"")&lt;0,"",IFERROR(IF(Str_TypeDonneesCpt2=Cpt_Index,Tab_Compteur_2[[#This Row],[Index]]-E128,Tab_Compteur_2[[#This Row],[Quantité]])/Tab_Compteur_2[[#This Row],[Delta Jour]],""))</f>
        <v/>
      </c>
      <c r="H129" s="177" t="str">
        <f>IFERROR(Tab_Compteur_2[[#This Row],[Colonne1]]/Tab_Compteur_2[[#This Row],[Delta Jour]],"")</f>
        <v/>
      </c>
      <c r="I129" s="184" t="str">
        <f t="shared" si="2"/>
        <v/>
      </c>
      <c r="J129" s="450"/>
      <c r="K129" s="70"/>
      <c r="L129" s="70"/>
      <c r="M129" s="70"/>
    </row>
    <row r="130" spans="1:13">
      <c r="A130" s="2">
        <f t="shared" si="3"/>
        <v>1</v>
      </c>
      <c r="B130" s="501"/>
      <c r="C130" s="688"/>
      <c r="D130" s="689"/>
      <c r="E130" s="519"/>
      <c r="F130" s="177" t="str">
        <f>IF(Tab_Compteur_2[[#This Row],[Fin de période]]&gt;0,IFERROR(B130-A130+1,""),"")</f>
        <v/>
      </c>
      <c r="G130" t="str">
        <f>IF(IFERROR(IF(Str_TypeDonneesCpt2=Cpt_Index,Tab_Compteur_2[[#This Row],[Index]]-E129,Tab_Compteur_2[[#This Row],[Quantité]])/Tab_Compteur_2[[#This Row],[Delta Jour]],"")&lt;0,"",IFERROR(IF(Str_TypeDonneesCpt2=Cpt_Index,Tab_Compteur_2[[#This Row],[Index]]-E129,Tab_Compteur_2[[#This Row],[Quantité]])/Tab_Compteur_2[[#This Row],[Delta Jour]],""))</f>
        <v/>
      </c>
      <c r="H130" s="177" t="str">
        <f>IFERROR(Tab_Compteur_2[[#This Row],[Colonne1]]/Tab_Compteur_2[[#This Row],[Delta Jour]],"")</f>
        <v/>
      </c>
      <c r="I130" s="184" t="str">
        <f t="shared" si="2"/>
        <v/>
      </c>
      <c r="J130" s="450"/>
      <c r="K130" s="70"/>
      <c r="L130" s="70"/>
      <c r="M130" s="70"/>
    </row>
    <row r="131" spans="1:13">
      <c r="A131" s="2">
        <f t="shared" si="3"/>
        <v>1</v>
      </c>
      <c r="B131" s="501"/>
      <c r="C131" s="688"/>
      <c r="D131" s="689"/>
      <c r="E131" s="519"/>
      <c r="F131" s="177" t="str">
        <f>IF(Tab_Compteur_2[[#This Row],[Fin de période]]&gt;0,IFERROR(B131-A131+1,""),"")</f>
        <v/>
      </c>
      <c r="G131" t="str">
        <f>IF(IFERROR(IF(Str_TypeDonneesCpt2=Cpt_Index,Tab_Compteur_2[[#This Row],[Index]]-E130,Tab_Compteur_2[[#This Row],[Quantité]])/Tab_Compteur_2[[#This Row],[Delta Jour]],"")&lt;0,"",IFERROR(IF(Str_TypeDonneesCpt2=Cpt_Index,Tab_Compteur_2[[#This Row],[Index]]-E130,Tab_Compteur_2[[#This Row],[Quantité]])/Tab_Compteur_2[[#This Row],[Delta Jour]],""))</f>
        <v/>
      </c>
      <c r="H131" s="177" t="str">
        <f>IFERROR(Tab_Compteur_2[[#This Row],[Colonne1]]/Tab_Compteur_2[[#This Row],[Delta Jour]],"")</f>
        <v/>
      </c>
      <c r="I131" s="184" t="str">
        <f t="shared" ref="I131:I194" si="4">G131</f>
        <v/>
      </c>
      <c r="J131" s="450"/>
      <c r="K131" s="70"/>
      <c r="L131" s="70"/>
      <c r="M131" s="70"/>
    </row>
    <row r="132" spans="1:13">
      <c r="A132" s="2">
        <f t="shared" si="3"/>
        <v>1</v>
      </c>
      <c r="B132" s="501"/>
      <c r="C132" s="688"/>
      <c r="D132" s="689"/>
      <c r="E132" s="519"/>
      <c r="F132" s="177" t="str">
        <f>IF(Tab_Compteur_2[[#This Row],[Fin de période]]&gt;0,IFERROR(B132-A132+1,""),"")</f>
        <v/>
      </c>
      <c r="G132" t="str">
        <f>IF(IFERROR(IF(Str_TypeDonneesCpt2=Cpt_Index,Tab_Compteur_2[[#This Row],[Index]]-E131,Tab_Compteur_2[[#This Row],[Quantité]])/Tab_Compteur_2[[#This Row],[Delta Jour]],"")&lt;0,"",IFERROR(IF(Str_TypeDonneesCpt2=Cpt_Index,Tab_Compteur_2[[#This Row],[Index]]-E131,Tab_Compteur_2[[#This Row],[Quantité]])/Tab_Compteur_2[[#This Row],[Delta Jour]],""))</f>
        <v/>
      </c>
      <c r="H132" s="177" t="str">
        <f>IFERROR(Tab_Compteur_2[[#This Row],[Colonne1]]/Tab_Compteur_2[[#This Row],[Delta Jour]],"")</f>
        <v/>
      </c>
      <c r="I132" s="184" t="str">
        <f t="shared" si="4"/>
        <v/>
      </c>
      <c r="J132" s="450"/>
      <c r="K132" s="70"/>
      <c r="L132" s="70"/>
      <c r="M132" s="70"/>
    </row>
    <row r="133" spans="1:13">
      <c r="A133" s="2">
        <f t="shared" si="3"/>
        <v>1</v>
      </c>
      <c r="B133" s="501"/>
      <c r="C133" s="688"/>
      <c r="D133" s="689"/>
      <c r="E133" s="519"/>
      <c r="F133" s="177" t="str">
        <f>IF(Tab_Compteur_2[[#This Row],[Fin de période]]&gt;0,IFERROR(B133-A133+1,""),"")</f>
        <v/>
      </c>
      <c r="G133" t="str">
        <f>IF(IFERROR(IF(Str_TypeDonneesCpt2=Cpt_Index,Tab_Compteur_2[[#This Row],[Index]]-E132,Tab_Compteur_2[[#This Row],[Quantité]])/Tab_Compteur_2[[#This Row],[Delta Jour]],"")&lt;0,"",IFERROR(IF(Str_TypeDonneesCpt2=Cpt_Index,Tab_Compteur_2[[#This Row],[Index]]-E132,Tab_Compteur_2[[#This Row],[Quantité]])/Tab_Compteur_2[[#This Row],[Delta Jour]],""))</f>
        <v/>
      </c>
      <c r="H133" s="177" t="str">
        <f>IFERROR(Tab_Compteur_2[[#This Row],[Colonne1]]/Tab_Compteur_2[[#This Row],[Delta Jour]],"")</f>
        <v/>
      </c>
      <c r="I133" s="184" t="str">
        <f t="shared" si="4"/>
        <v/>
      </c>
      <c r="J133" s="450"/>
      <c r="K133" s="70"/>
      <c r="L133" s="70"/>
      <c r="M133" s="70"/>
    </row>
    <row r="134" spans="1:13">
      <c r="A134" s="2">
        <f t="shared" ref="A134:A197" si="5">IFERROR(B133+1,0)</f>
        <v>1</v>
      </c>
      <c r="B134" s="501"/>
      <c r="C134" s="688"/>
      <c r="D134" s="689"/>
      <c r="E134" s="519"/>
      <c r="F134" s="177" t="str">
        <f>IF(Tab_Compteur_2[[#This Row],[Fin de période]]&gt;0,IFERROR(B134-A134+1,""),"")</f>
        <v/>
      </c>
      <c r="G134" t="str">
        <f>IF(IFERROR(IF(Str_TypeDonneesCpt2=Cpt_Index,Tab_Compteur_2[[#This Row],[Index]]-E133,Tab_Compteur_2[[#This Row],[Quantité]])/Tab_Compteur_2[[#This Row],[Delta Jour]],"")&lt;0,"",IFERROR(IF(Str_TypeDonneesCpt2=Cpt_Index,Tab_Compteur_2[[#This Row],[Index]]-E133,Tab_Compteur_2[[#This Row],[Quantité]])/Tab_Compteur_2[[#This Row],[Delta Jour]],""))</f>
        <v/>
      </c>
      <c r="H134" s="177" t="str">
        <f>IFERROR(Tab_Compteur_2[[#This Row],[Colonne1]]/Tab_Compteur_2[[#This Row],[Delta Jour]],"")</f>
        <v/>
      </c>
      <c r="I134" s="184" t="str">
        <f t="shared" si="4"/>
        <v/>
      </c>
      <c r="J134" s="450"/>
      <c r="K134" s="70"/>
      <c r="L134" s="70"/>
      <c r="M134" s="70"/>
    </row>
    <row r="135" spans="1:13">
      <c r="A135" s="2">
        <f t="shared" si="5"/>
        <v>1</v>
      </c>
      <c r="B135" s="501"/>
      <c r="C135" s="688"/>
      <c r="D135" s="689"/>
      <c r="E135" s="519"/>
      <c r="F135" s="177" t="str">
        <f>IF(Tab_Compteur_2[[#This Row],[Fin de période]]&gt;0,IFERROR(B135-A135+1,""),"")</f>
        <v/>
      </c>
      <c r="G135" t="str">
        <f>IF(IFERROR(IF(Str_TypeDonneesCpt2=Cpt_Index,Tab_Compteur_2[[#This Row],[Index]]-E134,Tab_Compteur_2[[#This Row],[Quantité]])/Tab_Compteur_2[[#This Row],[Delta Jour]],"")&lt;0,"",IFERROR(IF(Str_TypeDonneesCpt2=Cpt_Index,Tab_Compteur_2[[#This Row],[Index]]-E134,Tab_Compteur_2[[#This Row],[Quantité]])/Tab_Compteur_2[[#This Row],[Delta Jour]],""))</f>
        <v/>
      </c>
      <c r="H135" s="177" t="str">
        <f>IFERROR(Tab_Compteur_2[[#This Row],[Colonne1]]/Tab_Compteur_2[[#This Row],[Delta Jour]],"")</f>
        <v/>
      </c>
      <c r="I135" s="184" t="str">
        <f t="shared" si="4"/>
        <v/>
      </c>
      <c r="J135" s="450"/>
      <c r="K135" s="70"/>
      <c r="L135" s="70"/>
      <c r="M135" s="70"/>
    </row>
    <row r="136" spans="1:13">
      <c r="A136" s="2">
        <f t="shared" si="5"/>
        <v>1</v>
      </c>
      <c r="B136" s="501"/>
      <c r="C136" s="688"/>
      <c r="D136" s="689"/>
      <c r="E136" s="519"/>
      <c r="F136" s="177" t="str">
        <f>IF(Tab_Compteur_2[[#This Row],[Fin de période]]&gt;0,IFERROR(B136-A136+1,""),"")</f>
        <v/>
      </c>
      <c r="G136" t="str">
        <f>IF(IFERROR(IF(Str_TypeDonneesCpt2=Cpt_Index,Tab_Compteur_2[[#This Row],[Index]]-E135,Tab_Compteur_2[[#This Row],[Quantité]])/Tab_Compteur_2[[#This Row],[Delta Jour]],"")&lt;0,"",IFERROR(IF(Str_TypeDonneesCpt2=Cpt_Index,Tab_Compteur_2[[#This Row],[Index]]-E135,Tab_Compteur_2[[#This Row],[Quantité]])/Tab_Compteur_2[[#This Row],[Delta Jour]],""))</f>
        <v/>
      </c>
      <c r="H136" s="177" t="str">
        <f>IFERROR(Tab_Compteur_2[[#This Row],[Colonne1]]/Tab_Compteur_2[[#This Row],[Delta Jour]],"")</f>
        <v/>
      </c>
      <c r="I136" s="184" t="str">
        <f t="shared" si="4"/>
        <v/>
      </c>
      <c r="J136" s="450"/>
      <c r="K136" s="70"/>
      <c r="L136" s="70"/>
      <c r="M136" s="70"/>
    </row>
    <row r="137" spans="1:13">
      <c r="A137" s="2">
        <f t="shared" si="5"/>
        <v>1</v>
      </c>
      <c r="B137" s="501"/>
      <c r="C137" s="688"/>
      <c r="D137" s="689"/>
      <c r="E137" s="519"/>
      <c r="F137" s="177" t="str">
        <f>IF(Tab_Compteur_2[[#This Row],[Fin de période]]&gt;0,IFERROR(B137-A137+1,""),"")</f>
        <v/>
      </c>
      <c r="G137" t="str">
        <f>IF(IFERROR(IF(Str_TypeDonneesCpt2=Cpt_Index,Tab_Compteur_2[[#This Row],[Index]]-E136,Tab_Compteur_2[[#This Row],[Quantité]])/Tab_Compteur_2[[#This Row],[Delta Jour]],"")&lt;0,"",IFERROR(IF(Str_TypeDonneesCpt2=Cpt_Index,Tab_Compteur_2[[#This Row],[Index]]-E136,Tab_Compteur_2[[#This Row],[Quantité]])/Tab_Compteur_2[[#This Row],[Delta Jour]],""))</f>
        <v/>
      </c>
      <c r="H137" s="177" t="str">
        <f>IFERROR(Tab_Compteur_2[[#This Row],[Colonne1]]/Tab_Compteur_2[[#This Row],[Delta Jour]],"")</f>
        <v/>
      </c>
      <c r="I137" s="184" t="str">
        <f t="shared" si="4"/>
        <v/>
      </c>
      <c r="J137" s="450"/>
      <c r="K137" s="70"/>
      <c r="L137" s="70"/>
      <c r="M137" s="70"/>
    </row>
    <row r="138" spans="1:13">
      <c r="A138" s="2">
        <f t="shared" si="5"/>
        <v>1</v>
      </c>
      <c r="B138" s="501"/>
      <c r="C138" s="688"/>
      <c r="D138" s="689"/>
      <c r="E138" s="519"/>
      <c r="F138" s="177" t="str">
        <f>IF(Tab_Compteur_2[[#This Row],[Fin de période]]&gt;0,IFERROR(B138-A138+1,""),"")</f>
        <v/>
      </c>
      <c r="G138" t="str">
        <f>IF(IFERROR(IF(Str_TypeDonneesCpt2=Cpt_Index,Tab_Compteur_2[[#This Row],[Index]]-E137,Tab_Compteur_2[[#This Row],[Quantité]])/Tab_Compteur_2[[#This Row],[Delta Jour]],"")&lt;0,"",IFERROR(IF(Str_TypeDonneesCpt2=Cpt_Index,Tab_Compteur_2[[#This Row],[Index]]-E137,Tab_Compteur_2[[#This Row],[Quantité]])/Tab_Compteur_2[[#This Row],[Delta Jour]],""))</f>
        <v/>
      </c>
      <c r="H138" s="177" t="str">
        <f>IFERROR(Tab_Compteur_2[[#This Row],[Colonne1]]/Tab_Compteur_2[[#This Row],[Delta Jour]],"")</f>
        <v/>
      </c>
      <c r="I138" s="184" t="str">
        <f t="shared" si="4"/>
        <v/>
      </c>
      <c r="J138" s="450"/>
      <c r="K138" s="70"/>
      <c r="L138" s="70"/>
      <c r="M138" s="70"/>
    </row>
    <row r="139" spans="1:13">
      <c r="A139" s="2">
        <f t="shared" si="5"/>
        <v>1</v>
      </c>
      <c r="B139" s="501"/>
      <c r="C139" s="688"/>
      <c r="D139" s="689"/>
      <c r="E139" s="519"/>
      <c r="F139" s="177" t="str">
        <f>IF(Tab_Compteur_2[[#This Row],[Fin de période]]&gt;0,IFERROR(B139-A139+1,""),"")</f>
        <v/>
      </c>
      <c r="G139" t="str">
        <f>IF(IFERROR(IF(Str_TypeDonneesCpt2=Cpt_Index,Tab_Compteur_2[[#This Row],[Index]]-E138,Tab_Compteur_2[[#This Row],[Quantité]])/Tab_Compteur_2[[#This Row],[Delta Jour]],"")&lt;0,"",IFERROR(IF(Str_TypeDonneesCpt2=Cpt_Index,Tab_Compteur_2[[#This Row],[Index]]-E138,Tab_Compteur_2[[#This Row],[Quantité]])/Tab_Compteur_2[[#This Row],[Delta Jour]],""))</f>
        <v/>
      </c>
      <c r="H139" s="177" t="str">
        <f>IFERROR(Tab_Compteur_2[[#This Row],[Colonne1]]/Tab_Compteur_2[[#This Row],[Delta Jour]],"")</f>
        <v/>
      </c>
      <c r="I139" s="184" t="str">
        <f t="shared" si="4"/>
        <v/>
      </c>
      <c r="J139" s="450"/>
      <c r="K139" s="70"/>
      <c r="L139" s="70"/>
      <c r="M139" s="70"/>
    </row>
    <row r="140" spans="1:13">
      <c r="A140" s="2">
        <f t="shared" si="5"/>
        <v>1</v>
      </c>
      <c r="B140" s="501"/>
      <c r="C140" s="688"/>
      <c r="D140" s="689"/>
      <c r="E140" s="519"/>
      <c r="F140" s="177" t="str">
        <f>IF(Tab_Compteur_2[[#This Row],[Fin de période]]&gt;0,IFERROR(B140-A140+1,""),"")</f>
        <v/>
      </c>
      <c r="G140" t="str">
        <f>IF(IFERROR(IF(Str_TypeDonneesCpt2=Cpt_Index,Tab_Compteur_2[[#This Row],[Index]]-E139,Tab_Compteur_2[[#This Row],[Quantité]])/Tab_Compteur_2[[#This Row],[Delta Jour]],"")&lt;0,"",IFERROR(IF(Str_TypeDonneesCpt2=Cpt_Index,Tab_Compteur_2[[#This Row],[Index]]-E139,Tab_Compteur_2[[#This Row],[Quantité]])/Tab_Compteur_2[[#This Row],[Delta Jour]],""))</f>
        <v/>
      </c>
      <c r="H140" s="177" t="str">
        <f>IFERROR(Tab_Compteur_2[[#This Row],[Colonne1]]/Tab_Compteur_2[[#This Row],[Delta Jour]],"")</f>
        <v/>
      </c>
      <c r="I140" s="184" t="str">
        <f t="shared" si="4"/>
        <v/>
      </c>
      <c r="J140" s="450"/>
      <c r="K140" s="70"/>
      <c r="L140" s="70"/>
      <c r="M140" s="70"/>
    </row>
    <row r="141" spans="1:13">
      <c r="A141" s="2">
        <f t="shared" si="5"/>
        <v>1</v>
      </c>
      <c r="B141" s="501"/>
      <c r="C141" s="688"/>
      <c r="D141" s="689"/>
      <c r="E141" s="519"/>
      <c r="F141" s="177" t="str">
        <f>IF(Tab_Compteur_2[[#This Row],[Fin de période]]&gt;0,IFERROR(B141-A141+1,""),"")</f>
        <v/>
      </c>
      <c r="G141" t="str">
        <f>IF(IFERROR(IF(Str_TypeDonneesCpt2=Cpt_Index,Tab_Compteur_2[[#This Row],[Index]]-E140,Tab_Compteur_2[[#This Row],[Quantité]])/Tab_Compteur_2[[#This Row],[Delta Jour]],"")&lt;0,"",IFERROR(IF(Str_TypeDonneesCpt2=Cpt_Index,Tab_Compteur_2[[#This Row],[Index]]-E140,Tab_Compteur_2[[#This Row],[Quantité]])/Tab_Compteur_2[[#This Row],[Delta Jour]],""))</f>
        <v/>
      </c>
      <c r="H141" s="177" t="str">
        <f>IFERROR(Tab_Compteur_2[[#This Row],[Colonne1]]/Tab_Compteur_2[[#This Row],[Delta Jour]],"")</f>
        <v/>
      </c>
      <c r="I141" s="184" t="str">
        <f t="shared" si="4"/>
        <v/>
      </c>
      <c r="J141" s="450"/>
      <c r="K141" s="70"/>
      <c r="L141" s="70"/>
      <c r="M141" s="70"/>
    </row>
    <row r="142" spans="1:13">
      <c r="A142" s="2">
        <f t="shared" si="5"/>
        <v>1</v>
      </c>
      <c r="B142" s="501"/>
      <c r="C142" s="688"/>
      <c r="D142" s="689"/>
      <c r="E142" s="519"/>
      <c r="F142" s="177" t="str">
        <f>IF(Tab_Compteur_2[[#This Row],[Fin de période]]&gt;0,IFERROR(B142-A142+1,""),"")</f>
        <v/>
      </c>
      <c r="G142" t="str">
        <f>IF(IFERROR(IF(Str_TypeDonneesCpt2=Cpt_Index,Tab_Compteur_2[[#This Row],[Index]]-E141,Tab_Compteur_2[[#This Row],[Quantité]])/Tab_Compteur_2[[#This Row],[Delta Jour]],"")&lt;0,"",IFERROR(IF(Str_TypeDonneesCpt2=Cpt_Index,Tab_Compteur_2[[#This Row],[Index]]-E141,Tab_Compteur_2[[#This Row],[Quantité]])/Tab_Compteur_2[[#This Row],[Delta Jour]],""))</f>
        <v/>
      </c>
      <c r="H142" s="177" t="str">
        <f>IFERROR(Tab_Compteur_2[[#This Row],[Colonne1]]/Tab_Compteur_2[[#This Row],[Delta Jour]],"")</f>
        <v/>
      </c>
      <c r="I142" s="184" t="str">
        <f t="shared" si="4"/>
        <v/>
      </c>
      <c r="J142" s="450"/>
      <c r="K142" s="70"/>
      <c r="L142" s="70"/>
      <c r="M142" s="70"/>
    </row>
    <row r="143" spans="1:13">
      <c r="A143" s="2">
        <f t="shared" si="5"/>
        <v>1</v>
      </c>
      <c r="B143" s="501"/>
      <c r="C143" s="688"/>
      <c r="D143" s="689"/>
      <c r="E143" s="519"/>
      <c r="F143" s="177" t="str">
        <f>IF(Tab_Compteur_2[[#This Row],[Fin de période]]&gt;0,IFERROR(B143-A143+1,""),"")</f>
        <v/>
      </c>
      <c r="G143" t="str">
        <f>IF(IFERROR(IF(Str_TypeDonneesCpt2=Cpt_Index,Tab_Compteur_2[[#This Row],[Index]]-E142,Tab_Compteur_2[[#This Row],[Quantité]])/Tab_Compteur_2[[#This Row],[Delta Jour]],"")&lt;0,"",IFERROR(IF(Str_TypeDonneesCpt2=Cpt_Index,Tab_Compteur_2[[#This Row],[Index]]-E142,Tab_Compteur_2[[#This Row],[Quantité]])/Tab_Compteur_2[[#This Row],[Delta Jour]],""))</f>
        <v/>
      </c>
      <c r="H143" s="177" t="str">
        <f>IFERROR(Tab_Compteur_2[[#This Row],[Colonne1]]/Tab_Compteur_2[[#This Row],[Delta Jour]],"")</f>
        <v/>
      </c>
      <c r="I143" s="184" t="str">
        <f t="shared" si="4"/>
        <v/>
      </c>
      <c r="J143" s="450"/>
      <c r="K143" s="70"/>
      <c r="L143" s="70"/>
      <c r="M143" s="70"/>
    </row>
    <row r="144" spans="1:13">
      <c r="A144" s="2">
        <f t="shared" si="5"/>
        <v>1</v>
      </c>
      <c r="B144" s="501"/>
      <c r="C144" s="688"/>
      <c r="D144" s="689"/>
      <c r="E144" s="519"/>
      <c r="F144" s="177" t="str">
        <f>IF(Tab_Compteur_2[[#This Row],[Fin de période]]&gt;0,IFERROR(B144-A144+1,""),"")</f>
        <v/>
      </c>
      <c r="G144" t="str">
        <f>IF(IFERROR(IF(Str_TypeDonneesCpt2=Cpt_Index,Tab_Compteur_2[[#This Row],[Index]]-E143,Tab_Compteur_2[[#This Row],[Quantité]])/Tab_Compteur_2[[#This Row],[Delta Jour]],"")&lt;0,"",IFERROR(IF(Str_TypeDonneesCpt2=Cpt_Index,Tab_Compteur_2[[#This Row],[Index]]-E143,Tab_Compteur_2[[#This Row],[Quantité]])/Tab_Compteur_2[[#This Row],[Delta Jour]],""))</f>
        <v/>
      </c>
      <c r="H144" s="177" t="str">
        <f>IFERROR(Tab_Compteur_2[[#This Row],[Colonne1]]/Tab_Compteur_2[[#This Row],[Delta Jour]],"")</f>
        <v/>
      </c>
      <c r="I144" s="184" t="str">
        <f t="shared" si="4"/>
        <v/>
      </c>
      <c r="J144" s="450"/>
      <c r="K144" s="70"/>
      <c r="L144" s="70"/>
      <c r="M144" s="70"/>
    </row>
    <row r="145" spans="1:13">
      <c r="A145" s="2">
        <f t="shared" si="5"/>
        <v>1</v>
      </c>
      <c r="B145" s="501"/>
      <c r="C145" s="688"/>
      <c r="D145" s="689"/>
      <c r="E145" s="519"/>
      <c r="F145" s="177" t="str">
        <f>IF(Tab_Compteur_2[[#This Row],[Fin de période]]&gt;0,IFERROR(B145-A145+1,""),"")</f>
        <v/>
      </c>
      <c r="G145" t="str">
        <f>IF(IFERROR(IF(Str_TypeDonneesCpt2=Cpt_Index,Tab_Compteur_2[[#This Row],[Index]]-E144,Tab_Compteur_2[[#This Row],[Quantité]])/Tab_Compteur_2[[#This Row],[Delta Jour]],"")&lt;0,"",IFERROR(IF(Str_TypeDonneesCpt2=Cpt_Index,Tab_Compteur_2[[#This Row],[Index]]-E144,Tab_Compteur_2[[#This Row],[Quantité]])/Tab_Compteur_2[[#This Row],[Delta Jour]],""))</f>
        <v/>
      </c>
      <c r="H145" s="177" t="str">
        <f>IFERROR(Tab_Compteur_2[[#This Row],[Colonne1]]/Tab_Compteur_2[[#This Row],[Delta Jour]],"")</f>
        <v/>
      </c>
      <c r="I145" s="184" t="str">
        <f t="shared" si="4"/>
        <v/>
      </c>
      <c r="J145" s="450"/>
      <c r="K145" s="70"/>
      <c r="L145" s="70"/>
      <c r="M145" s="70"/>
    </row>
    <row r="146" spans="1:13">
      <c r="A146" s="2">
        <f t="shared" si="5"/>
        <v>1</v>
      </c>
      <c r="B146" s="501"/>
      <c r="C146" s="688"/>
      <c r="D146" s="689"/>
      <c r="E146" s="519"/>
      <c r="F146" s="177" t="str">
        <f>IF(Tab_Compteur_2[[#This Row],[Fin de période]]&gt;0,IFERROR(B146-A146+1,""),"")</f>
        <v/>
      </c>
      <c r="G146" t="str">
        <f>IF(IFERROR(IF(Str_TypeDonneesCpt2=Cpt_Index,Tab_Compteur_2[[#This Row],[Index]]-E145,Tab_Compteur_2[[#This Row],[Quantité]])/Tab_Compteur_2[[#This Row],[Delta Jour]],"")&lt;0,"",IFERROR(IF(Str_TypeDonneesCpt2=Cpt_Index,Tab_Compteur_2[[#This Row],[Index]]-E145,Tab_Compteur_2[[#This Row],[Quantité]])/Tab_Compteur_2[[#This Row],[Delta Jour]],""))</f>
        <v/>
      </c>
      <c r="H146" s="177" t="str">
        <f>IFERROR(Tab_Compteur_2[[#This Row],[Colonne1]]/Tab_Compteur_2[[#This Row],[Delta Jour]],"")</f>
        <v/>
      </c>
      <c r="I146" s="184" t="str">
        <f t="shared" si="4"/>
        <v/>
      </c>
      <c r="J146" s="450"/>
      <c r="K146" s="70"/>
      <c r="L146" s="70"/>
      <c r="M146" s="70"/>
    </row>
    <row r="147" spans="1:13">
      <c r="A147" s="2">
        <f t="shared" si="5"/>
        <v>1</v>
      </c>
      <c r="B147" s="501"/>
      <c r="C147" s="688"/>
      <c r="D147" s="689"/>
      <c r="E147" s="519"/>
      <c r="F147" s="177" t="str">
        <f>IF(Tab_Compteur_2[[#This Row],[Fin de période]]&gt;0,IFERROR(B147-A147+1,""),"")</f>
        <v/>
      </c>
      <c r="G147" t="str">
        <f>IF(IFERROR(IF(Str_TypeDonneesCpt2=Cpt_Index,Tab_Compteur_2[[#This Row],[Index]]-E146,Tab_Compteur_2[[#This Row],[Quantité]])/Tab_Compteur_2[[#This Row],[Delta Jour]],"")&lt;0,"",IFERROR(IF(Str_TypeDonneesCpt2=Cpt_Index,Tab_Compteur_2[[#This Row],[Index]]-E146,Tab_Compteur_2[[#This Row],[Quantité]])/Tab_Compteur_2[[#This Row],[Delta Jour]],""))</f>
        <v/>
      </c>
      <c r="H147" s="177" t="str">
        <f>IFERROR(Tab_Compteur_2[[#This Row],[Colonne1]]/Tab_Compteur_2[[#This Row],[Delta Jour]],"")</f>
        <v/>
      </c>
      <c r="I147" s="184" t="str">
        <f t="shared" si="4"/>
        <v/>
      </c>
      <c r="J147" s="450"/>
      <c r="K147" s="70"/>
      <c r="L147" s="70"/>
      <c r="M147" s="70"/>
    </row>
    <row r="148" spans="1:13">
      <c r="A148" s="2">
        <f t="shared" si="5"/>
        <v>1</v>
      </c>
      <c r="B148" s="501"/>
      <c r="C148" s="684"/>
      <c r="D148" s="689"/>
      <c r="E148" s="519"/>
      <c r="F148" s="177" t="str">
        <f>IF(Tab_Compteur_2[[#This Row],[Fin de période]]&gt;0,IFERROR(B148-A148+1,""),"")</f>
        <v/>
      </c>
      <c r="G148" t="str">
        <f>IF(IFERROR(IF(Str_TypeDonneesCpt2=Cpt_Index,Tab_Compteur_2[[#This Row],[Index]]-E147,Tab_Compteur_2[[#This Row],[Quantité]])/Tab_Compteur_2[[#This Row],[Delta Jour]],"")&lt;0,"",IFERROR(IF(Str_TypeDonneesCpt2=Cpt_Index,Tab_Compteur_2[[#This Row],[Index]]-E147,Tab_Compteur_2[[#This Row],[Quantité]])/Tab_Compteur_2[[#This Row],[Delta Jour]],""))</f>
        <v/>
      </c>
      <c r="H148" s="177" t="str">
        <f>IFERROR(Tab_Compteur_2[[#This Row],[Colonne1]]/Tab_Compteur_2[[#This Row],[Delta Jour]],"")</f>
        <v/>
      </c>
      <c r="I148" s="184" t="str">
        <f t="shared" si="4"/>
        <v/>
      </c>
      <c r="J148" s="450"/>
      <c r="K148" s="70"/>
      <c r="L148" s="70"/>
      <c r="M148" s="70"/>
    </row>
    <row r="149" spans="1:13">
      <c r="A149" s="2">
        <f t="shared" si="5"/>
        <v>1</v>
      </c>
      <c r="B149" s="501"/>
      <c r="C149" s="684"/>
      <c r="D149" s="689"/>
      <c r="E149" s="519"/>
      <c r="F149" s="177" t="str">
        <f>IF(Tab_Compteur_2[[#This Row],[Fin de période]]&gt;0,IFERROR(B149-A149+1,""),"")</f>
        <v/>
      </c>
      <c r="G149" t="str">
        <f>IF(IFERROR(IF(Str_TypeDonneesCpt2=Cpt_Index,Tab_Compteur_2[[#This Row],[Index]]-E148,Tab_Compteur_2[[#This Row],[Quantité]])/Tab_Compteur_2[[#This Row],[Delta Jour]],"")&lt;0,"",IFERROR(IF(Str_TypeDonneesCpt2=Cpt_Index,Tab_Compteur_2[[#This Row],[Index]]-E148,Tab_Compteur_2[[#This Row],[Quantité]])/Tab_Compteur_2[[#This Row],[Delta Jour]],""))</f>
        <v/>
      </c>
      <c r="H149" s="177" t="str">
        <f>IFERROR(Tab_Compteur_2[[#This Row],[Colonne1]]/Tab_Compteur_2[[#This Row],[Delta Jour]],"")</f>
        <v/>
      </c>
      <c r="I149" s="184" t="str">
        <f t="shared" si="4"/>
        <v/>
      </c>
      <c r="J149" s="450"/>
      <c r="K149" s="70"/>
      <c r="L149" s="70"/>
      <c r="M149" s="70"/>
    </row>
    <row r="150" spans="1:13">
      <c r="A150" s="2">
        <f t="shared" si="5"/>
        <v>1</v>
      </c>
      <c r="B150" s="501"/>
      <c r="C150" s="684"/>
      <c r="D150" s="689"/>
      <c r="E150" s="519"/>
      <c r="F150" s="177" t="str">
        <f>IF(Tab_Compteur_2[[#This Row],[Fin de période]]&gt;0,IFERROR(B150-A150+1,""),"")</f>
        <v/>
      </c>
      <c r="G150" t="str">
        <f>IF(IFERROR(IF(Str_TypeDonneesCpt2=Cpt_Index,Tab_Compteur_2[[#This Row],[Index]]-E149,Tab_Compteur_2[[#This Row],[Quantité]])/Tab_Compteur_2[[#This Row],[Delta Jour]],"")&lt;0,"",IFERROR(IF(Str_TypeDonneesCpt2=Cpt_Index,Tab_Compteur_2[[#This Row],[Index]]-E149,Tab_Compteur_2[[#This Row],[Quantité]])/Tab_Compteur_2[[#This Row],[Delta Jour]],""))</f>
        <v/>
      </c>
      <c r="H150" s="177" t="str">
        <f>IFERROR(Tab_Compteur_2[[#This Row],[Colonne1]]/Tab_Compteur_2[[#This Row],[Delta Jour]],"")</f>
        <v/>
      </c>
      <c r="I150" s="184" t="str">
        <f t="shared" si="4"/>
        <v/>
      </c>
      <c r="J150" s="450"/>
      <c r="K150" s="70"/>
      <c r="L150" s="70"/>
      <c r="M150" s="70"/>
    </row>
    <row r="151" spans="1:13">
      <c r="A151" s="2">
        <f t="shared" si="5"/>
        <v>1</v>
      </c>
      <c r="B151" s="501"/>
      <c r="C151" s="684"/>
      <c r="D151" s="689"/>
      <c r="E151" s="519"/>
      <c r="F151" s="177" t="str">
        <f>IF(Tab_Compteur_2[[#This Row],[Fin de période]]&gt;0,IFERROR(B151-A151+1,""),"")</f>
        <v/>
      </c>
      <c r="G151" t="str">
        <f>IF(IFERROR(IF(Str_TypeDonneesCpt2=Cpt_Index,Tab_Compteur_2[[#This Row],[Index]]-E150,Tab_Compteur_2[[#This Row],[Quantité]])/Tab_Compteur_2[[#This Row],[Delta Jour]],"")&lt;0,"",IFERROR(IF(Str_TypeDonneesCpt2=Cpt_Index,Tab_Compteur_2[[#This Row],[Index]]-E150,Tab_Compteur_2[[#This Row],[Quantité]])/Tab_Compteur_2[[#This Row],[Delta Jour]],""))</f>
        <v/>
      </c>
      <c r="H151" s="177" t="str">
        <f>IFERROR(Tab_Compteur_2[[#This Row],[Colonne1]]/Tab_Compteur_2[[#This Row],[Delta Jour]],"")</f>
        <v/>
      </c>
      <c r="I151" s="184" t="str">
        <f t="shared" si="4"/>
        <v/>
      </c>
      <c r="J151" s="450"/>
      <c r="K151" s="70"/>
      <c r="L151" s="70"/>
      <c r="M151" s="70"/>
    </row>
    <row r="152" spans="1:13">
      <c r="A152" s="2">
        <f t="shared" si="5"/>
        <v>1</v>
      </c>
      <c r="B152" s="501"/>
      <c r="C152" s="684"/>
      <c r="D152" s="689"/>
      <c r="E152" s="519"/>
      <c r="F152" s="177" t="str">
        <f>IF(Tab_Compteur_2[[#This Row],[Fin de période]]&gt;0,IFERROR(B152-A152+1,""),"")</f>
        <v/>
      </c>
      <c r="G152" t="str">
        <f>IF(IFERROR(IF(Str_TypeDonneesCpt2=Cpt_Index,Tab_Compteur_2[[#This Row],[Index]]-E151,Tab_Compteur_2[[#This Row],[Quantité]])/Tab_Compteur_2[[#This Row],[Delta Jour]],"")&lt;0,"",IFERROR(IF(Str_TypeDonneesCpt2=Cpt_Index,Tab_Compteur_2[[#This Row],[Index]]-E151,Tab_Compteur_2[[#This Row],[Quantité]])/Tab_Compteur_2[[#This Row],[Delta Jour]],""))</f>
        <v/>
      </c>
      <c r="H152" s="177" t="str">
        <f>IFERROR(Tab_Compteur_2[[#This Row],[Colonne1]]/Tab_Compteur_2[[#This Row],[Delta Jour]],"")</f>
        <v/>
      </c>
      <c r="I152" s="184" t="str">
        <f t="shared" si="4"/>
        <v/>
      </c>
      <c r="J152" s="450"/>
      <c r="K152" s="70"/>
      <c r="L152" s="70"/>
      <c r="M152" s="70"/>
    </row>
    <row r="153" spans="1:13">
      <c r="A153" s="2">
        <f t="shared" si="5"/>
        <v>1</v>
      </c>
      <c r="B153" s="501"/>
      <c r="C153" s="684"/>
      <c r="D153" s="689"/>
      <c r="E153" s="519"/>
      <c r="F153" s="177" t="str">
        <f>IF(Tab_Compteur_2[[#This Row],[Fin de période]]&gt;0,IFERROR(B153-A153+1,""),"")</f>
        <v/>
      </c>
      <c r="G153" t="str">
        <f>IF(IFERROR(IF(Str_TypeDonneesCpt2=Cpt_Index,Tab_Compteur_2[[#This Row],[Index]]-E152,Tab_Compteur_2[[#This Row],[Quantité]])/Tab_Compteur_2[[#This Row],[Delta Jour]],"")&lt;0,"",IFERROR(IF(Str_TypeDonneesCpt2=Cpt_Index,Tab_Compteur_2[[#This Row],[Index]]-E152,Tab_Compteur_2[[#This Row],[Quantité]])/Tab_Compteur_2[[#This Row],[Delta Jour]],""))</f>
        <v/>
      </c>
      <c r="H153" s="177" t="str">
        <f>IFERROR(Tab_Compteur_2[[#This Row],[Colonne1]]/Tab_Compteur_2[[#This Row],[Delta Jour]],"")</f>
        <v/>
      </c>
      <c r="I153" s="184" t="str">
        <f t="shared" si="4"/>
        <v/>
      </c>
      <c r="J153" s="450"/>
      <c r="K153" s="70"/>
      <c r="L153" s="70"/>
      <c r="M153" s="70"/>
    </row>
    <row r="154" spans="1:13">
      <c r="A154" s="2">
        <f t="shared" si="5"/>
        <v>1</v>
      </c>
      <c r="B154" s="501"/>
      <c r="C154" s="684"/>
      <c r="D154" s="689"/>
      <c r="E154" s="519"/>
      <c r="F154" s="177" t="str">
        <f>IF(Tab_Compteur_2[[#This Row],[Fin de période]]&gt;0,IFERROR(B154-A154+1,""),"")</f>
        <v/>
      </c>
      <c r="G154" t="str">
        <f>IF(IFERROR(IF(Str_TypeDonneesCpt2=Cpt_Index,Tab_Compteur_2[[#This Row],[Index]]-E153,Tab_Compteur_2[[#This Row],[Quantité]])/Tab_Compteur_2[[#This Row],[Delta Jour]],"")&lt;0,"",IFERROR(IF(Str_TypeDonneesCpt2=Cpt_Index,Tab_Compteur_2[[#This Row],[Index]]-E153,Tab_Compteur_2[[#This Row],[Quantité]])/Tab_Compteur_2[[#This Row],[Delta Jour]],""))</f>
        <v/>
      </c>
      <c r="H154" s="177" t="str">
        <f>IFERROR(Tab_Compteur_2[[#This Row],[Colonne1]]/Tab_Compteur_2[[#This Row],[Delta Jour]],"")</f>
        <v/>
      </c>
      <c r="I154" s="184" t="str">
        <f t="shared" si="4"/>
        <v/>
      </c>
      <c r="J154" s="450"/>
      <c r="K154" s="70"/>
      <c r="L154" s="70"/>
      <c r="M154" s="70"/>
    </row>
    <row r="155" spans="1:13">
      <c r="A155" s="2">
        <f t="shared" si="5"/>
        <v>1</v>
      </c>
      <c r="B155" s="501"/>
      <c r="C155" s="684"/>
      <c r="D155" s="689"/>
      <c r="E155" s="519"/>
      <c r="F155" s="177" t="str">
        <f>IF(Tab_Compteur_2[[#This Row],[Fin de période]]&gt;0,IFERROR(B155-A155+1,""),"")</f>
        <v/>
      </c>
      <c r="G155" t="str">
        <f>IF(IFERROR(IF(Str_TypeDonneesCpt2=Cpt_Index,Tab_Compteur_2[[#This Row],[Index]]-E154,Tab_Compteur_2[[#This Row],[Quantité]])/Tab_Compteur_2[[#This Row],[Delta Jour]],"")&lt;0,"",IFERROR(IF(Str_TypeDonneesCpt2=Cpt_Index,Tab_Compteur_2[[#This Row],[Index]]-E154,Tab_Compteur_2[[#This Row],[Quantité]])/Tab_Compteur_2[[#This Row],[Delta Jour]],""))</f>
        <v/>
      </c>
      <c r="H155" s="177" t="str">
        <f>IFERROR(Tab_Compteur_2[[#This Row],[Colonne1]]/Tab_Compteur_2[[#This Row],[Delta Jour]],"")</f>
        <v/>
      </c>
      <c r="I155" s="184" t="str">
        <f t="shared" si="4"/>
        <v/>
      </c>
      <c r="J155" s="450"/>
      <c r="K155" s="70"/>
      <c r="L155" s="70"/>
      <c r="M155" s="70"/>
    </row>
    <row r="156" spans="1:13">
      <c r="A156" s="2">
        <f t="shared" si="5"/>
        <v>1</v>
      </c>
      <c r="B156" s="501"/>
      <c r="C156" s="684"/>
      <c r="D156" s="689"/>
      <c r="E156" s="519"/>
      <c r="F156" s="177" t="str">
        <f>IF(Tab_Compteur_2[[#This Row],[Fin de période]]&gt;0,IFERROR(B156-A156+1,""),"")</f>
        <v/>
      </c>
      <c r="G156" t="str">
        <f>IF(IFERROR(IF(Str_TypeDonneesCpt2=Cpt_Index,Tab_Compteur_2[[#This Row],[Index]]-E155,Tab_Compteur_2[[#This Row],[Quantité]])/Tab_Compteur_2[[#This Row],[Delta Jour]],"")&lt;0,"",IFERROR(IF(Str_TypeDonneesCpt2=Cpt_Index,Tab_Compteur_2[[#This Row],[Index]]-E155,Tab_Compteur_2[[#This Row],[Quantité]])/Tab_Compteur_2[[#This Row],[Delta Jour]],""))</f>
        <v/>
      </c>
      <c r="H156" s="177" t="str">
        <f>IFERROR(Tab_Compteur_2[[#This Row],[Colonne1]]/Tab_Compteur_2[[#This Row],[Delta Jour]],"")</f>
        <v/>
      </c>
      <c r="I156" s="184" t="str">
        <f t="shared" si="4"/>
        <v/>
      </c>
      <c r="J156" s="450"/>
      <c r="K156" s="70"/>
      <c r="L156" s="70"/>
      <c r="M156" s="70"/>
    </row>
    <row r="157" spans="1:13">
      <c r="A157" s="2">
        <f t="shared" si="5"/>
        <v>1</v>
      </c>
      <c r="B157" s="501"/>
      <c r="C157" s="684"/>
      <c r="D157" s="689"/>
      <c r="E157" s="519"/>
      <c r="F157" s="177" t="str">
        <f>IF(Tab_Compteur_2[[#This Row],[Fin de période]]&gt;0,IFERROR(B157-A157+1,""),"")</f>
        <v/>
      </c>
      <c r="G157" t="str">
        <f>IF(IFERROR(IF(Str_TypeDonneesCpt2=Cpt_Index,Tab_Compteur_2[[#This Row],[Index]]-E156,Tab_Compteur_2[[#This Row],[Quantité]])/Tab_Compteur_2[[#This Row],[Delta Jour]],"")&lt;0,"",IFERROR(IF(Str_TypeDonneesCpt2=Cpt_Index,Tab_Compteur_2[[#This Row],[Index]]-E156,Tab_Compteur_2[[#This Row],[Quantité]])/Tab_Compteur_2[[#This Row],[Delta Jour]],""))</f>
        <v/>
      </c>
      <c r="H157" s="177" t="str">
        <f>IFERROR(Tab_Compteur_2[[#This Row],[Colonne1]]/Tab_Compteur_2[[#This Row],[Delta Jour]],"")</f>
        <v/>
      </c>
      <c r="I157" s="184" t="str">
        <f t="shared" si="4"/>
        <v/>
      </c>
      <c r="J157" s="450"/>
      <c r="K157" s="70"/>
      <c r="L157" s="70"/>
      <c r="M157" s="70"/>
    </row>
    <row r="158" spans="1:13">
      <c r="A158" s="2">
        <f t="shared" si="5"/>
        <v>1</v>
      </c>
      <c r="B158" s="501"/>
      <c r="C158" s="684"/>
      <c r="D158" s="689"/>
      <c r="E158" s="519"/>
      <c r="F158" s="177" t="str">
        <f>IF(Tab_Compteur_2[[#This Row],[Fin de période]]&gt;0,IFERROR(B158-A158+1,""),"")</f>
        <v/>
      </c>
      <c r="G158" t="str">
        <f>IF(IFERROR(IF(Str_TypeDonneesCpt2=Cpt_Index,Tab_Compteur_2[[#This Row],[Index]]-E157,Tab_Compteur_2[[#This Row],[Quantité]])/Tab_Compteur_2[[#This Row],[Delta Jour]],"")&lt;0,"",IFERROR(IF(Str_TypeDonneesCpt2=Cpt_Index,Tab_Compteur_2[[#This Row],[Index]]-E157,Tab_Compteur_2[[#This Row],[Quantité]])/Tab_Compteur_2[[#This Row],[Delta Jour]],""))</f>
        <v/>
      </c>
      <c r="H158" s="177" t="str">
        <f>IFERROR(Tab_Compteur_2[[#This Row],[Colonne1]]/Tab_Compteur_2[[#This Row],[Delta Jour]],"")</f>
        <v/>
      </c>
      <c r="I158" s="184" t="str">
        <f t="shared" si="4"/>
        <v/>
      </c>
      <c r="J158" s="450"/>
      <c r="K158" s="70"/>
      <c r="L158" s="70"/>
      <c r="M158" s="70"/>
    </row>
    <row r="159" spans="1:13">
      <c r="A159" s="2">
        <f t="shared" si="5"/>
        <v>1</v>
      </c>
      <c r="B159" s="501"/>
      <c r="C159" s="688"/>
      <c r="D159" s="689"/>
      <c r="E159" s="519"/>
      <c r="F159" s="177" t="str">
        <f>IF(Tab_Compteur_2[[#This Row],[Fin de période]]&gt;0,IFERROR(B159-A159+1,""),"")</f>
        <v/>
      </c>
      <c r="G159" t="str">
        <f>IF(IFERROR(IF(Str_TypeDonneesCpt2=Cpt_Index,Tab_Compteur_2[[#This Row],[Index]]-E158,Tab_Compteur_2[[#This Row],[Quantité]])/Tab_Compteur_2[[#This Row],[Delta Jour]],"")&lt;0,"",IFERROR(IF(Str_TypeDonneesCpt2=Cpt_Index,Tab_Compteur_2[[#This Row],[Index]]-E158,Tab_Compteur_2[[#This Row],[Quantité]])/Tab_Compteur_2[[#This Row],[Delta Jour]],""))</f>
        <v/>
      </c>
      <c r="H159" s="177" t="str">
        <f>IFERROR(Tab_Compteur_2[[#This Row],[Colonne1]]/Tab_Compteur_2[[#This Row],[Delta Jour]],"")</f>
        <v/>
      </c>
      <c r="I159" s="184" t="str">
        <f t="shared" si="4"/>
        <v/>
      </c>
      <c r="J159" s="450"/>
      <c r="K159" s="70"/>
      <c r="L159" s="70"/>
      <c r="M159" s="70"/>
    </row>
    <row r="160" spans="1:13">
      <c r="A160" s="2">
        <f t="shared" si="5"/>
        <v>1</v>
      </c>
      <c r="B160" s="501"/>
      <c r="C160" s="688"/>
      <c r="D160" s="689"/>
      <c r="E160" s="519"/>
      <c r="F160" s="177" t="str">
        <f>IF(Tab_Compteur_2[[#This Row],[Fin de période]]&gt;0,IFERROR(B160-A160+1,""),"")</f>
        <v/>
      </c>
      <c r="G160" t="str">
        <f>IF(IFERROR(IF(Str_TypeDonneesCpt2=Cpt_Index,Tab_Compteur_2[[#This Row],[Index]]-E159,Tab_Compteur_2[[#This Row],[Quantité]])/Tab_Compteur_2[[#This Row],[Delta Jour]],"")&lt;0,"",IFERROR(IF(Str_TypeDonneesCpt2=Cpt_Index,Tab_Compteur_2[[#This Row],[Index]]-E159,Tab_Compteur_2[[#This Row],[Quantité]])/Tab_Compteur_2[[#This Row],[Delta Jour]],""))</f>
        <v/>
      </c>
      <c r="H160" s="177" t="str">
        <f>IFERROR(Tab_Compteur_2[[#This Row],[Colonne1]]/Tab_Compteur_2[[#This Row],[Delta Jour]],"")</f>
        <v/>
      </c>
      <c r="I160" s="184" t="str">
        <f t="shared" si="4"/>
        <v/>
      </c>
      <c r="J160" s="450"/>
      <c r="K160" s="70"/>
      <c r="L160" s="70"/>
      <c r="M160" s="70"/>
    </row>
    <row r="161" spans="1:13">
      <c r="A161" s="2">
        <f t="shared" si="5"/>
        <v>1</v>
      </c>
      <c r="B161" s="501"/>
      <c r="C161" s="688"/>
      <c r="D161" s="689"/>
      <c r="E161" s="519"/>
      <c r="F161" s="177" t="str">
        <f>IF(Tab_Compteur_2[[#This Row],[Fin de période]]&gt;0,IFERROR(B161-A161+1,""),"")</f>
        <v/>
      </c>
      <c r="G161" t="str">
        <f>IF(IFERROR(IF(Str_TypeDonneesCpt2=Cpt_Index,Tab_Compteur_2[[#This Row],[Index]]-E160,Tab_Compteur_2[[#This Row],[Quantité]])/Tab_Compteur_2[[#This Row],[Delta Jour]],"")&lt;0,"",IFERROR(IF(Str_TypeDonneesCpt2=Cpt_Index,Tab_Compteur_2[[#This Row],[Index]]-E160,Tab_Compteur_2[[#This Row],[Quantité]])/Tab_Compteur_2[[#This Row],[Delta Jour]],""))</f>
        <v/>
      </c>
      <c r="H161" s="177" t="str">
        <f>IFERROR(Tab_Compteur_2[[#This Row],[Colonne1]]/Tab_Compteur_2[[#This Row],[Delta Jour]],"")</f>
        <v/>
      </c>
      <c r="I161" s="184" t="str">
        <f t="shared" si="4"/>
        <v/>
      </c>
      <c r="J161" s="450"/>
      <c r="K161" s="70"/>
      <c r="L161" s="70"/>
      <c r="M161" s="70"/>
    </row>
    <row r="162" spans="1:13">
      <c r="A162" s="2">
        <f t="shared" si="5"/>
        <v>1</v>
      </c>
      <c r="B162" s="501"/>
      <c r="C162" s="688"/>
      <c r="D162" s="689"/>
      <c r="E162" s="519"/>
      <c r="F162" s="177" t="str">
        <f>IF(Tab_Compteur_2[[#This Row],[Fin de période]]&gt;0,IFERROR(B162-A162+1,""),"")</f>
        <v/>
      </c>
      <c r="G162" t="str">
        <f>IF(IFERROR(IF(Str_TypeDonneesCpt2=Cpt_Index,Tab_Compteur_2[[#This Row],[Index]]-E161,Tab_Compteur_2[[#This Row],[Quantité]])/Tab_Compteur_2[[#This Row],[Delta Jour]],"")&lt;0,"",IFERROR(IF(Str_TypeDonneesCpt2=Cpt_Index,Tab_Compteur_2[[#This Row],[Index]]-E161,Tab_Compteur_2[[#This Row],[Quantité]])/Tab_Compteur_2[[#This Row],[Delta Jour]],""))</f>
        <v/>
      </c>
      <c r="H162" s="177" t="str">
        <f>IFERROR(Tab_Compteur_2[[#This Row],[Colonne1]]/Tab_Compteur_2[[#This Row],[Delta Jour]],"")</f>
        <v/>
      </c>
      <c r="I162" s="184" t="str">
        <f t="shared" si="4"/>
        <v/>
      </c>
      <c r="J162" s="450"/>
      <c r="K162" s="70"/>
      <c r="L162" s="70"/>
      <c r="M162" s="70"/>
    </row>
    <row r="163" spans="1:13">
      <c r="A163" s="2">
        <f t="shared" si="5"/>
        <v>1</v>
      </c>
      <c r="B163" s="501"/>
      <c r="C163" s="688"/>
      <c r="D163" s="689"/>
      <c r="E163" s="519"/>
      <c r="F163" s="177" t="str">
        <f>IF(Tab_Compteur_2[[#This Row],[Fin de période]]&gt;0,IFERROR(B163-A163+1,""),"")</f>
        <v/>
      </c>
      <c r="G163" t="str">
        <f>IF(IFERROR(IF(Str_TypeDonneesCpt2=Cpt_Index,Tab_Compteur_2[[#This Row],[Index]]-E162,Tab_Compteur_2[[#This Row],[Quantité]])/Tab_Compteur_2[[#This Row],[Delta Jour]],"")&lt;0,"",IFERROR(IF(Str_TypeDonneesCpt2=Cpt_Index,Tab_Compteur_2[[#This Row],[Index]]-E162,Tab_Compteur_2[[#This Row],[Quantité]])/Tab_Compteur_2[[#This Row],[Delta Jour]],""))</f>
        <v/>
      </c>
      <c r="H163" s="177" t="str">
        <f>IFERROR(Tab_Compteur_2[[#This Row],[Colonne1]]/Tab_Compteur_2[[#This Row],[Delta Jour]],"")</f>
        <v/>
      </c>
      <c r="I163" s="184" t="str">
        <f t="shared" si="4"/>
        <v/>
      </c>
      <c r="J163" s="450"/>
      <c r="K163" s="70"/>
      <c r="L163" s="70"/>
      <c r="M163" s="70"/>
    </row>
    <row r="164" spans="1:13">
      <c r="A164" s="2">
        <f t="shared" si="5"/>
        <v>1</v>
      </c>
      <c r="B164" s="501"/>
      <c r="C164" s="688"/>
      <c r="D164" s="689"/>
      <c r="E164" s="519"/>
      <c r="F164" s="177" t="str">
        <f>IF(Tab_Compteur_2[[#This Row],[Fin de période]]&gt;0,IFERROR(B164-A164+1,""),"")</f>
        <v/>
      </c>
      <c r="G164" t="str">
        <f>IF(IFERROR(IF(Str_TypeDonneesCpt2=Cpt_Index,Tab_Compteur_2[[#This Row],[Index]]-E163,Tab_Compteur_2[[#This Row],[Quantité]])/Tab_Compteur_2[[#This Row],[Delta Jour]],"")&lt;0,"",IFERROR(IF(Str_TypeDonneesCpt2=Cpt_Index,Tab_Compteur_2[[#This Row],[Index]]-E163,Tab_Compteur_2[[#This Row],[Quantité]])/Tab_Compteur_2[[#This Row],[Delta Jour]],""))</f>
        <v/>
      </c>
      <c r="H164" s="177" t="str">
        <f>IFERROR(Tab_Compteur_2[[#This Row],[Colonne1]]/Tab_Compteur_2[[#This Row],[Delta Jour]],"")</f>
        <v/>
      </c>
      <c r="I164" s="184" t="str">
        <f t="shared" si="4"/>
        <v/>
      </c>
      <c r="J164" s="450"/>
      <c r="K164" s="70"/>
      <c r="L164" s="70"/>
      <c r="M164" s="70"/>
    </row>
    <row r="165" spans="1:13">
      <c r="A165" s="2">
        <f t="shared" si="5"/>
        <v>1</v>
      </c>
      <c r="B165" s="501"/>
      <c r="C165" s="688"/>
      <c r="D165" s="689"/>
      <c r="E165" s="519"/>
      <c r="F165" s="177" t="str">
        <f>IF(Tab_Compteur_2[[#This Row],[Fin de période]]&gt;0,IFERROR(B165-A165+1,""),"")</f>
        <v/>
      </c>
      <c r="G165" t="str">
        <f>IF(IFERROR(IF(Str_TypeDonneesCpt2=Cpt_Index,Tab_Compteur_2[[#This Row],[Index]]-E164,Tab_Compteur_2[[#This Row],[Quantité]])/Tab_Compteur_2[[#This Row],[Delta Jour]],"")&lt;0,"",IFERROR(IF(Str_TypeDonneesCpt2=Cpt_Index,Tab_Compteur_2[[#This Row],[Index]]-E164,Tab_Compteur_2[[#This Row],[Quantité]])/Tab_Compteur_2[[#This Row],[Delta Jour]],""))</f>
        <v/>
      </c>
      <c r="H165" s="177" t="str">
        <f>IFERROR(Tab_Compteur_2[[#This Row],[Colonne1]]/Tab_Compteur_2[[#This Row],[Delta Jour]],"")</f>
        <v/>
      </c>
      <c r="I165" s="184" t="str">
        <f t="shared" si="4"/>
        <v/>
      </c>
      <c r="J165" s="451"/>
      <c r="K165" s="70"/>
      <c r="L165" s="70"/>
      <c r="M165" s="70"/>
    </row>
    <row r="166" spans="1:13">
      <c r="A166" s="2">
        <f t="shared" si="5"/>
        <v>1</v>
      </c>
      <c r="B166" s="501"/>
      <c r="C166" s="688"/>
      <c r="D166" s="689"/>
      <c r="E166" s="519"/>
      <c r="F166" s="177" t="str">
        <f>IF(Tab_Compteur_2[[#This Row],[Fin de période]]&gt;0,IFERROR(B166-A166+1,""),"")</f>
        <v/>
      </c>
      <c r="G166" t="str">
        <f>IF(IFERROR(IF(Str_TypeDonneesCpt2=Cpt_Index,Tab_Compteur_2[[#This Row],[Index]]-E165,Tab_Compteur_2[[#This Row],[Quantité]])/Tab_Compteur_2[[#This Row],[Delta Jour]],"")&lt;0,"",IFERROR(IF(Str_TypeDonneesCpt2=Cpt_Index,Tab_Compteur_2[[#This Row],[Index]]-E165,Tab_Compteur_2[[#This Row],[Quantité]])/Tab_Compteur_2[[#This Row],[Delta Jour]],""))</f>
        <v/>
      </c>
      <c r="H166" s="177" t="str">
        <f>IFERROR(Tab_Compteur_2[[#This Row],[Colonne1]]/Tab_Compteur_2[[#This Row],[Delta Jour]],"")</f>
        <v/>
      </c>
      <c r="I166" s="184" t="str">
        <f t="shared" si="4"/>
        <v/>
      </c>
      <c r="J166" s="450"/>
      <c r="K166" s="70"/>
      <c r="L166" s="70"/>
      <c r="M166" s="70"/>
    </row>
    <row r="167" spans="1:13">
      <c r="A167" s="2">
        <f t="shared" si="5"/>
        <v>1</v>
      </c>
      <c r="B167" s="501"/>
      <c r="C167" s="688"/>
      <c r="D167" s="689"/>
      <c r="E167" s="519"/>
      <c r="F167" s="177" t="str">
        <f>IF(Tab_Compteur_2[[#This Row],[Fin de période]]&gt;0,IFERROR(B167-A167+1,""),"")</f>
        <v/>
      </c>
      <c r="G167" t="str">
        <f>IF(IFERROR(IF(Str_TypeDonneesCpt2=Cpt_Index,Tab_Compteur_2[[#This Row],[Index]]-E166,Tab_Compteur_2[[#This Row],[Quantité]])/Tab_Compteur_2[[#This Row],[Delta Jour]],"")&lt;0,"",IFERROR(IF(Str_TypeDonneesCpt2=Cpt_Index,Tab_Compteur_2[[#This Row],[Index]]-E166,Tab_Compteur_2[[#This Row],[Quantité]])/Tab_Compteur_2[[#This Row],[Delta Jour]],""))</f>
        <v/>
      </c>
      <c r="H167" s="177" t="str">
        <f>IFERROR(Tab_Compteur_2[[#This Row],[Colonne1]]/Tab_Compteur_2[[#This Row],[Delta Jour]],"")</f>
        <v/>
      </c>
      <c r="I167" s="184" t="str">
        <f t="shared" si="4"/>
        <v/>
      </c>
      <c r="J167" s="488"/>
      <c r="K167" s="70"/>
      <c r="L167" s="70"/>
      <c r="M167" s="70"/>
    </row>
    <row r="168" spans="1:13">
      <c r="A168" s="2">
        <f t="shared" si="5"/>
        <v>1</v>
      </c>
      <c r="B168" s="501"/>
      <c r="C168" s="688"/>
      <c r="D168" s="689"/>
      <c r="E168" s="519"/>
      <c r="F168" s="177" t="str">
        <f>IF(Tab_Compteur_2[[#This Row],[Fin de période]]&gt;0,IFERROR(B168-A168+1,""),"")</f>
        <v/>
      </c>
      <c r="G168" t="str">
        <f>IF(IFERROR(IF(Str_TypeDonneesCpt2=Cpt_Index,Tab_Compteur_2[[#This Row],[Index]]-E167,Tab_Compteur_2[[#This Row],[Quantité]])/Tab_Compteur_2[[#This Row],[Delta Jour]],"")&lt;0,"",IFERROR(IF(Str_TypeDonneesCpt2=Cpt_Index,Tab_Compteur_2[[#This Row],[Index]]-E167,Tab_Compteur_2[[#This Row],[Quantité]])/Tab_Compteur_2[[#This Row],[Delta Jour]],""))</f>
        <v/>
      </c>
      <c r="H168" s="177" t="str">
        <f>IFERROR(Tab_Compteur_2[[#This Row],[Colonne1]]/Tab_Compteur_2[[#This Row],[Delta Jour]],"")</f>
        <v/>
      </c>
      <c r="I168" s="184" t="str">
        <f t="shared" si="4"/>
        <v/>
      </c>
      <c r="J168" s="450"/>
      <c r="K168" s="70"/>
      <c r="L168" s="70"/>
      <c r="M168" s="70"/>
    </row>
    <row r="169" spans="1:13">
      <c r="A169" s="2">
        <f t="shared" si="5"/>
        <v>1</v>
      </c>
      <c r="B169" s="501"/>
      <c r="C169" s="688"/>
      <c r="D169" s="689"/>
      <c r="E169" s="519"/>
      <c r="F169" s="177" t="str">
        <f>IF(Tab_Compteur_2[[#This Row],[Fin de période]]&gt;0,IFERROR(B169-A169+1,""),"")</f>
        <v/>
      </c>
      <c r="G169" t="str">
        <f>IF(IFERROR(IF(Str_TypeDonneesCpt2=Cpt_Index,Tab_Compteur_2[[#This Row],[Index]]-E168,Tab_Compteur_2[[#This Row],[Quantité]])/Tab_Compteur_2[[#This Row],[Delta Jour]],"")&lt;0,"",IFERROR(IF(Str_TypeDonneesCpt2=Cpt_Index,Tab_Compteur_2[[#This Row],[Index]]-E168,Tab_Compteur_2[[#This Row],[Quantité]])/Tab_Compteur_2[[#This Row],[Delta Jour]],""))</f>
        <v/>
      </c>
      <c r="H169" s="177" t="str">
        <f>IFERROR(Tab_Compteur_2[[#This Row],[Colonne1]]/Tab_Compteur_2[[#This Row],[Delta Jour]],"")</f>
        <v/>
      </c>
      <c r="I169" s="184" t="str">
        <f t="shared" si="4"/>
        <v/>
      </c>
      <c r="J169" s="450"/>
      <c r="K169" s="70"/>
      <c r="L169" s="70"/>
      <c r="M169" s="70"/>
    </row>
    <row r="170" spans="1:13">
      <c r="A170" s="2">
        <f t="shared" si="5"/>
        <v>1</v>
      </c>
      <c r="B170" s="501"/>
      <c r="C170" s="688"/>
      <c r="D170" s="689"/>
      <c r="E170" s="519"/>
      <c r="F170" s="177" t="str">
        <f>IF(Tab_Compteur_2[[#This Row],[Fin de période]]&gt;0,IFERROR(B170-A170+1,""),"")</f>
        <v/>
      </c>
      <c r="G170" t="str">
        <f>IF(IFERROR(IF(Str_TypeDonneesCpt2=Cpt_Index,Tab_Compteur_2[[#This Row],[Index]]-E169,Tab_Compteur_2[[#This Row],[Quantité]])/Tab_Compteur_2[[#This Row],[Delta Jour]],"")&lt;0,"",IFERROR(IF(Str_TypeDonneesCpt2=Cpt_Index,Tab_Compteur_2[[#This Row],[Index]]-E169,Tab_Compteur_2[[#This Row],[Quantité]])/Tab_Compteur_2[[#This Row],[Delta Jour]],""))</f>
        <v/>
      </c>
      <c r="H170" s="177" t="str">
        <f>IFERROR(Tab_Compteur_2[[#This Row],[Colonne1]]/Tab_Compteur_2[[#This Row],[Delta Jour]],"")</f>
        <v/>
      </c>
      <c r="I170" s="184" t="str">
        <f t="shared" si="4"/>
        <v/>
      </c>
      <c r="J170" s="450"/>
      <c r="K170" s="70"/>
      <c r="L170" s="70"/>
      <c r="M170" s="70"/>
    </row>
    <row r="171" spans="1:13">
      <c r="A171" s="2">
        <f t="shared" si="5"/>
        <v>1</v>
      </c>
      <c r="B171" s="501"/>
      <c r="C171" s="688"/>
      <c r="D171" s="689"/>
      <c r="E171" s="519"/>
      <c r="F171" s="177" t="str">
        <f>IF(Tab_Compteur_2[[#This Row],[Fin de période]]&gt;0,IFERROR(B171-A171+1,""),"")</f>
        <v/>
      </c>
      <c r="G171" t="str">
        <f>IF(IFERROR(IF(Str_TypeDonneesCpt2=Cpt_Index,Tab_Compteur_2[[#This Row],[Index]]-E170,Tab_Compteur_2[[#This Row],[Quantité]])/Tab_Compteur_2[[#This Row],[Delta Jour]],"")&lt;0,"",IFERROR(IF(Str_TypeDonneesCpt2=Cpt_Index,Tab_Compteur_2[[#This Row],[Index]]-E170,Tab_Compteur_2[[#This Row],[Quantité]])/Tab_Compteur_2[[#This Row],[Delta Jour]],""))</f>
        <v/>
      </c>
      <c r="H171" s="177" t="str">
        <f>IFERROR(Tab_Compteur_2[[#This Row],[Colonne1]]/Tab_Compteur_2[[#This Row],[Delta Jour]],"")</f>
        <v/>
      </c>
      <c r="I171" s="184" t="str">
        <f t="shared" si="4"/>
        <v/>
      </c>
      <c r="J171" s="450"/>
      <c r="K171" s="70"/>
      <c r="L171" s="70"/>
      <c r="M171" s="70"/>
    </row>
    <row r="172" spans="1:13">
      <c r="A172" s="2">
        <f t="shared" si="5"/>
        <v>1</v>
      </c>
      <c r="B172" s="501"/>
      <c r="C172" s="688"/>
      <c r="D172" s="689"/>
      <c r="E172" s="519"/>
      <c r="F172" s="177" t="str">
        <f>IF(Tab_Compteur_2[[#This Row],[Fin de période]]&gt;0,IFERROR(B172-A172+1,""),"")</f>
        <v/>
      </c>
      <c r="G172" t="str">
        <f>IF(IFERROR(IF(Str_TypeDonneesCpt2=Cpt_Index,Tab_Compteur_2[[#This Row],[Index]]-E171,Tab_Compteur_2[[#This Row],[Quantité]])/Tab_Compteur_2[[#This Row],[Delta Jour]],"")&lt;0,"",IFERROR(IF(Str_TypeDonneesCpt2=Cpt_Index,Tab_Compteur_2[[#This Row],[Index]]-E171,Tab_Compteur_2[[#This Row],[Quantité]])/Tab_Compteur_2[[#This Row],[Delta Jour]],""))</f>
        <v/>
      </c>
      <c r="H172" s="177" t="str">
        <f>IFERROR(Tab_Compteur_2[[#This Row],[Colonne1]]/Tab_Compteur_2[[#This Row],[Delta Jour]],"")</f>
        <v/>
      </c>
      <c r="I172" s="184" t="str">
        <f t="shared" si="4"/>
        <v/>
      </c>
      <c r="J172" s="450"/>
      <c r="K172" s="70"/>
      <c r="L172" s="70"/>
      <c r="M172" s="70"/>
    </row>
    <row r="173" spans="1:13">
      <c r="A173" s="2">
        <f t="shared" si="5"/>
        <v>1</v>
      </c>
      <c r="B173" s="501"/>
      <c r="C173" s="688"/>
      <c r="D173" s="689"/>
      <c r="E173" s="519"/>
      <c r="F173" s="177" t="str">
        <f>IF(Tab_Compteur_2[[#This Row],[Fin de période]]&gt;0,IFERROR(B173-A173+1,""),"")</f>
        <v/>
      </c>
      <c r="G173" t="str">
        <f>IF(IFERROR(IF(Str_TypeDonneesCpt2=Cpt_Index,Tab_Compteur_2[[#This Row],[Index]]-E172,Tab_Compteur_2[[#This Row],[Quantité]])/Tab_Compteur_2[[#This Row],[Delta Jour]],"")&lt;0,"",IFERROR(IF(Str_TypeDonneesCpt2=Cpt_Index,Tab_Compteur_2[[#This Row],[Index]]-E172,Tab_Compteur_2[[#This Row],[Quantité]])/Tab_Compteur_2[[#This Row],[Delta Jour]],""))</f>
        <v/>
      </c>
      <c r="H173" s="177" t="str">
        <f>IFERROR(Tab_Compteur_2[[#This Row],[Colonne1]]/Tab_Compteur_2[[#This Row],[Delta Jour]],"")</f>
        <v/>
      </c>
      <c r="I173" s="184" t="str">
        <f t="shared" si="4"/>
        <v/>
      </c>
      <c r="J173" s="450"/>
      <c r="K173" s="70"/>
      <c r="L173" s="70"/>
      <c r="M173" s="70"/>
    </row>
    <row r="174" spans="1:13">
      <c r="A174" s="2">
        <f t="shared" si="5"/>
        <v>1</v>
      </c>
      <c r="B174" s="501"/>
      <c r="C174" s="688"/>
      <c r="D174" s="689"/>
      <c r="E174" s="519"/>
      <c r="F174" s="177" t="str">
        <f>IF(Tab_Compteur_2[[#This Row],[Fin de période]]&gt;0,IFERROR(B174-A174+1,""),"")</f>
        <v/>
      </c>
      <c r="G174" t="str">
        <f>IF(IFERROR(IF(Str_TypeDonneesCpt2=Cpt_Index,Tab_Compteur_2[[#This Row],[Index]]-E173,Tab_Compteur_2[[#This Row],[Quantité]])/Tab_Compteur_2[[#This Row],[Delta Jour]],"")&lt;0,"",IFERROR(IF(Str_TypeDonneesCpt2=Cpt_Index,Tab_Compteur_2[[#This Row],[Index]]-E173,Tab_Compteur_2[[#This Row],[Quantité]])/Tab_Compteur_2[[#This Row],[Delta Jour]],""))</f>
        <v/>
      </c>
      <c r="H174" s="177" t="str">
        <f>IFERROR(Tab_Compteur_2[[#This Row],[Colonne1]]/Tab_Compteur_2[[#This Row],[Delta Jour]],"")</f>
        <v/>
      </c>
      <c r="I174" s="184" t="str">
        <f t="shared" si="4"/>
        <v/>
      </c>
      <c r="J174" s="450"/>
      <c r="K174" s="70"/>
      <c r="L174" s="70"/>
      <c r="M174" s="70"/>
    </row>
    <row r="175" spans="1:13">
      <c r="A175" s="2">
        <f t="shared" si="5"/>
        <v>1</v>
      </c>
      <c r="B175" s="501"/>
      <c r="C175" s="688"/>
      <c r="D175" s="689"/>
      <c r="E175" s="519"/>
      <c r="F175" s="177" t="str">
        <f>IF(Tab_Compteur_2[[#This Row],[Fin de période]]&gt;0,IFERROR(B175-A175+1,""),"")</f>
        <v/>
      </c>
      <c r="G175" t="str">
        <f>IF(IFERROR(IF(Str_TypeDonneesCpt2=Cpt_Index,Tab_Compteur_2[[#This Row],[Index]]-E174,Tab_Compteur_2[[#This Row],[Quantité]])/Tab_Compteur_2[[#This Row],[Delta Jour]],"")&lt;0,"",IFERROR(IF(Str_TypeDonneesCpt2=Cpt_Index,Tab_Compteur_2[[#This Row],[Index]]-E174,Tab_Compteur_2[[#This Row],[Quantité]])/Tab_Compteur_2[[#This Row],[Delta Jour]],""))</f>
        <v/>
      </c>
      <c r="H175" s="177" t="str">
        <f>IFERROR(Tab_Compteur_2[[#This Row],[Colonne1]]/Tab_Compteur_2[[#This Row],[Delta Jour]],"")</f>
        <v/>
      </c>
      <c r="I175" s="184" t="str">
        <f t="shared" si="4"/>
        <v/>
      </c>
      <c r="J175" s="450"/>
      <c r="K175" s="70"/>
      <c r="L175" s="70"/>
      <c r="M175" s="70"/>
    </row>
    <row r="176" spans="1:13">
      <c r="A176" s="2">
        <f t="shared" si="5"/>
        <v>1</v>
      </c>
      <c r="B176" s="501"/>
      <c r="C176" s="688"/>
      <c r="D176" s="689"/>
      <c r="E176" s="519"/>
      <c r="F176" s="177" t="str">
        <f>IF(Tab_Compteur_2[[#This Row],[Fin de période]]&gt;0,IFERROR(B176-A176+1,""),"")</f>
        <v/>
      </c>
      <c r="G176" t="str">
        <f>IF(IFERROR(IF(Str_TypeDonneesCpt2=Cpt_Index,Tab_Compteur_2[[#This Row],[Index]]-E175,Tab_Compteur_2[[#This Row],[Quantité]])/Tab_Compteur_2[[#This Row],[Delta Jour]],"")&lt;0,"",IFERROR(IF(Str_TypeDonneesCpt2=Cpt_Index,Tab_Compteur_2[[#This Row],[Index]]-E175,Tab_Compteur_2[[#This Row],[Quantité]])/Tab_Compteur_2[[#This Row],[Delta Jour]],""))</f>
        <v/>
      </c>
      <c r="H176" s="177" t="str">
        <f>IFERROR(Tab_Compteur_2[[#This Row],[Colonne1]]/Tab_Compteur_2[[#This Row],[Delta Jour]],"")</f>
        <v/>
      </c>
      <c r="I176" s="184" t="str">
        <f t="shared" si="4"/>
        <v/>
      </c>
      <c r="J176" s="450"/>
      <c r="K176" s="70"/>
      <c r="L176" s="70"/>
      <c r="M176" s="70"/>
    </row>
    <row r="177" spans="1:13">
      <c r="A177" s="2">
        <f t="shared" si="5"/>
        <v>1</v>
      </c>
      <c r="B177" s="501"/>
      <c r="C177" s="688"/>
      <c r="D177" s="689"/>
      <c r="E177" s="519"/>
      <c r="F177" s="177" t="str">
        <f>IF(Tab_Compteur_2[[#This Row],[Fin de période]]&gt;0,IFERROR(B177-A177+1,""),"")</f>
        <v/>
      </c>
      <c r="G177" t="str">
        <f>IF(IFERROR(IF(Str_TypeDonneesCpt2=Cpt_Index,Tab_Compteur_2[[#This Row],[Index]]-E176,Tab_Compteur_2[[#This Row],[Quantité]])/Tab_Compteur_2[[#This Row],[Delta Jour]],"")&lt;0,"",IFERROR(IF(Str_TypeDonneesCpt2=Cpt_Index,Tab_Compteur_2[[#This Row],[Index]]-E176,Tab_Compteur_2[[#This Row],[Quantité]])/Tab_Compteur_2[[#This Row],[Delta Jour]],""))</f>
        <v/>
      </c>
      <c r="H177" s="177" t="str">
        <f>IFERROR(Tab_Compteur_2[[#This Row],[Colonne1]]/Tab_Compteur_2[[#This Row],[Delta Jour]],"")</f>
        <v/>
      </c>
      <c r="I177" s="184" t="str">
        <f t="shared" si="4"/>
        <v/>
      </c>
      <c r="J177" s="450"/>
      <c r="K177" s="70"/>
      <c r="L177" s="70"/>
      <c r="M177" s="70"/>
    </row>
    <row r="178" spans="1:13">
      <c r="A178" s="2">
        <f t="shared" si="5"/>
        <v>1</v>
      </c>
      <c r="B178" s="501"/>
      <c r="C178" s="688"/>
      <c r="D178" s="689"/>
      <c r="E178" s="519"/>
      <c r="F178" s="177" t="str">
        <f>IF(Tab_Compteur_2[[#This Row],[Fin de période]]&gt;0,IFERROR(B178-A178+1,""),"")</f>
        <v/>
      </c>
      <c r="G178" t="str">
        <f>IF(IFERROR(IF(Str_TypeDonneesCpt2=Cpt_Index,Tab_Compteur_2[[#This Row],[Index]]-E177,Tab_Compteur_2[[#This Row],[Quantité]])/Tab_Compteur_2[[#This Row],[Delta Jour]],"")&lt;0,"",IFERROR(IF(Str_TypeDonneesCpt2=Cpt_Index,Tab_Compteur_2[[#This Row],[Index]]-E177,Tab_Compteur_2[[#This Row],[Quantité]])/Tab_Compteur_2[[#This Row],[Delta Jour]],""))</f>
        <v/>
      </c>
      <c r="H178" s="177" t="str">
        <f>IFERROR(Tab_Compteur_2[[#This Row],[Colonne1]]/Tab_Compteur_2[[#This Row],[Delta Jour]],"")</f>
        <v/>
      </c>
      <c r="I178" s="184" t="str">
        <f t="shared" si="4"/>
        <v/>
      </c>
      <c r="J178" s="450"/>
      <c r="K178" s="70"/>
      <c r="L178" s="70"/>
      <c r="M178" s="70"/>
    </row>
    <row r="179" spans="1:13">
      <c r="A179" s="2">
        <f t="shared" si="5"/>
        <v>1</v>
      </c>
      <c r="B179" s="501"/>
      <c r="C179" s="688"/>
      <c r="D179" s="689"/>
      <c r="E179" s="519"/>
      <c r="F179" s="177" t="str">
        <f>IF(Tab_Compteur_2[[#This Row],[Fin de période]]&gt;0,IFERROR(B179-A179+1,""),"")</f>
        <v/>
      </c>
      <c r="G179" t="str">
        <f>IF(IFERROR(IF(Str_TypeDonneesCpt2=Cpt_Index,Tab_Compteur_2[[#This Row],[Index]]-E178,Tab_Compteur_2[[#This Row],[Quantité]])/Tab_Compteur_2[[#This Row],[Delta Jour]],"")&lt;0,"",IFERROR(IF(Str_TypeDonneesCpt2=Cpt_Index,Tab_Compteur_2[[#This Row],[Index]]-E178,Tab_Compteur_2[[#This Row],[Quantité]])/Tab_Compteur_2[[#This Row],[Delta Jour]],""))</f>
        <v/>
      </c>
      <c r="H179" s="177" t="str">
        <f>IFERROR(Tab_Compteur_2[[#This Row],[Colonne1]]/Tab_Compteur_2[[#This Row],[Delta Jour]],"")</f>
        <v/>
      </c>
      <c r="I179" s="184" t="str">
        <f t="shared" si="4"/>
        <v/>
      </c>
      <c r="J179" s="450"/>
      <c r="K179" s="70"/>
      <c r="L179" s="70"/>
      <c r="M179" s="70"/>
    </row>
    <row r="180" spans="1:13">
      <c r="A180" s="2">
        <f t="shared" si="5"/>
        <v>1</v>
      </c>
      <c r="B180" s="501"/>
      <c r="C180" s="688"/>
      <c r="D180" s="689"/>
      <c r="E180" s="519"/>
      <c r="F180" s="177" t="str">
        <f>IF(Tab_Compteur_2[[#This Row],[Fin de période]]&gt;0,IFERROR(B180-A180+1,""),"")</f>
        <v/>
      </c>
      <c r="G180" t="str">
        <f>IF(IFERROR(IF(Str_TypeDonneesCpt2=Cpt_Index,Tab_Compteur_2[[#This Row],[Index]]-E179,Tab_Compteur_2[[#This Row],[Quantité]])/Tab_Compteur_2[[#This Row],[Delta Jour]],"")&lt;0,"",IFERROR(IF(Str_TypeDonneesCpt2=Cpt_Index,Tab_Compteur_2[[#This Row],[Index]]-E179,Tab_Compteur_2[[#This Row],[Quantité]])/Tab_Compteur_2[[#This Row],[Delta Jour]],""))</f>
        <v/>
      </c>
      <c r="H180" s="177" t="str">
        <f>IFERROR(Tab_Compteur_2[[#This Row],[Colonne1]]/Tab_Compteur_2[[#This Row],[Delta Jour]],"")</f>
        <v/>
      </c>
      <c r="I180" s="184" t="str">
        <f t="shared" si="4"/>
        <v/>
      </c>
      <c r="J180" s="450"/>
      <c r="K180" s="70"/>
      <c r="L180" s="70"/>
      <c r="M180" s="70"/>
    </row>
    <row r="181" spans="1:13">
      <c r="A181" s="2">
        <f t="shared" si="5"/>
        <v>1</v>
      </c>
      <c r="B181" s="501"/>
      <c r="C181" s="688"/>
      <c r="D181" s="689"/>
      <c r="E181" s="519"/>
      <c r="F181" s="177" t="str">
        <f>IF(Tab_Compteur_2[[#This Row],[Fin de période]]&gt;0,IFERROR(B181-A181+1,""),"")</f>
        <v/>
      </c>
      <c r="G181" t="str">
        <f>IF(IFERROR(IF(Str_TypeDonneesCpt2=Cpt_Index,Tab_Compteur_2[[#This Row],[Index]]-E180,Tab_Compteur_2[[#This Row],[Quantité]])/Tab_Compteur_2[[#This Row],[Delta Jour]],"")&lt;0,"",IFERROR(IF(Str_TypeDonneesCpt2=Cpt_Index,Tab_Compteur_2[[#This Row],[Index]]-E180,Tab_Compteur_2[[#This Row],[Quantité]])/Tab_Compteur_2[[#This Row],[Delta Jour]],""))</f>
        <v/>
      </c>
      <c r="H181" s="177" t="str">
        <f>IFERROR(Tab_Compteur_2[[#This Row],[Colonne1]]/Tab_Compteur_2[[#This Row],[Delta Jour]],"")</f>
        <v/>
      </c>
      <c r="I181" s="184" t="str">
        <f t="shared" si="4"/>
        <v/>
      </c>
      <c r="J181" s="450"/>
      <c r="K181" s="70"/>
      <c r="L181" s="70"/>
      <c r="M181" s="70"/>
    </row>
    <row r="182" spans="1:13">
      <c r="A182" s="2">
        <f t="shared" si="5"/>
        <v>1</v>
      </c>
      <c r="B182" s="501"/>
      <c r="C182" s="688"/>
      <c r="D182" s="689"/>
      <c r="E182" s="519"/>
      <c r="F182" s="177" t="str">
        <f>IF(Tab_Compteur_2[[#This Row],[Fin de période]]&gt;0,IFERROR(B182-A182+1,""),"")</f>
        <v/>
      </c>
      <c r="G182" t="str">
        <f>IF(IFERROR(IF(Str_TypeDonneesCpt2=Cpt_Index,Tab_Compteur_2[[#This Row],[Index]]-E181,Tab_Compteur_2[[#This Row],[Quantité]])/Tab_Compteur_2[[#This Row],[Delta Jour]],"")&lt;0,"",IFERROR(IF(Str_TypeDonneesCpt2=Cpt_Index,Tab_Compteur_2[[#This Row],[Index]]-E181,Tab_Compteur_2[[#This Row],[Quantité]])/Tab_Compteur_2[[#This Row],[Delta Jour]],""))</f>
        <v/>
      </c>
      <c r="H182" s="177" t="str">
        <f>IFERROR(Tab_Compteur_2[[#This Row],[Colonne1]]/Tab_Compteur_2[[#This Row],[Delta Jour]],"")</f>
        <v/>
      </c>
      <c r="I182" s="184" t="str">
        <f t="shared" si="4"/>
        <v/>
      </c>
      <c r="J182" s="450"/>
      <c r="K182" s="70"/>
      <c r="L182" s="70"/>
      <c r="M182" s="70"/>
    </row>
    <row r="183" spans="1:13">
      <c r="A183" s="2">
        <f t="shared" si="5"/>
        <v>1</v>
      </c>
      <c r="B183" s="501"/>
      <c r="C183" s="688"/>
      <c r="D183" s="689"/>
      <c r="E183" s="519"/>
      <c r="F183" s="177" t="str">
        <f>IF(Tab_Compteur_2[[#This Row],[Fin de période]]&gt;0,IFERROR(B183-A183+1,""),"")</f>
        <v/>
      </c>
      <c r="G183" t="str">
        <f>IF(IFERROR(IF(Str_TypeDonneesCpt2=Cpt_Index,Tab_Compteur_2[[#This Row],[Index]]-E182,Tab_Compteur_2[[#This Row],[Quantité]])/Tab_Compteur_2[[#This Row],[Delta Jour]],"")&lt;0,"",IFERROR(IF(Str_TypeDonneesCpt2=Cpt_Index,Tab_Compteur_2[[#This Row],[Index]]-E182,Tab_Compteur_2[[#This Row],[Quantité]])/Tab_Compteur_2[[#This Row],[Delta Jour]],""))</f>
        <v/>
      </c>
      <c r="H183" s="177" t="str">
        <f>IFERROR(Tab_Compteur_2[[#This Row],[Colonne1]]/Tab_Compteur_2[[#This Row],[Delta Jour]],"")</f>
        <v/>
      </c>
      <c r="I183" s="184" t="str">
        <f t="shared" si="4"/>
        <v/>
      </c>
      <c r="J183" s="450"/>
      <c r="K183" s="70"/>
      <c r="L183" s="70"/>
      <c r="M183" s="70"/>
    </row>
    <row r="184" spans="1:13">
      <c r="A184" s="2">
        <f t="shared" si="5"/>
        <v>1</v>
      </c>
      <c r="B184" s="501"/>
      <c r="C184" s="688"/>
      <c r="D184" s="689"/>
      <c r="E184" s="519"/>
      <c r="F184" s="177" t="str">
        <f>IF(Tab_Compteur_2[[#This Row],[Fin de période]]&gt;0,IFERROR(B184-A184+1,""),"")</f>
        <v/>
      </c>
      <c r="G184" t="str">
        <f>IF(IFERROR(IF(Str_TypeDonneesCpt2=Cpt_Index,Tab_Compteur_2[[#This Row],[Index]]-E183,Tab_Compteur_2[[#This Row],[Quantité]])/Tab_Compteur_2[[#This Row],[Delta Jour]],"")&lt;0,"",IFERROR(IF(Str_TypeDonneesCpt2=Cpt_Index,Tab_Compteur_2[[#This Row],[Index]]-E183,Tab_Compteur_2[[#This Row],[Quantité]])/Tab_Compteur_2[[#This Row],[Delta Jour]],""))</f>
        <v/>
      </c>
      <c r="H184" s="177" t="str">
        <f>IFERROR(Tab_Compteur_2[[#This Row],[Colonne1]]/Tab_Compteur_2[[#This Row],[Delta Jour]],"")</f>
        <v/>
      </c>
      <c r="I184" s="184" t="str">
        <f t="shared" si="4"/>
        <v/>
      </c>
      <c r="J184" s="450"/>
      <c r="K184" s="70"/>
      <c r="L184" s="70"/>
      <c r="M184" s="70"/>
    </row>
    <row r="185" spans="1:13">
      <c r="A185" s="2">
        <f t="shared" si="5"/>
        <v>1</v>
      </c>
      <c r="B185" s="501"/>
      <c r="C185" s="688"/>
      <c r="D185" s="689"/>
      <c r="E185" s="519"/>
      <c r="F185" s="177" t="str">
        <f>IF(Tab_Compteur_2[[#This Row],[Fin de période]]&gt;0,IFERROR(B185-A185+1,""),"")</f>
        <v/>
      </c>
      <c r="G185" t="str">
        <f>IF(IFERROR(IF(Str_TypeDonneesCpt2=Cpt_Index,Tab_Compteur_2[[#This Row],[Index]]-E184,Tab_Compteur_2[[#This Row],[Quantité]])/Tab_Compteur_2[[#This Row],[Delta Jour]],"")&lt;0,"",IFERROR(IF(Str_TypeDonneesCpt2=Cpt_Index,Tab_Compteur_2[[#This Row],[Index]]-E184,Tab_Compteur_2[[#This Row],[Quantité]])/Tab_Compteur_2[[#This Row],[Delta Jour]],""))</f>
        <v/>
      </c>
      <c r="H185" s="177" t="str">
        <f>IFERROR(Tab_Compteur_2[[#This Row],[Colonne1]]/Tab_Compteur_2[[#This Row],[Delta Jour]],"")</f>
        <v/>
      </c>
      <c r="I185" s="184" t="str">
        <f t="shared" si="4"/>
        <v/>
      </c>
      <c r="J185" s="450"/>
      <c r="K185" s="70"/>
      <c r="L185" s="70"/>
      <c r="M185" s="70"/>
    </row>
    <row r="186" spans="1:13">
      <c r="A186" s="2">
        <f t="shared" si="5"/>
        <v>1</v>
      </c>
      <c r="B186" s="501"/>
      <c r="C186" s="688"/>
      <c r="D186" s="689"/>
      <c r="E186" s="519"/>
      <c r="F186" s="177" t="str">
        <f>IF(Tab_Compteur_2[[#This Row],[Fin de période]]&gt;0,IFERROR(B186-A186+1,""),"")</f>
        <v/>
      </c>
      <c r="G186" t="str">
        <f>IF(IFERROR(IF(Str_TypeDonneesCpt2=Cpt_Index,Tab_Compteur_2[[#This Row],[Index]]-E185,Tab_Compteur_2[[#This Row],[Quantité]])/Tab_Compteur_2[[#This Row],[Delta Jour]],"")&lt;0,"",IFERROR(IF(Str_TypeDonneesCpt2=Cpt_Index,Tab_Compteur_2[[#This Row],[Index]]-E185,Tab_Compteur_2[[#This Row],[Quantité]])/Tab_Compteur_2[[#This Row],[Delta Jour]],""))</f>
        <v/>
      </c>
      <c r="H186" s="177" t="str">
        <f>IFERROR(Tab_Compteur_2[[#This Row],[Colonne1]]/Tab_Compteur_2[[#This Row],[Delta Jour]],"")</f>
        <v/>
      </c>
      <c r="I186" s="184" t="str">
        <f t="shared" si="4"/>
        <v/>
      </c>
      <c r="J186" s="450"/>
      <c r="K186" s="70"/>
      <c r="L186" s="70"/>
      <c r="M186" s="70"/>
    </row>
    <row r="187" spans="1:13">
      <c r="A187" s="2">
        <f t="shared" si="5"/>
        <v>1</v>
      </c>
      <c r="B187" s="501"/>
      <c r="C187" s="688"/>
      <c r="D187" s="689"/>
      <c r="E187" s="519"/>
      <c r="F187" s="177" t="str">
        <f>IF(Tab_Compteur_2[[#This Row],[Fin de période]]&gt;0,IFERROR(B187-A187+1,""),"")</f>
        <v/>
      </c>
      <c r="G187" t="str">
        <f>IF(IFERROR(IF(Str_TypeDonneesCpt2=Cpt_Index,Tab_Compteur_2[[#This Row],[Index]]-E186,Tab_Compteur_2[[#This Row],[Quantité]])/Tab_Compteur_2[[#This Row],[Delta Jour]],"")&lt;0,"",IFERROR(IF(Str_TypeDonneesCpt2=Cpt_Index,Tab_Compteur_2[[#This Row],[Index]]-E186,Tab_Compteur_2[[#This Row],[Quantité]])/Tab_Compteur_2[[#This Row],[Delta Jour]],""))</f>
        <v/>
      </c>
      <c r="H187" s="177" t="str">
        <f>IFERROR(Tab_Compteur_2[[#This Row],[Colonne1]]/Tab_Compteur_2[[#This Row],[Delta Jour]],"")</f>
        <v/>
      </c>
      <c r="I187" s="184" t="str">
        <f t="shared" si="4"/>
        <v/>
      </c>
      <c r="J187" s="450"/>
      <c r="K187" s="70"/>
      <c r="L187" s="70"/>
      <c r="M187" s="70"/>
    </row>
    <row r="188" spans="1:13">
      <c r="A188" s="2">
        <f t="shared" si="5"/>
        <v>1</v>
      </c>
      <c r="B188" s="501"/>
      <c r="C188" s="688"/>
      <c r="D188" s="689"/>
      <c r="E188" s="519"/>
      <c r="F188" s="177" t="str">
        <f>IF(Tab_Compteur_2[[#This Row],[Fin de période]]&gt;0,IFERROR(B188-A188+1,""),"")</f>
        <v/>
      </c>
      <c r="G188" t="str">
        <f>IF(IFERROR(IF(Str_TypeDonneesCpt2=Cpt_Index,Tab_Compteur_2[[#This Row],[Index]]-E187,Tab_Compteur_2[[#This Row],[Quantité]])/Tab_Compteur_2[[#This Row],[Delta Jour]],"")&lt;0,"",IFERROR(IF(Str_TypeDonneesCpt2=Cpt_Index,Tab_Compteur_2[[#This Row],[Index]]-E187,Tab_Compteur_2[[#This Row],[Quantité]])/Tab_Compteur_2[[#This Row],[Delta Jour]],""))</f>
        <v/>
      </c>
      <c r="H188" s="177" t="str">
        <f>IFERROR(Tab_Compteur_2[[#This Row],[Colonne1]]/Tab_Compteur_2[[#This Row],[Delta Jour]],"")</f>
        <v/>
      </c>
      <c r="I188" s="184" t="str">
        <f t="shared" si="4"/>
        <v/>
      </c>
      <c r="J188" s="450"/>
      <c r="K188" s="70"/>
      <c r="L188" s="70"/>
      <c r="M188" s="70"/>
    </row>
    <row r="189" spans="1:13">
      <c r="A189" s="2">
        <f t="shared" si="5"/>
        <v>1</v>
      </c>
      <c r="B189" s="501"/>
      <c r="C189" s="688"/>
      <c r="D189" s="689"/>
      <c r="E189" s="519"/>
      <c r="F189" s="177" t="str">
        <f>IF(Tab_Compteur_2[[#This Row],[Fin de période]]&gt;0,IFERROR(B189-A189+1,""),"")</f>
        <v/>
      </c>
      <c r="G189" t="str">
        <f>IF(IFERROR(IF(Str_TypeDonneesCpt2=Cpt_Index,Tab_Compteur_2[[#This Row],[Index]]-E188,Tab_Compteur_2[[#This Row],[Quantité]])/Tab_Compteur_2[[#This Row],[Delta Jour]],"")&lt;0,"",IFERROR(IF(Str_TypeDonneesCpt2=Cpt_Index,Tab_Compteur_2[[#This Row],[Index]]-E188,Tab_Compteur_2[[#This Row],[Quantité]])/Tab_Compteur_2[[#This Row],[Delta Jour]],""))</f>
        <v/>
      </c>
      <c r="H189" s="177" t="str">
        <f>IFERROR(Tab_Compteur_2[[#This Row],[Colonne1]]/Tab_Compteur_2[[#This Row],[Delta Jour]],"")</f>
        <v/>
      </c>
      <c r="I189" s="184" t="str">
        <f t="shared" si="4"/>
        <v/>
      </c>
      <c r="J189" s="450"/>
      <c r="K189" s="70"/>
      <c r="L189" s="70"/>
      <c r="M189" s="70"/>
    </row>
    <row r="190" spans="1:13">
      <c r="A190" s="2">
        <f t="shared" si="5"/>
        <v>1</v>
      </c>
      <c r="B190" s="501"/>
      <c r="C190" s="688"/>
      <c r="D190" s="689"/>
      <c r="E190" s="519"/>
      <c r="F190" s="177" t="str">
        <f>IF(Tab_Compteur_2[[#This Row],[Fin de période]]&gt;0,IFERROR(B190-A190+1,""),"")</f>
        <v/>
      </c>
      <c r="G190" t="str">
        <f>IF(IFERROR(IF(Str_TypeDonneesCpt2=Cpt_Index,Tab_Compteur_2[[#This Row],[Index]]-E189,Tab_Compteur_2[[#This Row],[Quantité]])/Tab_Compteur_2[[#This Row],[Delta Jour]],"")&lt;0,"",IFERROR(IF(Str_TypeDonneesCpt2=Cpt_Index,Tab_Compteur_2[[#This Row],[Index]]-E189,Tab_Compteur_2[[#This Row],[Quantité]])/Tab_Compteur_2[[#This Row],[Delta Jour]],""))</f>
        <v/>
      </c>
      <c r="H190" s="177" t="str">
        <f>IFERROR(Tab_Compteur_2[[#This Row],[Colonne1]]/Tab_Compteur_2[[#This Row],[Delta Jour]],"")</f>
        <v/>
      </c>
      <c r="I190" s="184" t="str">
        <f t="shared" si="4"/>
        <v/>
      </c>
      <c r="J190" s="450"/>
      <c r="K190" s="70"/>
      <c r="L190" s="70"/>
      <c r="M190" s="70"/>
    </row>
    <row r="191" spans="1:13">
      <c r="A191" s="2">
        <f t="shared" si="5"/>
        <v>1</v>
      </c>
      <c r="B191" s="501"/>
      <c r="C191" s="688"/>
      <c r="D191" s="689"/>
      <c r="E191" s="519"/>
      <c r="F191" s="177" t="str">
        <f>IF(Tab_Compteur_2[[#This Row],[Fin de période]]&gt;0,IFERROR(B191-A191+1,""),"")</f>
        <v/>
      </c>
      <c r="G191" t="str">
        <f>IF(IFERROR(IF(Str_TypeDonneesCpt2=Cpt_Index,Tab_Compteur_2[[#This Row],[Index]]-E190,Tab_Compteur_2[[#This Row],[Quantité]])/Tab_Compteur_2[[#This Row],[Delta Jour]],"")&lt;0,"",IFERROR(IF(Str_TypeDonneesCpt2=Cpt_Index,Tab_Compteur_2[[#This Row],[Index]]-E190,Tab_Compteur_2[[#This Row],[Quantité]])/Tab_Compteur_2[[#This Row],[Delta Jour]],""))</f>
        <v/>
      </c>
      <c r="H191" s="177" t="str">
        <f>IFERROR(Tab_Compteur_2[[#This Row],[Colonne1]]/Tab_Compteur_2[[#This Row],[Delta Jour]],"")</f>
        <v/>
      </c>
      <c r="I191" s="184" t="str">
        <f t="shared" si="4"/>
        <v/>
      </c>
      <c r="J191" s="450"/>
      <c r="K191" s="70"/>
      <c r="L191" s="70"/>
      <c r="M191" s="70"/>
    </row>
    <row r="192" spans="1:13">
      <c r="A192" s="2">
        <f t="shared" si="5"/>
        <v>1</v>
      </c>
      <c r="B192" s="501"/>
      <c r="C192" s="688"/>
      <c r="D192" s="689"/>
      <c r="E192" s="519"/>
      <c r="F192" s="177" t="str">
        <f>IF(Tab_Compteur_2[[#This Row],[Fin de période]]&gt;0,IFERROR(B192-A192+1,""),"")</f>
        <v/>
      </c>
      <c r="G192" t="str">
        <f>IF(IFERROR(IF(Str_TypeDonneesCpt2=Cpt_Index,Tab_Compteur_2[[#This Row],[Index]]-E191,Tab_Compteur_2[[#This Row],[Quantité]])/Tab_Compteur_2[[#This Row],[Delta Jour]],"")&lt;0,"",IFERROR(IF(Str_TypeDonneesCpt2=Cpt_Index,Tab_Compteur_2[[#This Row],[Index]]-E191,Tab_Compteur_2[[#This Row],[Quantité]])/Tab_Compteur_2[[#This Row],[Delta Jour]],""))</f>
        <v/>
      </c>
      <c r="H192" s="177" t="str">
        <f>IFERROR(Tab_Compteur_2[[#This Row],[Colonne1]]/Tab_Compteur_2[[#This Row],[Delta Jour]],"")</f>
        <v/>
      </c>
      <c r="I192" s="184" t="str">
        <f t="shared" si="4"/>
        <v/>
      </c>
      <c r="J192" s="450"/>
      <c r="K192" s="70"/>
      <c r="L192" s="70"/>
      <c r="M192" s="70"/>
    </row>
    <row r="193" spans="1:13">
      <c r="A193" s="2">
        <f t="shared" si="5"/>
        <v>1</v>
      </c>
      <c r="B193" s="501"/>
      <c r="C193" s="688"/>
      <c r="D193" s="689"/>
      <c r="E193" s="519"/>
      <c r="F193" s="177" t="str">
        <f>IF(Tab_Compteur_2[[#This Row],[Fin de période]]&gt;0,IFERROR(B193-A193+1,""),"")</f>
        <v/>
      </c>
      <c r="G193" t="str">
        <f>IF(IFERROR(IF(Str_TypeDonneesCpt2=Cpt_Index,Tab_Compteur_2[[#This Row],[Index]]-E192,Tab_Compteur_2[[#This Row],[Quantité]])/Tab_Compteur_2[[#This Row],[Delta Jour]],"")&lt;0,"",IFERROR(IF(Str_TypeDonneesCpt2=Cpt_Index,Tab_Compteur_2[[#This Row],[Index]]-E192,Tab_Compteur_2[[#This Row],[Quantité]])/Tab_Compteur_2[[#This Row],[Delta Jour]],""))</f>
        <v/>
      </c>
      <c r="H193" s="177" t="str">
        <f>IFERROR(Tab_Compteur_2[[#This Row],[Colonne1]]/Tab_Compteur_2[[#This Row],[Delta Jour]],"")</f>
        <v/>
      </c>
      <c r="I193" s="184" t="str">
        <f t="shared" si="4"/>
        <v/>
      </c>
      <c r="J193" s="450"/>
      <c r="K193" s="70"/>
      <c r="L193" s="70"/>
      <c r="M193" s="70"/>
    </row>
    <row r="194" spans="1:13">
      <c r="A194" s="2">
        <f t="shared" si="5"/>
        <v>1</v>
      </c>
      <c r="B194" s="501"/>
      <c r="C194" s="688"/>
      <c r="D194" s="689"/>
      <c r="E194" s="519"/>
      <c r="F194" s="177" t="str">
        <f>IF(Tab_Compteur_2[[#This Row],[Fin de période]]&gt;0,IFERROR(B194-A194+1,""),"")</f>
        <v/>
      </c>
      <c r="G194" t="str">
        <f>IF(IFERROR(IF(Str_TypeDonneesCpt2=Cpt_Index,Tab_Compteur_2[[#This Row],[Index]]-E193,Tab_Compteur_2[[#This Row],[Quantité]])/Tab_Compteur_2[[#This Row],[Delta Jour]],"")&lt;0,"",IFERROR(IF(Str_TypeDonneesCpt2=Cpt_Index,Tab_Compteur_2[[#This Row],[Index]]-E193,Tab_Compteur_2[[#This Row],[Quantité]])/Tab_Compteur_2[[#This Row],[Delta Jour]],""))</f>
        <v/>
      </c>
      <c r="H194" s="177" t="str">
        <f>IFERROR(Tab_Compteur_2[[#This Row],[Colonne1]]/Tab_Compteur_2[[#This Row],[Delta Jour]],"")</f>
        <v/>
      </c>
      <c r="I194" s="184" t="str">
        <f t="shared" si="4"/>
        <v/>
      </c>
      <c r="J194" s="450"/>
      <c r="K194" s="70"/>
      <c r="L194" s="70"/>
      <c r="M194" s="70"/>
    </row>
    <row r="195" spans="1:13">
      <c r="A195" s="2">
        <f t="shared" si="5"/>
        <v>1</v>
      </c>
      <c r="B195" s="501"/>
      <c r="C195" s="688">
        <v>117248</v>
      </c>
      <c r="D195" s="689"/>
      <c r="E195" s="519"/>
      <c r="F195" s="177" t="str">
        <f>IF(Tab_Compteur_2[[#This Row],[Fin de période]]&gt;0,IFERROR(B195-A195+1,""),"")</f>
        <v/>
      </c>
      <c r="G195" t="str">
        <f>IF(IFERROR(IF(Str_TypeDonneesCpt2=Cpt_Index,Tab_Compteur_2[[#This Row],[Index]]-E194,Tab_Compteur_2[[#This Row],[Quantité]])/Tab_Compteur_2[[#This Row],[Delta Jour]],"")&lt;0,"",IFERROR(IF(Str_TypeDonneesCpt2=Cpt_Index,Tab_Compteur_2[[#This Row],[Index]]-E194,Tab_Compteur_2[[#This Row],[Quantité]])/Tab_Compteur_2[[#This Row],[Delta Jour]],""))</f>
        <v/>
      </c>
      <c r="H195" s="177" t="str">
        <f>IFERROR(Tab_Compteur_2[[#This Row],[Colonne1]]/Tab_Compteur_2[[#This Row],[Delta Jour]],"")</f>
        <v/>
      </c>
      <c r="I195" s="184" t="str">
        <f t="shared" ref="I195:I243" si="6">G195</f>
        <v/>
      </c>
      <c r="J195" s="450"/>
      <c r="K195" s="70"/>
      <c r="L195" s="70"/>
      <c r="M195" s="70"/>
    </row>
    <row r="196" spans="1:13">
      <c r="A196" s="2">
        <f t="shared" si="5"/>
        <v>1</v>
      </c>
      <c r="B196" s="501"/>
      <c r="C196" s="180"/>
      <c r="D196" s="495"/>
      <c r="E196" s="515"/>
      <c r="F196" s="177" t="str">
        <f>IF(Tab_Compteur_2[[#This Row],[Fin de période]]&gt;0,IFERROR(B196-A196+1,""),"")</f>
        <v/>
      </c>
      <c r="G196" t="str">
        <f>IF(IFERROR(IF(Str_TypeDonneesCpt2=Cpt_Index,Tab_Compteur_2[[#This Row],[Index]]-E195,Tab_Compteur_2[[#This Row],[Quantité]])/Tab_Compteur_2[[#This Row],[Delta Jour]],"")&lt;0,"",IFERROR(IF(Str_TypeDonneesCpt2=Cpt_Index,Tab_Compteur_2[[#This Row],[Index]]-E195,Tab_Compteur_2[[#This Row],[Quantité]])/Tab_Compteur_2[[#This Row],[Delta Jour]],""))</f>
        <v/>
      </c>
      <c r="H196" s="177" t="str">
        <f>IFERROR(Tab_Compteur_2[[#This Row],[Colonne1]]/Tab_Compteur_2[[#This Row],[Delta Jour]],"")</f>
        <v/>
      </c>
      <c r="I196" s="184" t="str">
        <f t="shared" si="6"/>
        <v/>
      </c>
      <c r="J196" s="450"/>
      <c r="K196" s="70"/>
      <c r="L196" s="70"/>
      <c r="M196" s="70"/>
    </row>
    <row r="197" spans="1:13">
      <c r="A197" s="2">
        <f t="shared" si="5"/>
        <v>1</v>
      </c>
      <c r="B197" s="501"/>
      <c r="C197" s="180"/>
      <c r="D197" s="495"/>
      <c r="E197" s="515"/>
      <c r="F197" s="177" t="str">
        <f>IF(Tab_Compteur_2[[#This Row],[Fin de période]]&gt;0,IFERROR(B197-A197+1,""),"")</f>
        <v/>
      </c>
      <c r="G197" t="str">
        <f>IF(IFERROR(IF(Str_TypeDonneesCpt2=Cpt_Index,Tab_Compteur_2[[#This Row],[Index]]-E196,Tab_Compteur_2[[#This Row],[Quantité]])/Tab_Compteur_2[[#This Row],[Delta Jour]],"")&lt;0,"",IFERROR(IF(Str_TypeDonneesCpt2=Cpt_Index,Tab_Compteur_2[[#This Row],[Index]]-E196,Tab_Compteur_2[[#This Row],[Quantité]])/Tab_Compteur_2[[#This Row],[Delta Jour]],""))</f>
        <v/>
      </c>
      <c r="H197" s="177" t="str">
        <f>IFERROR(Tab_Compteur_2[[#This Row],[Colonne1]]/Tab_Compteur_2[[#This Row],[Delta Jour]],"")</f>
        <v/>
      </c>
      <c r="I197" s="184" t="str">
        <f t="shared" si="6"/>
        <v/>
      </c>
      <c r="J197" s="450"/>
      <c r="K197" s="70"/>
      <c r="L197" s="70"/>
      <c r="M197" s="70"/>
    </row>
    <row r="198" spans="1:13">
      <c r="A198" s="2">
        <f t="shared" ref="A198:A243" si="7">IFERROR(B197+1,0)</f>
        <v>1</v>
      </c>
      <c r="B198" s="501"/>
      <c r="C198" s="180"/>
      <c r="D198" s="495"/>
      <c r="E198" s="515"/>
      <c r="F198" s="177" t="str">
        <f>IF(Tab_Compteur_2[[#This Row],[Fin de période]]&gt;0,IFERROR(B198-A198+1,""),"")</f>
        <v/>
      </c>
      <c r="G198" t="str">
        <f>IF(IFERROR(IF(Str_TypeDonneesCpt2=Cpt_Index,Tab_Compteur_2[[#This Row],[Index]]-E197,Tab_Compteur_2[[#This Row],[Quantité]])/Tab_Compteur_2[[#This Row],[Delta Jour]],"")&lt;0,"",IFERROR(IF(Str_TypeDonneesCpt2=Cpt_Index,Tab_Compteur_2[[#This Row],[Index]]-E197,Tab_Compteur_2[[#This Row],[Quantité]])/Tab_Compteur_2[[#This Row],[Delta Jour]],""))</f>
        <v/>
      </c>
      <c r="H198" s="177" t="str">
        <f>IFERROR(Tab_Compteur_2[[#This Row],[Colonne1]]/Tab_Compteur_2[[#This Row],[Delta Jour]],"")</f>
        <v/>
      </c>
      <c r="I198" s="184" t="str">
        <f t="shared" si="6"/>
        <v/>
      </c>
      <c r="J198" s="450"/>
      <c r="K198" s="70"/>
      <c r="L198" s="70"/>
      <c r="M198" s="70"/>
    </row>
    <row r="199" spans="1:13">
      <c r="A199" s="2">
        <f t="shared" si="7"/>
        <v>1</v>
      </c>
      <c r="B199" s="501"/>
      <c r="C199" s="180"/>
      <c r="D199" s="495"/>
      <c r="E199" s="515"/>
      <c r="F199" s="177" t="str">
        <f>IF(Tab_Compteur_2[[#This Row],[Fin de période]]&gt;0,IFERROR(B199-A199+1,""),"")</f>
        <v/>
      </c>
      <c r="G199" t="str">
        <f>IF(IFERROR(IF(Str_TypeDonneesCpt2=Cpt_Index,Tab_Compteur_2[[#This Row],[Index]]-E198,Tab_Compteur_2[[#This Row],[Quantité]])/Tab_Compteur_2[[#This Row],[Delta Jour]],"")&lt;0,"",IFERROR(IF(Str_TypeDonneesCpt2=Cpt_Index,Tab_Compteur_2[[#This Row],[Index]]-E198,Tab_Compteur_2[[#This Row],[Quantité]])/Tab_Compteur_2[[#This Row],[Delta Jour]],""))</f>
        <v/>
      </c>
      <c r="H199" s="177" t="str">
        <f>IFERROR(Tab_Compteur_2[[#This Row],[Colonne1]]/Tab_Compteur_2[[#This Row],[Delta Jour]],"")</f>
        <v/>
      </c>
      <c r="I199" s="184" t="str">
        <f t="shared" si="6"/>
        <v/>
      </c>
      <c r="J199" s="450"/>
      <c r="K199" s="70"/>
      <c r="L199" s="70"/>
      <c r="M199" s="70"/>
    </row>
    <row r="200" spans="1:13">
      <c r="A200" s="2">
        <f t="shared" si="7"/>
        <v>1</v>
      </c>
      <c r="B200" s="501"/>
      <c r="C200" s="180"/>
      <c r="D200" s="495"/>
      <c r="E200" s="515"/>
      <c r="F200" s="177" t="str">
        <f>IF(Tab_Compteur_2[[#This Row],[Fin de période]]&gt;0,IFERROR(B200-A200+1,""),"")</f>
        <v/>
      </c>
      <c r="G200" t="str">
        <f>IF(IFERROR(IF(Str_TypeDonneesCpt2=Cpt_Index,Tab_Compteur_2[[#This Row],[Index]]-E199,Tab_Compteur_2[[#This Row],[Quantité]])/Tab_Compteur_2[[#This Row],[Delta Jour]],"")&lt;0,"",IFERROR(IF(Str_TypeDonneesCpt2=Cpt_Index,Tab_Compteur_2[[#This Row],[Index]]-E199,Tab_Compteur_2[[#This Row],[Quantité]])/Tab_Compteur_2[[#This Row],[Delta Jour]],""))</f>
        <v/>
      </c>
      <c r="H200" s="177" t="str">
        <f>IFERROR(Tab_Compteur_2[[#This Row],[Colonne1]]/Tab_Compteur_2[[#This Row],[Delta Jour]],"")</f>
        <v/>
      </c>
      <c r="I200" s="184" t="str">
        <f t="shared" si="6"/>
        <v/>
      </c>
      <c r="J200" s="450"/>
      <c r="K200" s="70"/>
      <c r="L200" s="70"/>
      <c r="M200" s="70"/>
    </row>
    <row r="201" spans="1:13">
      <c r="A201" s="2">
        <f t="shared" si="7"/>
        <v>1</v>
      </c>
      <c r="B201" s="501"/>
      <c r="C201" s="180"/>
      <c r="D201" s="495"/>
      <c r="E201" s="515"/>
      <c r="F201" s="177" t="str">
        <f>IF(Tab_Compteur_2[[#This Row],[Fin de période]]&gt;0,IFERROR(B201-A201+1,""),"")</f>
        <v/>
      </c>
      <c r="G201" t="str">
        <f>IF(IFERROR(IF(Str_TypeDonneesCpt2=Cpt_Index,Tab_Compteur_2[[#This Row],[Index]]-E200,Tab_Compteur_2[[#This Row],[Quantité]])/Tab_Compteur_2[[#This Row],[Delta Jour]],"")&lt;0,"",IFERROR(IF(Str_TypeDonneesCpt2=Cpt_Index,Tab_Compteur_2[[#This Row],[Index]]-E200,Tab_Compteur_2[[#This Row],[Quantité]])/Tab_Compteur_2[[#This Row],[Delta Jour]],""))</f>
        <v/>
      </c>
      <c r="H201" s="177" t="str">
        <f>IFERROR(Tab_Compteur_2[[#This Row],[Colonne1]]/Tab_Compteur_2[[#This Row],[Delta Jour]],"")</f>
        <v/>
      </c>
      <c r="I201" s="184" t="str">
        <f t="shared" si="6"/>
        <v/>
      </c>
      <c r="J201" s="450"/>
      <c r="K201" s="70"/>
      <c r="L201" s="70"/>
      <c r="M201" s="70"/>
    </row>
    <row r="202" spans="1:13">
      <c r="A202" s="2">
        <f t="shared" si="7"/>
        <v>1</v>
      </c>
      <c r="B202" s="501"/>
      <c r="C202" s="180"/>
      <c r="D202" s="495"/>
      <c r="E202" s="515"/>
      <c r="F202" s="177" t="str">
        <f>IF(Tab_Compteur_2[[#This Row],[Fin de période]]&gt;0,IFERROR(B202-A202+1,""),"")</f>
        <v/>
      </c>
      <c r="G202" t="str">
        <f>IF(IFERROR(IF(Str_TypeDonneesCpt2=Cpt_Index,Tab_Compteur_2[[#This Row],[Index]]-E201,Tab_Compteur_2[[#This Row],[Quantité]])/Tab_Compteur_2[[#This Row],[Delta Jour]],"")&lt;0,"",IFERROR(IF(Str_TypeDonneesCpt2=Cpt_Index,Tab_Compteur_2[[#This Row],[Index]]-E201,Tab_Compteur_2[[#This Row],[Quantité]])/Tab_Compteur_2[[#This Row],[Delta Jour]],""))</f>
        <v/>
      </c>
      <c r="H202" s="177" t="str">
        <f>IFERROR(Tab_Compteur_2[[#This Row],[Colonne1]]/Tab_Compteur_2[[#This Row],[Delta Jour]],"")</f>
        <v/>
      </c>
      <c r="I202" s="184" t="str">
        <f t="shared" si="6"/>
        <v/>
      </c>
      <c r="J202" s="450"/>
      <c r="K202" s="70"/>
      <c r="L202" s="70"/>
      <c r="M202" s="70"/>
    </row>
    <row r="203" spans="1:13">
      <c r="A203" s="2">
        <f t="shared" si="7"/>
        <v>1</v>
      </c>
      <c r="B203" s="501"/>
      <c r="C203" s="180"/>
      <c r="D203" s="495"/>
      <c r="E203" s="515"/>
      <c r="F203" s="177" t="str">
        <f>IF(Tab_Compteur_2[[#This Row],[Fin de période]]&gt;0,IFERROR(B203-A203+1,""),"")</f>
        <v/>
      </c>
      <c r="G203" t="str">
        <f>IF(IFERROR(IF(Str_TypeDonneesCpt2=Cpt_Index,Tab_Compteur_2[[#This Row],[Index]]-E202,Tab_Compteur_2[[#This Row],[Quantité]])/Tab_Compteur_2[[#This Row],[Delta Jour]],"")&lt;0,"",IFERROR(IF(Str_TypeDonneesCpt2=Cpt_Index,Tab_Compteur_2[[#This Row],[Index]]-E202,Tab_Compteur_2[[#This Row],[Quantité]])/Tab_Compteur_2[[#This Row],[Delta Jour]],""))</f>
        <v/>
      </c>
      <c r="H203" s="177" t="str">
        <f>IFERROR(Tab_Compteur_2[[#This Row],[Colonne1]]/Tab_Compteur_2[[#This Row],[Delta Jour]],"")</f>
        <v/>
      </c>
      <c r="I203" s="184" t="str">
        <f t="shared" si="6"/>
        <v/>
      </c>
      <c r="J203" s="450"/>
      <c r="K203" s="70"/>
      <c r="L203" s="70"/>
      <c r="M203" s="70"/>
    </row>
    <row r="204" spans="1:13">
      <c r="A204" s="2">
        <f t="shared" si="7"/>
        <v>1</v>
      </c>
      <c r="B204" s="501"/>
      <c r="C204" s="180"/>
      <c r="D204" s="495"/>
      <c r="E204" s="515"/>
      <c r="F204" s="177" t="str">
        <f>IF(Tab_Compteur_2[[#This Row],[Fin de période]]&gt;0,IFERROR(B204-A204+1,""),"")</f>
        <v/>
      </c>
      <c r="G204" t="str">
        <f>IF(IFERROR(IF(Str_TypeDonneesCpt2=Cpt_Index,Tab_Compteur_2[[#This Row],[Index]]-E203,Tab_Compteur_2[[#This Row],[Quantité]])/Tab_Compteur_2[[#This Row],[Delta Jour]],"")&lt;0,"",IFERROR(IF(Str_TypeDonneesCpt2=Cpt_Index,Tab_Compteur_2[[#This Row],[Index]]-E203,Tab_Compteur_2[[#This Row],[Quantité]])/Tab_Compteur_2[[#This Row],[Delta Jour]],""))</f>
        <v/>
      </c>
      <c r="H204" s="177" t="str">
        <f>IFERROR(Tab_Compteur_2[[#This Row],[Colonne1]]/Tab_Compteur_2[[#This Row],[Delta Jour]],"")</f>
        <v/>
      </c>
      <c r="I204" s="184" t="str">
        <f t="shared" si="6"/>
        <v/>
      </c>
      <c r="J204" s="450"/>
      <c r="K204" s="70"/>
      <c r="L204" s="70"/>
      <c r="M204" s="70"/>
    </row>
    <row r="205" spans="1:13">
      <c r="A205" s="2">
        <f t="shared" si="7"/>
        <v>1</v>
      </c>
      <c r="B205" s="501"/>
      <c r="C205" s="180"/>
      <c r="D205" s="495"/>
      <c r="E205" s="515"/>
      <c r="F205" s="177" t="str">
        <f>IF(Tab_Compteur_2[[#This Row],[Fin de période]]&gt;0,IFERROR(B205-A205+1,""),"")</f>
        <v/>
      </c>
      <c r="G205" t="str">
        <f>IF(IFERROR(IF(Str_TypeDonneesCpt2=Cpt_Index,Tab_Compteur_2[[#This Row],[Index]]-E204,Tab_Compteur_2[[#This Row],[Quantité]])/Tab_Compteur_2[[#This Row],[Delta Jour]],"")&lt;0,"",IFERROR(IF(Str_TypeDonneesCpt2=Cpt_Index,Tab_Compteur_2[[#This Row],[Index]]-E204,Tab_Compteur_2[[#This Row],[Quantité]])/Tab_Compteur_2[[#This Row],[Delta Jour]],""))</f>
        <v/>
      </c>
      <c r="H205" s="177" t="str">
        <f>IFERROR(Tab_Compteur_2[[#This Row],[Colonne1]]/Tab_Compteur_2[[#This Row],[Delta Jour]],"")</f>
        <v/>
      </c>
      <c r="I205" s="184" t="str">
        <f t="shared" si="6"/>
        <v/>
      </c>
      <c r="J205" s="450"/>
      <c r="K205" s="70"/>
      <c r="L205" s="70"/>
      <c r="M205" s="70"/>
    </row>
    <row r="206" spans="1:13">
      <c r="A206" s="2">
        <f t="shared" si="7"/>
        <v>1</v>
      </c>
      <c r="B206" s="501"/>
      <c r="C206" s="180"/>
      <c r="D206" s="495"/>
      <c r="E206" s="515"/>
      <c r="F206" s="177" t="str">
        <f>IF(Tab_Compteur_2[[#This Row],[Fin de période]]&gt;0,IFERROR(B206-A206+1,""),"")</f>
        <v/>
      </c>
      <c r="G206" t="str">
        <f>IF(IFERROR(IF(Str_TypeDonneesCpt2=Cpt_Index,Tab_Compteur_2[[#This Row],[Index]]-E205,Tab_Compteur_2[[#This Row],[Quantité]])/Tab_Compteur_2[[#This Row],[Delta Jour]],"")&lt;0,"",IFERROR(IF(Str_TypeDonneesCpt2=Cpt_Index,Tab_Compteur_2[[#This Row],[Index]]-E205,Tab_Compteur_2[[#This Row],[Quantité]])/Tab_Compteur_2[[#This Row],[Delta Jour]],""))</f>
        <v/>
      </c>
      <c r="H206" s="177" t="str">
        <f>IFERROR(Tab_Compteur_2[[#This Row],[Colonne1]]/Tab_Compteur_2[[#This Row],[Delta Jour]],"")</f>
        <v/>
      </c>
      <c r="I206" s="184" t="str">
        <f t="shared" si="6"/>
        <v/>
      </c>
      <c r="J206" s="450"/>
      <c r="K206" s="70"/>
      <c r="L206" s="70"/>
      <c r="M206" s="70"/>
    </row>
    <row r="207" spans="1:13">
      <c r="A207" s="2">
        <f t="shared" si="7"/>
        <v>1</v>
      </c>
      <c r="B207" s="501"/>
      <c r="C207" s="180"/>
      <c r="D207" s="495"/>
      <c r="E207" s="515"/>
      <c r="F207" s="177" t="str">
        <f>IF(Tab_Compteur_2[[#This Row],[Fin de période]]&gt;0,IFERROR(B207-A207+1,""),"")</f>
        <v/>
      </c>
      <c r="G207" t="str">
        <f>IF(IFERROR(IF(Str_TypeDonneesCpt2=Cpt_Index,Tab_Compteur_2[[#This Row],[Index]]-E206,Tab_Compteur_2[[#This Row],[Quantité]])/Tab_Compteur_2[[#This Row],[Delta Jour]],"")&lt;0,"",IFERROR(IF(Str_TypeDonneesCpt2=Cpt_Index,Tab_Compteur_2[[#This Row],[Index]]-E206,Tab_Compteur_2[[#This Row],[Quantité]])/Tab_Compteur_2[[#This Row],[Delta Jour]],""))</f>
        <v/>
      </c>
      <c r="H207" s="177" t="str">
        <f>IFERROR(Tab_Compteur_2[[#This Row],[Colonne1]]/Tab_Compteur_2[[#This Row],[Delta Jour]],"")</f>
        <v/>
      </c>
      <c r="I207" s="184" t="str">
        <f t="shared" si="6"/>
        <v/>
      </c>
      <c r="J207" s="450"/>
      <c r="K207" s="70"/>
      <c r="L207" s="70"/>
      <c r="M207" s="70"/>
    </row>
    <row r="208" spans="1:13">
      <c r="A208" s="2">
        <f t="shared" si="7"/>
        <v>1</v>
      </c>
      <c r="B208" s="501"/>
      <c r="C208" s="180"/>
      <c r="D208" s="495"/>
      <c r="E208" s="515"/>
      <c r="F208" s="177" t="str">
        <f>IF(Tab_Compteur_2[[#This Row],[Fin de période]]&gt;0,IFERROR(B208-A208+1,""),"")</f>
        <v/>
      </c>
      <c r="G208" t="str">
        <f>IF(IFERROR(IF(Str_TypeDonneesCpt2=Cpt_Index,Tab_Compteur_2[[#This Row],[Index]]-E207,Tab_Compteur_2[[#This Row],[Quantité]])/Tab_Compteur_2[[#This Row],[Delta Jour]],"")&lt;0,"",IFERROR(IF(Str_TypeDonneesCpt2=Cpt_Index,Tab_Compteur_2[[#This Row],[Index]]-E207,Tab_Compteur_2[[#This Row],[Quantité]])/Tab_Compteur_2[[#This Row],[Delta Jour]],""))</f>
        <v/>
      </c>
      <c r="H208" s="177" t="str">
        <f>IFERROR(Tab_Compteur_2[[#This Row],[Colonne1]]/Tab_Compteur_2[[#This Row],[Delta Jour]],"")</f>
        <v/>
      </c>
      <c r="I208" s="184" t="str">
        <f t="shared" si="6"/>
        <v/>
      </c>
      <c r="J208" s="450"/>
      <c r="K208" s="70"/>
      <c r="L208" s="70"/>
      <c r="M208" s="70"/>
    </row>
    <row r="209" spans="1:13">
      <c r="A209" s="2">
        <f t="shared" si="7"/>
        <v>1</v>
      </c>
      <c r="B209" s="501"/>
      <c r="C209" s="180"/>
      <c r="D209" s="495"/>
      <c r="E209" s="515"/>
      <c r="F209" s="177" t="str">
        <f>IF(Tab_Compteur_2[[#This Row],[Fin de période]]&gt;0,IFERROR(B209-A209+1,""),"")</f>
        <v/>
      </c>
      <c r="G209" t="str">
        <f>IF(IFERROR(IF(Str_TypeDonneesCpt2=Cpt_Index,Tab_Compteur_2[[#This Row],[Index]]-E208,Tab_Compteur_2[[#This Row],[Quantité]])/Tab_Compteur_2[[#This Row],[Delta Jour]],"")&lt;0,"",IFERROR(IF(Str_TypeDonneesCpt2=Cpt_Index,Tab_Compteur_2[[#This Row],[Index]]-E208,Tab_Compteur_2[[#This Row],[Quantité]])/Tab_Compteur_2[[#This Row],[Delta Jour]],""))</f>
        <v/>
      </c>
      <c r="H209" s="177" t="str">
        <f>IFERROR(Tab_Compteur_2[[#This Row],[Colonne1]]/Tab_Compteur_2[[#This Row],[Delta Jour]],"")</f>
        <v/>
      </c>
      <c r="I209" s="184" t="str">
        <f t="shared" si="6"/>
        <v/>
      </c>
      <c r="J209" s="450"/>
      <c r="K209" s="70"/>
      <c r="L209" s="70"/>
      <c r="M209" s="70"/>
    </row>
    <row r="210" spans="1:13">
      <c r="A210" s="2">
        <f t="shared" si="7"/>
        <v>1</v>
      </c>
      <c r="B210" s="501"/>
      <c r="C210" s="180"/>
      <c r="D210" s="495"/>
      <c r="E210" s="515"/>
      <c r="F210" s="177" t="str">
        <f>IF(Tab_Compteur_2[[#This Row],[Fin de période]]&gt;0,IFERROR(B210-A210+1,""),"")</f>
        <v/>
      </c>
      <c r="G210" t="str">
        <f>IF(IFERROR(IF(Str_TypeDonneesCpt2=Cpt_Index,Tab_Compteur_2[[#This Row],[Index]]-E209,Tab_Compteur_2[[#This Row],[Quantité]])/Tab_Compteur_2[[#This Row],[Delta Jour]],"")&lt;0,"",IFERROR(IF(Str_TypeDonneesCpt2=Cpt_Index,Tab_Compteur_2[[#This Row],[Index]]-E209,Tab_Compteur_2[[#This Row],[Quantité]])/Tab_Compteur_2[[#This Row],[Delta Jour]],""))</f>
        <v/>
      </c>
      <c r="H210" s="177" t="str">
        <f>IFERROR(Tab_Compteur_2[[#This Row],[Colonne1]]/Tab_Compteur_2[[#This Row],[Delta Jour]],"")</f>
        <v/>
      </c>
      <c r="I210" s="184" t="str">
        <f t="shared" si="6"/>
        <v/>
      </c>
      <c r="J210" s="450"/>
      <c r="K210" s="70"/>
      <c r="L210" s="70"/>
      <c r="M210" s="70"/>
    </row>
    <row r="211" spans="1:13">
      <c r="A211" s="2">
        <f t="shared" si="7"/>
        <v>1</v>
      </c>
      <c r="B211" s="501"/>
      <c r="C211" s="180"/>
      <c r="D211" s="495"/>
      <c r="E211" s="515"/>
      <c r="F211" s="177" t="str">
        <f>IF(Tab_Compteur_2[[#This Row],[Fin de période]]&gt;0,IFERROR(B211-A211+1,""),"")</f>
        <v/>
      </c>
      <c r="G211" t="str">
        <f>IF(IFERROR(IF(Str_TypeDonneesCpt2=Cpt_Index,Tab_Compteur_2[[#This Row],[Index]]-E210,Tab_Compteur_2[[#This Row],[Quantité]])/Tab_Compteur_2[[#This Row],[Delta Jour]],"")&lt;0,"",IFERROR(IF(Str_TypeDonneesCpt2=Cpt_Index,Tab_Compteur_2[[#This Row],[Index]]-E210,Tab_Compteur_2[[#This Row],[Quantité]])/Tab_Compteur_2[[#This Row],[Delta Jour]],""))</f>
        <v/>
      </c>
      <c r="H211" s="177" t="str">
        <f>IFERROR(Tab_Compteur_2[[#This Row],[Colonne1]]/Tab_Compteur_2[[#This Row],[Delta Jour]],"")</f>
        <v/>
      </c>
      <c r="I211" s="184" t="str">
        <f t="shared" si="6"/>
        <v/>
      </c>
      <c r="J211" s="450"/>
      <c r="K211" s="70"/>
      <c r="L211" s="70"/>
      <c r="M211" s="70"/>
    </row>
    <row r="212" spans="1:13">
      <c r="A212" s="2">
        <f t="shared" si="7"/>
        <v>1</v>
      </c>
      <c r="B212" s="501"/>
      <c r="C212" s="180"/>
      <c r="D212" s="495"/>
      <c r="E212" s="515"/>
      <c r="F212" s="177" t="str">
        <f>IF(Tab_Compteur_2[[#This Row],[Fin de période]]&gt;0,IFERROR(B212-A212+1,""),"")</f>
        <v/>
      </c>
      <c r="G212" t="str">
        <f>IF(IFERROR(IF(Str_TypeDonneesCpt2=Cpt_Index,Tab_Compteur_2[[#This Row],[Index]]-E211,Tab_Compteur_2[[#This Row],[Quantité]])/Tab_Compteur_2[[#This Row],[Delta Jour]],"")&lt;0,"",IFERROR(IF(Str_TypeDonneesCpt2=Cpt_Index,Tab_Compteur_2[[#This Row],[Index]]-E211,Tab_Compteur_2[[#This Row],[Quantité]])/Tab_Compteur_2[[#This Row],[Delta Jour]],""))</f>
        <v/>
      </c>
      <c r="H212" s="177" t="str">
        <f>IFERROR(Tab_Compteur_2[[#This Row],[Colonne1]]/Tab_Compteur_2[[#This Row],[Delta Jour]],"")</f>
        <v/>
      </c>
      <c r="I212" s="184" t="str">
        <f t="shared" si="6"/>
        <v/>
      </c>
      <c r="J212" s="450"/>
      <c r="K212" s="70"/>
      <c r="L212" s="70"/>
      <c r="M212" s="70"/>
    </row>
    <row r="213" spans="1:13">
      <c r="A213" s="2">
        <f t="shared" si="7"/>
        <v>1</v>
      </c>
      <c r="B213" s="501"/>
      <c r="C213" s="180"/>
      <c r="D213" s="495"/>
      <c r="E213" s="515"/>
      <c r="F213" s="177" t="str">
        <f>IF(Tab_Compteur_2[[#This Row],[Fin de période]]&gt;0,IFERROR(B213-A213+1,""),"")</f>
        <v/>
      </c>
      <c r="G213" t="str">
        <f>IF(IFERROR(IF(Str_TypeDonneesCpt2=Cpt_Index,Tab_Compteur_2[[#This Row],[Index]]-E212,Tab_Compteur_2[[#This Row],[Quantité]])/Tab_Compteur_2[[#This Row],[Delta Jour]],"")&lt;0,"",IFERROR(IF(Str_TypeDonneesCpt2=Cpt_Index,Tab_Compteur_2[[#This Row],[Index]]-E212,Tab_Compteur_2[[#This Row],[Quantité]])/Tab_Compteur_2[[#This Row],[Delta Jour]],""))</f>
        <v/>
      </c>
      <c r="H213" s="177" t="str">
        <f>IFERROR(Tab_Compteur_2[[#This Row],[Colonne1]]/Tab_Compteur_2[[#This Row],[Delta Jour]],"")</f>
        <v/>
      </c>
      <c r="I213" s="184" t="str">
        <f t="shared" si="6"/>
        <v/>
      </c>
      <c r="J213" s="450"/>
      <c r="K213" s="70"/>
      <c r="L213" s="70"/>
      <c r="M213" s="70"/>
    </row>
    <row r="214" spans="1:13">
      <c r="A214" s="2">
        <f t="shared" si="7"/>
        <v>1</v>
      </c>
      <c r="B214" s="501"/>
      <c r="C214" s="180"/>
      <c r="D214" s="495"/>
      <c r="E214" s="515"/>
      <c r="F214" s="177" t="str">
        <f>IF(Tab_Compteur_2[[#This Row],[Fin de période]]&gt;0,IFERROR(B214-A214+1,""),"")</f>
        <v/>
      </c>
      <c r="G214" t="str">
        <f>IF(IFERROR(IF(Str_TypeDonneesCpt2=Cpt_Index,Tab_Compteur_2[[#This Row],[Index]]-E213,Tab_Compteur_2[[#This Row],[Quantité]])/Tab_Compteur_2[[#This Row],[Delta Jour]],"")&lt;0,"",IFERROR(IF(Str_TypeDonneesCpt2=Cpt_Index,Tab_Compteur_2[[#This Row],[Index]]-E213,Tab_Compteur_2[[#This Row],[Quantité]])/Tab_Compteur_2[[#This Row],[Delta Jour]],""))</f>
        <v/>
      </c>
      <c r="H214" s="177" t="str">
        <f>IFERROR(Tab_Compteur_2[[#This Row],[Colonne1]]/Tab_Compteur_2[[#This Row],[Delta Jour]],"")</f>
        <v/>
      </c>
      <c r="I214" s="184" t="str">
        <f t="shared" si="6"/>
        <v/>
      </c>
      <c r="J214" s="450"/>
      <c r="K214" s="70"/>
      <c r="L214" s="70"/>
      <c r="M214" s="70"/>
    </row>
    <row r="215" spans="1:13">
      <c r="A215" s="2">
        <f t="shared" si="7"/>
        <v>1</v>
      </c>
      <c r="B215" s="501"/>
      <c r="C215" s="180"/>
      <c r="D215" s="495"/>
      <c r="E215" s="515"/>
      <c r="F215" s="177" t="str">
        <f>IF(Tab_Compteur_2[[#This Row],[Fin de période]]&gt;0,IFERROR(B215-A215+1,""),"")</f>
        <v/>
      </c>
      <c r="G215" t="str">
        <f>IF(IFERROR(IF(Str_TypeDonneesCpt2=Cpt_Index,Tab_Compteur_2[[#This Row],[Index]]-E214,Tab_Compteur_2[[#This Row],[Quantité]])/Tab_Compteur_2[[#This Row],[Delta Jour]],"")&lt;0,"",IFERROR(IF(Str_TypeDonneesCpt2=Cpt_Index,Tab_Compteur_2[[#This Row],[Index]]-E214,Tab_Compteur_2[[#This Row],[Quantité]])/Tab_Compteur_2[[#This Row],[Delta Jour]],""))</f>
        <v/>
      </c>
      <c r="H215" s="177" t="str">
        <f>IFERROR(Tab_Compteur_2[[#This Row],[Colonne1]]/Tab_Compteur_2[[#This Row],[Delta Jour]],"")</f>
        <v/>
      </c>
      <c r="I215" s="184" t="str">
        <f t="shared" si="6"/>
        <v/>
      </c>
      <c r="J215" s="450"/>
      <c r="K215" s="70"/>
      <c r="L215" s="70"/>
      <c r="M215" s="70"/>
    </row>
    <row r="216" spans="1:13">
      <c r="A216" s="2">
        <f t="shared" si="7"/>
        <v>1</v>
      </c>
      <c r="B216" s="501"/>
      <c r="C216" s="180"/>
      <c r="D216" s="495"/>
      <c r="E216" s="515"/>
      <c r="F216" s="177" t="str">
        <f>IF(Tab_Compteur_2[[#This Row],[Fin de période]]&gt;0,IFERROR(B216-A216+1,""),"")</f>
        <v/>
      </c>
      <c r="G216" t="str">
        <f>IF(IFERROR(IF(Str_TypeDonneesCpt2=Cpt_Index,Tab_Compteur_2[[#This Row],[Index]]-E215,Tab_Compteur_2[[#This Row],[Quantité]])/Tab_Compteur_2[[#This Row],[Delta Jour]],"")&lt;0,"",IFERROR(IF(Str_TypeDonneesCpt2=Cpt_Index,Tab_Compteur_2[[#This Row],[Index]]-E215,Tab_Compteur_2[[#This Row],[Quantité]])/Tab_Compteur_2[[#This Row],[Delta Jour]],""))</f>
        <v/>
      </c>
      <c r="H216" s="177" t="str">
        <f>IFERROR(Tab_Compteur_2[[#This Row],[Colonne1]]/Tab_Compteur_2[[#This Row],[Delta Jour]],"")</f>
        <v/>
      </c>
      <c r="I216" s="184" t="str">
        <f t="shared" si="6"/>
        <v/>
      </c>
      <c r="J216" s="450"/>
      <c r="K216" s="70"/>
      <c r="L216" s="70"/>
      <c r="M216" s="70"/>
    </row>
    <row r="217" spans="1:13">
      <c r="A217" s="2">
        <f t="shared" si="7"/>
        <v>1</v>
      </c>
      <c r="B217" s="501"/>
      <c r="C217" s="180"/>
      <c r="D217" s="495"/>
      <c r="E217" s="515"/>
      <c r="F217" s="177" t="str">
        <f>IF(Tab_Compteur_2[[#This Row],[Fin de période]]&gt;0,IFERROR(B217-A217+1,""),"")</f>
        <v/>
      </c>
      <c r="G217" t="str">
        <f>IF(IFERROR(IF(Str_TypeDonneesCpt2=Cpt_Index,Tab_Compteur_2[[#This Row],[Index]]-E216,Tab_Compteur_2[[#This Row],[Quantité]])/Tab_Compteur_2[[#This Row],[Delta Jour]],"")&lt;0,"",IFERROR(IF(Str_TypeDonneesCpt2=Cpt_Index,Tab_Compteur_2[[#This Row],[Index]]-E216,Tab_Compteur_2[[#This Row],[Quantité]])/Tab_Compteur_2[[#This Row],[Delta Jour]],""))</f>
        <v/>
      </c>
      <c r="H217" s="177" t="str">
        <f>IFERROR(Tab_Compteur_2[[#This Row],[Colonne1]]/Tab_Compteur_2[[#This Row],[Delta Jour]],"")</f>
        <v/>
      </c>
      <c r="I217" s="184" t="str">
        <f t="shared" si="6"/>
        <v/>
      </c>
      <c r="J217" s="450"/>
      <c r="K217" s="70"/>
      <c r="L217" s="70"/>
      <c r="M217" s="70"/>
    </row>
    <row r="218" spans="1:13">
      <c r="A218" s="2">
        <f t="shared" si="7"/>
        <v>1</v>
      </c>
      <c r="B218" s="501"/>
      <c r="C218" s="180"/>
      <c r="D218" s="495"/>
      <c r="E218" s="515"/>
      <c r="F218" s="177" t="str">
        <f>IF(Tab_Compteur_2[[#This Row],[Fin de période]]&gt;0,IFERROR(B218-A218+1,""),"")</f>
        <v/>
      </c>
      <c r="G218" t="str">
        <f>IF(IFERROR(IF(Str_TypeDonneesCpt2=Cpt_Index,Tab_Compteur_2[[#This Row],[Index]]-E217,Tab_Compteur_2[[#This Row],[Quantité]])/Tab_Compteur_2[[#This Row],[Delta Jour]],"")&lt;0,"",IFERROR(IF(Str_TypeDonneesCpt2=Cpt_Index,Tab_Compteur_2[[#This Row],[Index]]-E217,Tab_Compteur_2[[#This Row],[Quantité]])/Tab_Compteur_2[[#This Row],[Delta Jour]],""))</f>
        <v/>
      </c>
      <c r="H218" s="177" t="str">
        <f>IFERROR(Tab_Compteur_2[[#This Row],[Colonne1]]/Tab_Compteur_2[[#This Row],[Delta Jour]],"")</f>
        <v/>
      </c>
      <c r="I218" s="184" t="str">
        <f t="shared" si="6"/>
        <v/>
      </c>
      <c r="J218" s="450"/>
      <c r="K218" s="70"/>
      <c r="L218" s="70"/>
      <c r="M218" s="70"/>
    </row>
    <row r="219" spans="1:13">
      <c r="A219" s="2">
        <f t="shared" si="7"/>
        <v>1</v>
      </c>
      <c r="B219" s="501"/>
      <c r="C219" s="180"/>
      <c r="D219" s="495"/>
      <c r="E219" s="515"/>
      <c r="F219" s="177" t="str">
        <f>IF(Tab_Compteur_2[[#This Row],[Fin de période]]&gt;0,IFERROR(B219-A219+1,""),"")</f>
        <v/>
      </c>
      <c r="G219" t="str">
        <f>IF(IFERROR(IF(Str_TypeDonneesCpt2=Cpt_Index,Tab_Compteur_2[[#This Row],[Index]]-E218,Tab_Compteur_2[[#This Row],[Quantité]])/Tab_Compteur_2[[#This Row],[Delta Jour]],"")&lt;0,"",IFERROR(IF(Str_TypeDonneesCpt2=Cpt_Index,Tab_Compteur_2[[#This Row],[Index]]-E218,Tab_Compteur_2[[#This Row],[Quantité]])/Tab_Compteur_2[[#This Row],[Delta Jour]],""))</f>
        <v/>
      </c>
      <c r="H219" s="177" t="str">
        <f>IFERROR(Tab_Compteur_2[[#This Row],[Colonne1]]/Tab_Compteur_2[[#This Row],[Delta Jour]],"")</f>
        <v/>
      </c>
      <c r="I219" s="184" t="str">
        <f t="shared" si="6"/>
        <v/>
      </c>
      <c r="J219" s="450"/>
      <c r="K219" s="70"/>
      <c r="L219" s="70"/>
      <c r="M219" s="70"/>
    </row>
    <row r="220" spans="1:13">
      <c r="A220" s="2">
        <f t="shared" si="7"/>
        <v>1</v>
      </c>
      <c r="B220" s="501"/>
      <c r="C220" s="180"/>
      <c r="D220" s="495"/>
      <c r="E220" s="515"/>
      <c r="F220" s="177" t="str">
        <f>IF(Tab_Compteur_2[[#This Row],[Fin de période]]&gt;0,IFERROR(B220-A220+1,""),"")</f>
        <v/>
      </c>
      <c r="G220" t="str">
        <f>IF(IFERROR(IF(Str_TypeDonneesCpt2=Cpt_Index,Tab_Compteur_2[[#This Row],[Index]]-E219,Tab_Compteur_2[[#This Row],[Quantité]])/Tab_Compteur_2[[#This Row],[Delta Jour]],"")&lt;0,"",IFERROR(IF(Str_TypeDonneesCpt2=Cpt_Index,Tab_Compteur_2[[#This Row],[Index]]-E219,Tab_Compteur_2[[#This Row],[Quantité]])/Tab_Compteur_2[[#This Row],[Delta Jour]],""))</f>
        <v/>
      </c>
      <c r="H220" s="177" t="str">
        <f>IFERROR(Tab_Compteur_2[[#This Row],[Colonne1]]/Tab_Compteur_2[[#This Row],[Delta Jour]],"")</f>
        <v/>
      </c>
      <c r="I220" s="184" t="str">
        <f t="shared" si="6"/>
        <v/>
      </c>
      <c r="J220" s="450"/>
      <c r="K220" s="70"/>
      <c r="L220" s="70"/>
      <c r="M220" s="70"/>
    </row>
    <row r="221" spans="1:13">
      <c r="A221" s="2">
        <f t="shared" si="7"/>
        <v>1</v>
      </c>
      <c r="B221" s="501"/>
      <c r="C221" s="180"/>
      <c r="D221" s="495"/>
      <c r="E221" s="515"/>
      <c r="F221" s="177" t="str">
        <f>IF(Tab_Compteur_2[[#This Row],[Fin de période]]&gt;0,IFERROR(B221-A221+1,""),"")</f>
        <v/>
      </c>
      <c r="G221" t="str">
        <f>IF(IFERROR(IF(Str_TypeDonneesCpt2=Cpt_Index,Tab_Compteur_2[[#This Row],[Index]]-E220,Tab_Compteur_2[[#This Row],[Quantité]])/Tab_Compteur_2[[#This Row],[Delta Jour]],"")&lt;0,"",IFERROR(IF(Str_TypeDonneesCpt2=Cpt_Index,Tab_Compteur_2[[#This Row],[Index]]-E220,Tab_Compteur_2[[#This Row],[Quantité]])/Tab_Compteur_2[[#This Row],[Delta Jour]],""))</f>
        <v/>
      </c>
      <c r="H221" s="177" t="str">
        <f>IFERROR(Tab_Compteur_2[[#This Row],[Colonne1]]/Tab_Compteur_2[[#This Row],[Delta Jour]],"")</f>
        <v/>
      </c>
      <c r="I221" s="184" t="str">
        <f t="shared" si="6"/>
        <v/>
      </c>
      <c r="J221" s="450"/>
      <c r="K221" s="70"/>
      <c r="L221" s="70"/>
      <c r="M221" s="70"/>
    </row>
    <row r="222" spans="1:13">
      <c r="A222" s="2">
        <f t="shared" si="7"/>
        <v>1</v>
      </c>
      <c r="B222" s="501"/>
      <c r="C222" s="180"/>
      <c r="D222" s="495"/>
      <c r="E222" s="515"/>
      <c r="F222" s="177" t="str">
        <f>IF(Tab_Compteur_2[[#This Row],[Fin de période]]&gt;0,IFERROR(B222-A222+1,""),"")</f>
        <v/>
      </c>
      <c r="G222" t="str">
        <f>IF(IFERROR(IF(Str_TypeDonneesCpt2=Cpt_Index,Tab_Compteur_2[[#This Row],[Index]]-E221,Tab_Compteur_2[[#This Row],[Quantité]])/Tab_Compteur_2[[#This Row],[Delta Jour]],"")&lt;0,"",IFERROR(IF(Str_TypeDonneesCpt2=Cpt_Index,Tab_Compteur_2[[#This Row],[Index]]-E221,Tab_Compteur_2[[#This Row],[Quantité]])/Tab_Compteur_2[[#This Row],[Delta Jour]],""))</f>
        <v/>
      </c>
      <c r="H222" s="177" t="str">
        <f>IFERROR(Tab_Compteur_2[[#This Row],[Colonne1]]/Tab_Compteur_2[[#This Row],[Delta Jour]],"")</f>
        <v/>
      </c>
      <c r="I222" s="184" t="str">
        <f t="shared" si="6"/>
        <v/>
      </c>
      <c r="J222" s="450"/>
      <c r="K222" s="70"/>
      <c r="L222" s="70"/>
      <c r="M222" s="70"/>
    </row>
    <row r="223" spans="1:13">
      <c r="A223" s="2">
        <f t="shared" si="7"/>
        <v>1</v>
      </c>
      <c r="B223" s="501"/>
      <c r="C223" s="180"/>
      <c r="D223" s="495"/>
      <c r="E223" s="515"/>
      <c r="F223" s="177" t="str">
        <f>IF(Tab_Compteur_2[[#This Row],[Fin de période]]&gt;0,IFERROR(B223-A223+1,""),"")</f>
        <v/>
      </c>
      <c r="G223" t="str">
        <f>IF(IFERROR(IF(Str_TypeDonneesCpt2=Cpt_Index,Tab_Compteur_2[[#This Row],[Index]]-E222,Tab_Compteur_2[[#This Row],[Quantité]])/Tab_Compteur_2[[#This Row],[Delta Jour]],"")&lt;0,"",IFERROR(IF(Str_TypeDonneesCpt2=Cpt_Index,Tab_Compteur_2[[#This Row],[Index]]-E222,Tab_Compteur_2[[#This Row],[Quantité]])/Tab_Compteur_2[[#This Row],[Delta Jour]],""))</f>
        <v/>
      </c>
      <c r="H223" s="177" t="str">
        <f>IFERROR(Tab_Compteur_2[[#This Row],[Colonne1]]/Tab_Compteur_2[[#This Row],[Delta Jour]],"")</f>
        <v/>
      </c>
      <c r="I223" s="184" t="str">
        <f t="shared" si="6"/>
        <v/>
      </c>
      <c r="J223" s="450"/>
      <c r="K223" s="70"/>
      <c r="L223" s="70"/>
      <c r="M223" s="70"/>
    </row>
    <row r="224" spans="1:13">
      <c r="A224" s="2">
        <f t="shared" si="7"/>
        <v>1</v>
      </c>
      <c r="B224" s="501"/>
      <c r="C224" s="180"/>
      <c r="D224" s="495"/>
      <c r="E224" s="515"/>
      <c r="F224" s="177" t="str">
        <f>IF(Tab_Compteur_2[[#This Row],[Fin de période]]&gt;0,IFERROR(B224-A224+1,""),"")</f>
        <v/>
      </c>
      <c r="G224" t="str">
        <f>IF(IFERROR(IF(Str_TypeDonneesCpt2=Cpt_Index,Tab_Compteur_2[[#This Row],[Index]]-E223,Tab_Compteur_2[[#This Row],[Quantité]])/Tab_Compteur_2[[#This Row],[Delta Jour]],"")&lt;0,"",IFERROR(IF(Str_TypeDonneesCpt2=Cpt_Index,Tab_Compteur_2[[#This Row],[Index]]-E223,Tab_Compteur_2[[#This Row],[Quantité]])/Tab_Compteur_2[[#This Row],[Delta Jour]],""))</f>
        <v/>
      </c>
      <c r="H224" s="177" t="str">
        <f>IFERROR(Tab_Compteur_2[[#This Row],[Colonne1]]/Tab_Compteur_2[[#This Row],[Delta Jour]],"")</f>
        <v/>
      </c>
      <c r="I224" s="184" t="str">
        <f t="shared" si="6"/>
        <v/>
      </c>
      <c r="J224" s="450"/>
      <c r="K224" s="70"/>
      <c r="L224" s="70"/>
      <c r="M224" s="70"/>
    </row>
    <row r="225" spans="1:13">
      <c r="A225" s="2">
        <f t="shared" si="7"/>
        <v>1</v>
      </c>
      <c r="B225" s="501"/>
      <c r="C225" s="180"/>
      <c r="D225" s="495"/>
      <c r="E225" s="515"/>
      <c r="F225" s="177" t="str">
        <f>IF(Tab_Compteur_2[[#This Row],[Fin de période]]&gt;0,IFERROR(B225-A225+1,""),"")</f>
        <v/>
      </c>
      <c r="G225" t="str">
        <f>IF(IFERROR(IF(Str_TypeDonneesCpt2=Cpt_Index,Tab_Compteur_2[[#This Row],[Index]]-E224,Tab_Compteur_2[[#This Row],[Quantité]])/Tab_Compteur_2[[#This Row],[Delta Jour]],"")&lt;0,"",IFERROR(IF(Str_TypeDonneesCpt2=Cpt_Index,Tab_Compteur_2[[#This Row],[Index]]-E224,Tab_Compteur_2[[#This Row],[Quantité]])/Tab_Compteur_2[[#This Row],[Delta Jour]],""))</f>
        <v/>
      </c>
      <c r="H225" s="177" t="str">
        <f>IFERROR(Tab_Compteur_2[[#This Row],[Colonne1]]/Tab_Compteur_2[[#This Row],[Delta Jour]],"")</f>
        <v/>
      </c>
      <c r="I225" s="184" t="str">
        <f t="shared" si="6"/>
        <v/>
      </c>
      <c r="J225" s="450"/>
      <c r="K225" s="70"/>
      <c r="L225" s="70"/>
      <c r="M225" s="70"/>
    </row>
    <row r="226" spans="1:13">
      <c r="A226" s="2">
        <f t="shared" si="7"/>
        <v>1</v>
      </c>
      <c r="B226" s="501"/>
      <c r="C226" s="180"/>
      <c r="D226" s="495"/>
      <c r="E226" s="515"/>
      <c r="F226" s="177" t="str">
        <f>IF(Tab_Compteur_2[[#This Row],[Fin de période]]&gt;0,IFERROR(B226-A226+1,""),"")</f>
        <v/>
      </c>
      <c r="G226" t="str">
        <f>IF(IFERROR(IF(Str_TypeDonneesCpt2=Cpt_Index,Tab_Compteur_2[[#This Row],[Index]]-E225,Tab_Compteur_2[[#This Row],[Quantité]])/Tab_Compteur_2[[#This Row],[Delta Jour]],"")&lt;0,"",IFERROR(IF(Str_TypeDonneesCpt2=Cpt_Index,Tab_Compteur_2[[#This Row],[Index]]-E225,Tab_Compteur_2[[#This Row],[Quantité]])/Tab_Compteur_2[[#This Row],[Delta Jour]],""))</f>
        <v/>
      </c>
      <c r="H226" s="177" t="str">
        <f>IFERROR(Tab_Compteur_2[[#This Row],[Colonne1]]/Tab_Compteur_2[[#This Row],[Delta Jour]],"")</f>
        <v/>
      </c>
      <c r="I226" s="184" t="str">
        <f t="shared" si="6"/>
        <v/>
      </c>
      <c r="J226" s="450"/>
      <c r="K226" s="70"/>
      <c r="L226" s="70"/>
      <c r="M226" s="70"/>
    </row>
    <row r="227" spans="1:13">
      <c r="A227" s="2">
        <f t="shared" si="7"/>
        <v>1</v>
      </c>
      <c r="B227" s="501"/>
      <c r="C227" s="180"/>
      <c r="D227" s="495"/>
      <c r="E227" s="515"/>
      <c r="F227" s="177" t="str">
        <f>IF(Tab_Compteur_2[[#This Row],[Fin de période]]&gt;0,IFERROR(B227-A227+1,""),"")</f>
        <v/>
      </c>
      <c r="G227" t="str">
        <f>IF(IFERROR(IF(Str_TypeDonneesCpt2=Cpt_Index,Tab_Compteur_2[[#This Row],[Index]]-E226,Tab_Compteur_2[[#This Row],[Quantité]])/Tab_Compteur_2[[#This Row],[Delta Jour]],"")&lt;0,"",IFERROR(IF(Str_TypeDonneesCpt2=Cpt_Index,Tab_Compteur_2[[#This Row],[Index]]-E226,Tab_Compteur_2[[#This Row],[Quantité]])/Tab_Compteur_2[[#This Row],[Delta Jour]],""))</f>
        <v/>
      </c>
      <c r="H227" s="177" t="str">
        <f>IFERROR(Tab_Compteur_2[[#This Row],[Colonne1]]/Tab_Compteur_2[[#This Row],[Delta Jour]],"")</f>
        <v/>
      </c>
      <c r="I227" s="184" t="str">
        <f t="shared" si="6"/>
        <v/>
      </c>
      <c r="J227" s="450"/>
      <c r="K227" s="70"/>
      <c r="L227" s="70"/>
      <c r="M227" s="70"/>
    </row>
    <row r="228" spans="1:13">
      <c r="A228" s="2">
        <f t="shared" si="7"/>
        <v>1</v>
      </c>
      <c r="B228" s="501"/>
      <c r="C228" s="180"/>
      <c r="D228" s="495"/>
      <c r="E228" s="515"/>
      <c r="F228" s="177" t="str">
        <f>IF(Tab_Compteur_2[[#This Row],[Fin de période]]&gt;0,IFERROR(B228-A228+1,""),"")</f>
        <v/>
      </c>
      <c r="G228" t="str">
        <f>IF(IFERROR(IF(Str_TypeDonneesCpt2=Cpt_Index,Tab_Compteur_2[[#This Row],[Index]]-E227,Tab_Compteur_2[[#This Row],[Quantité]])/Tab_Compteur_2[[#This Row],[Delta Jour]],"")&lt;0,"",IFERROR(IF(Str_TypeDonneesCpt2=Cpt_Index,Tab_Compteur_2[[#This Row],[Index]]-E227,Tab_Compteur_2[[#This Row],[Quantité]])/Tab_Compteur_2[[#This Row],[Delta Jour]],""))</f>
        <v/>
      </c>
      <c r="H228" s="177" t="str">
        <f>IFERROR(Tab_Compteur_2[[#This Row],[Colonne1]]/Tab_Compteur_2[[#This Row],[Delta Jour]],"")</f>
        <v/>
      </c>
      <c r="I228" s="184" t="str">
        <f t="shared" si="6"/>
        <v/>
      </c>
      <c r="J228" s="450"/>
      <c r="K228" s="70"/>
      <c r="L228" s="70"/>
      <c r="M228" s="70"/>
    </row>
    <row r="229" spans="1:13">
      <c r="A229" s="2">
        <f t="shared" si="7"/>
        <v>1</v>
      </c>
      <c r="B229" s="501"/>
      <c r="C229" s="180"/>
      <c r="D229" s="495"/>
      <c r="E229" s="515"/>
      <c r="F229" s="177" t="str">
        <f>IF(Tab_Compteur_2[[#This Row],[Fin de période]]&gt;0,IFERROR(B229-A229+1,""),"")</f>
        <v/>
      </c>
      <c r="G229" t="str">
        <f>IF(IFERROR(IF(Str_TypeDonneesCpt2=Cpt_Index,Tab_Compteur_2[[#This Row],[Index]]-E228,Tab_Compteur_2[[#This Row],[Quantité]])/Tab_Compteur_2[[#This Row],[Delta Jour]],"")&lt;0,"",IFERROR(IF(Str_TypeDonneesCpt2=Cpt_Index,Tab_Compteur_2[[#This Row],[Index]]-E228,Tab_Compteur_2[[#This Row],[Quantité]])/Tab_Compteur_2[[#This Row],[Delta Jour]],""))</f>
        <v/>
      </c>
      <c r="H229" s="177" t="str">
        <f>IFERROR(Tab_Compteur_2[[#This Row],[Colonne1]]/Tab_Compteur_2[[#This Row],[Delta Jour]],"")</f>
        <v/>
      </c>
      <c r="I229" s="184" t="str">
        <f t="shared" si="6"/>
        <v/>
      </c>
      <c r="J229" s="450"/>
      <c r="K229" s="70"/>
      <c r="L229" s="70"/>
      <c r="M229" s="70"/>
    </row>
    <row r="230" spans="1:13">
      <c r="A230" s="2">
        <f t="shared" si="7"/>
        <v>1</v>
      </c>
      <c r="B230" s="501"/>
      <c r="C230" s="180"/>
      <c r="D230" s="495"/>
      <c r="E230" s="515"/>
      <c r="F230" s="177" t="str">
        <f>IF(Tab_Compteur_2[[#This Row],[Fin de période]]&gt;0,IFERROR(B230-A230+1,""),"")</f>
        <v/>
      </c>
      <c r="G230" t="str">
        <f>IF(IFERROR(IF(Str_TypeDonneesCpt2=Cpt_Index,Tab_Compteur_2[[#This Row],[Index]]-E229,Tab_Compteur_2[[#This Row],[Quantité]])/Tab_Compteur_2[[#This Row],[Delta Jour]],"")&lt;0,"",IFERROR(IF(Str_TypeDonneesCpt2=Cpt_Index,Tab_Compteur_2[[#This Row],[Index]]-E229,Tab_Compteur_2[[#This Row],[Quantité]])/Tab_Compteur_2[[#This Row],[Delta Jour]],""))</f>
        <v/>
      </c>
      <c r="H230" s="177" t="str">
        <f>IFERROR(Tab_Compteur_2[[#This Row],[Colonne1]]/Tab_Compteur_2[[#This Row],[Delta Jour]],"")</f>
        <v/>
      </c>
      <c r="I230" s="184" t="str">
        <f t="shared" si="6"/>
        <v/>
      </c>
      <c r="J230" s="450"/>
      <c r="K230" s="70"/>
      <c r="L230" s="70"/>
      <c r="M230" s="70"/>
    </row>
    <row r="231" spans="1:13">
      <c r="A231" s="2">
        <f t="shared" si="7"/>
        <v>1</v>
      </c>
      <c r="B231" s="501"/>
      <c r="C231" s="180"/>
      <c r="D231" s="495"/>
      <c r="E231" s="515"/>
      <c r="F231" s="177" t="str">
        <f>IF(Tab_Compteur_2[[#This Row],[Fin de période]]&gt;0,IFERROR(B231-A231+1,""),"")</f>
        <v/>
      </c>
      <c r="G231" t="str">
        <f>IF(IFERROR(IF(Str_TypeDonneesCpt2=Cpt_Index,Tab_Compteur_2[[#This Row],[Index]]-E230,Tab_Compteur_2[[#This Row],[Quantité]])/Tab_Compteur_2[[#This Row],[Delta Jour]],"")&lt;0,"",IFERROR(IF(Str_TypeDonneesCpt2=Cpt_Index,Tab_Compteur_2[[#This Row],[Index]]-E230,Tab_Compteur_2[[#This Row],[Quantité]])/Tab_Compteur_2[[#This Row],[Delta Jour]],""))</f>
        <v/>
      </c>
      <c r="H231" s="177" t="str">
        <f>IFERROR(Tab_Compteur_2[[#This Row],[Colonne1]]/Tab_Compteur_2[[#This Row],[Delta Jour]],"")</f>
        <v/>
      </c>
      <c r="I231" s="184" t="str">
        <f t="shared" si="6"/>
        <v/>
      </c>
      <c r="J231" s="450"/>
      <c r="K231" s="70"/>
      <c r="L231" s="70"/>
      <c r="M231" s="70"/>
    </row>
    <row r="232" spans="1:13">
      <c r="A232" s="2">
        <f t="shared" si="7"/>
        <v>1</v>
      </c>
      <c r="B232" s="501"/>
      <c r="C232" s="180"/>
      <c r="D232" s="495"/>
      <c r="E232" s="515"/>
      <c r="F232" s="177" t="str">
        <f>IF(Tab_Compteur_2[[#This Row],[Fin de période]]&gt;0,IFERROR(B232-A232+1,""),"")</f>
        <v/>
      </c>
      <c r="G232" t="str">
        <f>IF(IFERROR(IF(Str_TypeDonneesCpt2=Cpt_Index,Tab_Compteur_2[[#This Row],[Index]]-E231,Tab_Compteur_2[[#This Row],[Quantité]])/Tab_Compteur_2[[#This Row],[Delta Jour]],"")&lt;0,"",IFERROR(IF(Str_TypeDonneesCpt2=Cpt_Index,Tab_Compteur_2[[#This Row],[Index]]-E231,Tab_Compteur_2[[#This Row],[Quantité]])/Tab_Compteur_2[[#This Row],[Delta Jour]],""))</f>
        <v/>
      </c>
      <c r="H232" s="177" t="str">
        <f>IFERROR(Tab_Compteur_2[[#This Row],[Colonne1]]/Tab_Compteur_2[[#This Row],[Delta Jour]],"")</f>
        <v/>
      </c>
      <c r="I232" s="184" t="str">
        <f t="shared" si="6"/>
        <v/>
      </c>
      <c r="J232" s="450"/>
      <c r="K232" s="70"/>
      <c r="L232" s="70"/>
      <c r="M232" s="70"/>
    </row>
    <row r="233" spans="1:13">
      <c r="A233" s="2">
        <f t="shared" si="7"/>
        <v>1</v>
      </c>
      <c r="B233" s="501"/>
      <c r="C233" s="180"/>
      <c r="D233" s="495"/>
      <c r="E233" s="515"/>
      <c r="F233" s="177" t="str">
        <f>IF(Tab_Compteur_2[[#This Row],[Fin de période]]&gt;0,IFERROR(B233-A233+1,""),"")</f>
        <v/>
      </c>
      <c r="G233" t="str">
        <f>IF(IFERROR(IF(Str_TypeDonneesCpt2=Cpt_Index,Tab_Compteur_2[[#This Row],[Index]]-E232,Tab_Compteur_2[[#This Row],[Quantité]])/Tab_Compteur_2[[#This Row],[Delta Jour]],"")&lt;0,"",IFERROR(IF(Str_TypeDonneesCpt2=Cpt_Index,Tab_Compteur_2[[#This Row],[Index]]-E232,Tab_Compteur_2[[#This Row],[Quantité]])/Tab_Compteur_2[[#This Row],[Delta Jour]],""))</f>
        <v/>
      </c>
      <c r="H233" s="177" t="str">
        <f>IFERROR(Tab_Compteur_2[[#This Row],[Colonne1]]/Tab_Compteur_2[[#This Row],[Delta Jour]],"")</f>
        <v/>
      </c>
      <c r="I233" s="184" t="str">
        <f t="shared" si="6"/>
        <v/>
      </c>
      <c r="J233" s="450"/>
      <c r="K233" s="70"/>
      <c r="L233" s="70"/>
      <c r="M233" s="70"/>
    </row>
    <row r="234" spans="1:13">
      <c r="A234" s="2">
        <f t="shared" si="7"/>
        <v>1</v>
      </c>
      <c r="B234" s="501"/>
      <c r="C234" s="180"/>
      <c r="D234" s="495"/>
      <c r="E234" s="515"/>
      <c r="F234" s="177" t="str">
        <f>IF(Tab_Compteur_2[[#This Row],[Fin de période]]&gt;0,IFERROR(B234-A234+1,""),"")</f>
        <v/>
      </c>
      <c r="G234" t="str">
        <f>IF(IFERROR(IF(Str_TypeDonneesCpt2=Cpt_Index,Tab_Compteur_2[[#This Row],[Index]]-E233,Tab_Compteur_2[[#This Row],[Quantité]])/Tab_Compteur_2[[#This Row],[Delta Jour]],"")&lt;0,"",IFERROR(IF(Str_TypeDonneesCpt2=Cpt_Index,Tab_Compteur_2[[#This Row],[Index]]-E233,Tab_Compteur_2[[#This Row],[Quantité]])/Tab_Compteur_2[[#This Row],[Delta Jour]],""))</f>
        <v/>
      </c>
      <c r="H234" s="177" t="str">
        <f>IFERROR(Tab_Compteur_2[[#This Row],[Colonne1]]/Tab_Compteur_2[[#This Row],[Delta Jour]],"")</f>
        <v/>
      </c>
      <c r="I234" s="184" t="str">
        <f t="shared" si="6"/>
        <v/>
      </c>
      <c r="J234" s="450"/>
      <c r="K234" s="70"/>
      <c r="L234" s="70"/>
      <c r="M234" s="70"/>
    </row>
    <row r="235" spans="1:13">
      <c r="A235" s="2">
        <f t="shared" si="7"/>
        <v>1</v>
      </c>
      <c r="B235" s="501"/>
      <c r="C235" s="180"/>
      <c r="D235" s="495"/>
      <c r="E235" s="515"/>
      <c r="F235" s="177" t="str">
        <f>IF(Tab_Compteur_2[[#This Row],[Fin de période]]&gt;0,IFERROR(B235-A235+1,""),"")</f>
        <v/>
      </c>
      <c r="G235" t="str">
        <f>IF(IFERROR(IF(Str_TypeDonneesCpt2=Cpt_Index,Tab_Compteur_2[[#This Row],[Index]]-E234,Tab_Compteur_2[[#This Row],[Quantité]])/Tab_Compteur_2[[#This Row],[Delta Jour]],"")&lt;0,"",IFERROR(IF(Str_TypeDonneesCpt2=Cpt_Index,Tab_Compteur_2[[#This Row],[Index]]-E234,Tab_Compteur_2[[#This Row],[Quantité]])/Tab_Compteur_2[[#This Row],[Delta Jour]],""))</f>
        <v/>
      </c>
      <c r="H235" s="177" t="str">
        <f>IFERROR(Tab_Compteur_2[[#This Row],[Colonne1]]/Tab_Compteur_2[[#This Row],[Delta Jour]],"")</f>
        <v/>
      </c>
      <c r="I235" s="184" t="str">
        <f t="shared" si="6"/>
        <v/>
      </c>
      <c r="J235" s="450"/>
      <c r="K235" s="70"/>
      <c r="L235" s="70"/>
      <c r="M235" s="70"/>
    </row>
    <row r="236" spans="1:13">
      <c r="A236" s="2">
        <f t="shared" si="7"/>
        <v>1</v>
      </c>
      <c r="B236" s="501"/>
      <c r="C236" s="180"/>
      <c r="D236" s="495"/>
      <c r="E236" s="515"/>
      <c r="F236" s="177" t="str">
        <f>IF(Tab_Compteur_2[[#This Row],[Fin de période]]&gt;0,IFERROR(B236-A236+1,""),"")</f>
        <v/>
      </c>
      <c r="G236" t="str">
        <f>IF(IFERROR(IF(Str_TypeDonneesCpt2=Cpt_Index,Tab_Compteur_2[[#This Row],[Index]]-E235,Tab_Compteur_2[[#This Row],[Quantité]])/Tab_Compteur_2[[#This Row],[Delta Jour]],"")&lt;0,"",IFERROR(IF(Str_TypeDonneesCpt2=Cpt_Index,Tab_Compteur_2[[#This Row],[Index]]-E235,Tab_Compteur_2[[#This Row],[Quantité]])/Tab_Compteur_2[[#This Row],[Delta Jour]],""))</f>
        <v/>
      </c>
      <c r="H236" s="177" t="str">
        <f>IFERROR(Tab_Compteur_2[[#This Row],[Colonne1]]/Tab_Compteur_2[[#This Row],[Delta Jour]],"")</f>
        <v/>
      </c>
      <c r="I236" s="184" t="str">
        <f t="shared" si="6"/>
        <v/>
      </c>
      <c r="J236" s="450"/>
      <c r="K236" s="70"/>
      <c r="L236" s="70"/>
      <c r="M236" s="70"/>
    </row>
    <row r="237" spans="1:13">
      <c r="A237" s="2">
        <f t="shared" si="7"/>
        <v>1</v>
      </c>
      <c r="B237" s="501"/>
      <c r="C237" s="180"/>
      <c r="D237" s="495"/>
      <c r="E237" s="515"/>
      <c r="F237" s="177" t="str">
        <f>IF(Tab_Compteur_2[[#This Row],[Fin de période]]&gt;0,IFERROR(B237-A237+1,""),"")</f>
        <v/>
      </c>
      <c r="G237" t="str">
        <f>IF(IFERROR(IF(Str_TypeDonneesCpt2=Cpt_Index,Tab_Compteur_2[[#This Row],[Index]]-E236,Tab_Compteur_2[[#This Row],[Quantité]])/Tab_Compteur_2[[#This Row],[Delta Jour]],"")&lt;0,"",IFERROR(IF(Str_TypeDonneesCpt2=Cpt_Index,Tab_Compteur_2[[#This Row],[Index]]-E236,Tab_Compteur_2[[#This Row],[Quantité]])/Tab_Compteur_2[[#This Row],[Delta Jour]],""))</f>
        <v/>
      </c>
      <c r="H237" s="177" t="str">
        <f>IFERROR(Tab_Compteur_2[[#This Row],[Colonne1]]/Tab_Compteur_2[[#This Row],[Delta Jour]],"")</f>
        <v/>
      </c>
      <c r="I237" s="184" t="str">
        <f t="shared" si="6"/>
        <v/>
      </c>
      <c r="J237" s="450"/>
      <c r="K237" s="70"/>
      <c r="L237" s="70"/>
      <c r="M237" s="70"/>
    </row>
    <row r="238" spans="1:13">
      <c r="A238" s="2">
        <f t="shared" si="7"/>
        <v>1</v>
      </c>
      <c r="B238" s="501"/>
      <c r="C238" s="180"/>
      <c r="D238" s="495"/>
      <c r="E238" s="515"/>
      <c r="F238" s="177" t="str">
        <f>IF(Tab_Compteur_2[[#This Row],[Fin de période]]&gt;0,IFERROR(B238-A238+1,""),"")</f>
        <v/>
      </c>
      <c r="G238" t="str">
        <f>IF(IFERROR(IF(Str_TypeDonneesCpt2=Cpt_Index,Tab_Compteur_2[[#This Row],[Index]]-E237,Tab_Compteur_2[[#This Row],[Quantité]])/Tab_Compteur_2[[#This Row],[Delta Jour]],"")&lt;0,"",IFERROR(IF(Str_TypeDonneesCpt2=Cpt_Index,Tab_Compteur_2[[#This Row],[Index]]-E237,Tab_Compteur_2[[#This Row],[Quantité]])/Tab_Compteur_2[[#This Row],[Delta Jour]],""))</f>
        <v/>
      </c>
      <c r="H238" s="177" t="str">
        <f>IFERROR(Tab_Compteur_2[[#This Row],[Colonne1]]/Tab_Compteur_2[[#This Row],[Delta Jour]],"")</f>
        <v/>
      </c>
      <c r="I238" s="184" t="str">
        <f t="shared" si="6"/>
        <v/>
      </c>
      <c r="J238" s="450"/>
      <c r="K238" s="70"/>
      <c r="L238" s="70"/>
      <c r="M238" s="70"/>
    </row>
    <row r="239" spans="1:13">
      <c r="A239" s="2">
        <f t="shared" si="7"/>
        <v>1</v>
      </c>
      <c r="B239" s="501"/>
      <c r="C239" s="180"/>
      <c r="D239" s="495"/>
      <c r="E239" s="515"/>
      <c r="F239" s="177" t="str">
        <f>IF(Tab_Compteur_2[[#This Row],[Fin de période]]&gt;0,IFERROR(B239-A239+1,""),"")</f>
        <v/>
      </c>
      <c r="G239" t="str">
        <f>IF(IFERROR(IF(Str_TypeDonneesCpt2=Cpt_Index,Tab_Compteur_2[[#This Row],[Index]]-E238,Tab_Compteur_2[[#This Row],[Quantité]])/Tab_Compteur_2[[#This Row],[Delta Jour]],"")&lt;0,"",IFERROR(IF(Str_TypeDonneesCpt2=Cpt_Index,Tab_Compteur_2[[#This Row],[Index]]-E238,Tab_Compteur_2[[#This Row],[Quantité]])/Tab_Compteur_2[[#This Row],[Delta Jour]],""))</f>
        <v/>
      </c>
      <c r="H239" s="177" t="str">
        <f>IFERROR(Tab_Compteur_2[[#This Row],[Colonne1]]/Tab_Compteur_2[[#This Row],[Delta Jour]],"")</f>
        <v/>
      </c>
      <c r="I239" s="184" t="str">
        <f t="shared" si="6"/>
        <v/>
      </c>
      <c r="J239" s="450"/>
      <c r="K239" s="70"/>
      <c r="L239" s="70"/>
      <c r="M239" s="70"/>
    </row>
    <row r="240" spans="1:13">
      <c r="A240" s="2">
        <f t="shared" si="7"/>
        <v>1</v>
      </c>
      <c r="B240" s="501"/>
      <c r="C240" s="180"/>
      <c r="D240" s="495"/>
      <c r="E240" s="515"/>
      <c r="F240" s="177" t="str">
        <f>IF(Tab_Compteur_2[[#This Row],[Fin de période]]&gt;0,IFERROR(B240-A240+1,""),"")</f>
        <v/>
      </c>
      <c r="G240" t="str">
        <f>IF(IFERROR(IF(Str_TypeDonneesCpt2=Cpt_Index,Tab_Compteur_2[[#This Row],[Index]]-E239,Tab_Compteur_2[[#This Row],[Quantité]])/Tab_Compteur_2[[#This Row],[Delta Jour]],"")&lt;0,"",IFERROR(IF(Str_TypeDonneesCpt2=Cpt_Index,Tab_Compteur_2[[#This Row],[Index]]-E239,Tab_Compteur_2[[#This Row],[Quantité]])/Tab_Compteur_2[[#This Row],[Delta Jour]],""))</f>
        <v/>
      </c>
      <c r="H240" s="177" t="str">
        <f>IFERROR(Tab_Compteur_2[[#This Row],[Colonne1]]/Tab_Compteur_2[[#This Row],[Delta Jour]],"")</f>
        <v/>
      </c>
      <c r="I240" s="184" t="str">
        <f t="shared" si="6"/>
        <v/>
      </c>
      <c r="J240" s="450"/>
      <c r="K240" s="70"/>
      <c r="L240" s="70"/>
      <c r="M240" s="70"/>
    </row>
    <row r="241" spans="1:14">
      <c r="A241" s="2">
        <f t="shared" si="7"/>
        <v>1</v>
      </c>
      <c r="B241" s="501"/>
      <c r="C241" s="180"/>
      <c r="D241" s="495"/>
      <c r="E241" s="515"/>
      <c r="F241" s="177" t="str">
        <f>IF(Tab_Compteur_2[[#This Row],[Fin de période]]&gt;0,IFERROR(B241-A241+1,""),"")</f>
        <v/>
      </c>
      <c r="G241" t="str">
        <f>IF(IFERROR(IF(Str_TypeDonneesCpt2=Cpt_Index,Tab_Compteur_2[[#This Row],[Index]]-E240,Tab_Compteur_2[[#This Row],[Quantité]])/Tab_Compteur_2[[#This Row],[Delta Jour]],"")&lt;0,"",IFERROR(IF(Str_TypeDonneesCpt2=Cpt_Index,Tab_Compteur_2[[#This Row],[Index]]-E240,Tab_Compteur_2[[#This Row],[Quantité]])/Tab_Compteur_2[[#This Row],[Delta Jour]],""))</f>
        <v/>
      </c>
      <c r="H241" s="177" t="str">
        <f>IFERROR(Tab_Compteur_2[[#This Row],[Colonne1]]/Tab_Compteur_2[[#This Row],[Delta Jour]],"")</f>
        <v/>
      </c>
      <c r="I241" s="184" t="str">
        <f t="shared" si="6"/>
        <v/>
      </c>
      <c r="J241" s="450"/>
      <c r="K241" s="70"/>
      <c r="L241" s="70"/>
      <c r="M241" s="70"/>
    </row>
    <row r="242" spans="1:14">
      <c r="A242" s="2">
        <f t="shared" si="7"/>
        <v>1</v>
      </c>
      <c r="B242" s="501"/>
      <c r="C242" s="180"/>
      <c r="D242" s="495"/>
      <c r="E242" s="515"/>
      <c r="F242" s="177" t="str">
        <f>IF(Tab_Compteur_2[[#This Row],[Fin de période]]&gt;0,IFERROR(B242-A242+1,""),"")</f>
        <v/>
      </c>
      <c r="G242" t="str">
        <f>IF(IFERROR(IF(Str_TypeDonneesCpt2=Cpt_Index,Tab_Compteur_2[[#This Row],[Index]]-E241,Tab_Compteur_2[[#This Row],[Quantité]])/Tab_Compteur_2[[#This Row],[Delta Jour]],"")&lt;0,"",IFERROR(IF(Str_TypeDonneesCpt2=Cpt_Index,Tab_Compteur_2[[#This Row],[Index]]-E241,Tab_Compteur_2[[#This Row],[Quantité]])/Tab_Compteur_2[[#This Row],[Delta Jour]],""))</f>
        <v/>
      </c>
      <c r="H242" s="177" t="str">
        <f>IFERROR(Tab_Compteur_2[[#This Row],[Colonne1]]/Tab_Compteur_2[[#This Row],[Delta Jour]],"")</f>
        <v/>
      </c>
      <c r="I242" s="184" t="str">
        <f t="shared" si="6"/>
        <v/>
      </c>
      <c r="J242" s="450"/>
      <c r="K242" s="70"/>
      <c r="L242" s="70"/>
      <c r="M242" s="70"/>
    </row>
    <row r="243" spans="1:14" ht="21" customHeight="1">
      <c r="A243" s="2">
        <f t="shared" si="7"/>
        <v>1</v>
      </c>
      <c r="B243" s="501"/>
      <c r="C243" s="180"/>
      <c r="D243" s="495"/>
      <c r="E243" s="515"/>
      <c r="F243" s="177" t="str">
        <f>IF(Tab_Compteur_2[[#This Row],[Fin de période]]&gt;0,IFERROR(B243-A243+1,""),"")</f>
        <v/>
      </c>
      <c r="G243" t="str">
        <f>IF(IFERROR(IF(Str_TypeDonneesCpt2=Cpt_Index,Tab_Compteur_2[[#This Row],[Index]]-E242,Tab_Compteur_2[[#This Row],[Quantité]])/Tab_Compteur_2[[#This Row],[Delta Jour]],"")&lt;0,"",IFERROR(IF(Str_TypeDonneesCpt2=Cpt_Index,Tab_Compteur_2[[#This Row],[Index]]-E242,Tab_Compteur_2[[#This Row],[Quantité]])/Tab_Compteur_2[[#This Row],[Delta Jour]],""))</f>
        <v/>
      </c>
      <c r="H243" s="177" t="str">
        <f>IFERROR(Tab_Compteur_2[[#This Row],[Colonne1]]/Tab_Compteur_2[[#This Row],[Delta Jour]],"")</f>
        <v/>
      </c>
      <c r="I243" s="184" t="str">
        <f t="shared" si="6"/>
        <v/>
      </c>
      <c r="J243" s="450"/>
      <c r="K243" s="70"/>
      <c r="L243" s="70"/>
      <c r="M243" s="70"/>
    </row>
    <row r="244" spans="1:14" hidden="1">
      <c r="C244" s="180"/>
      <c r="D244" s="495"/>
      <c r="E244" s="519"/>
      <c r="F244" s="177"/>
      <c r="H244" s="177" t="str">
        <f>IFERROR(Tab_Compteur_2[[#This Row],[Colonne1]]/Tab_Compteur_2[[#This Row],[Delta Jour]],"")</f>
        <v/>
      </c>
      <c r="K244" s="181"/>
      <c r="L244" s="70"/>
      <c r="M244" s="70"/>
      <c r="N244" s="70"/>
    </row>
  </sheetData>
  <sheetProtection selectLockedCells="1"/>
  <protectedRanges>
    <protectedRange sqref="C4:D16" name="Données_compteur2_1_2_1_1"/>
    <protectedRange sqref="C17:C47 D17:D143" name="Données_compteur2_1_2"/>
    <protectedRange sqref="C48:C143" name="Données_compteur2_3"/>
    <protectedRange sqref="D144:D147" name="Données_compteur2_1_1"/>
    <protectedRange sqref="C144:C147" name="Données_compteur2_2"/>
    <protectedRange sqref="D148:D171" name="Données_compteur2_1_2_1"/>
    <protectedRange sqref="C148:C171" name="Données_compteur2_3_1"/>
    <protectedRange sqref="A4:B5 D172:D244 A6:A243 B6:B244" name="Données_compteur2_1"/>
    <protectedRange sqref="A244 C172:C244 L2:N2 K8:M10 K34:M243 E3:E1048576 J2:J243 K3:M3 K5:M6 K244:N1048576" name="Données_compteur2"/>
    <protectedRange sqref="K11:M33" name="Données_compteur3"/>
    <protectedRange sqref="E2" name="Compteur_1_1"/>
    <protectedRange sqref="I2:I243 J244:J1048576" name="Compteur_1"/>
    <protectedRange sqref="K4:L4" name="Compteur_1_2"/>
    <protectedRange sqref="L1 E1 I1" name="Compteur_1_3"/>
  </protectedRanges>
  <mergeCells count="1">
    <mergeCell ref="K11:M33"/>
  </mergeCells>
  <conditionalFormatting sqref="B4:B243">
    <cfRule type="expression" dxfId="104" priority="1">
      <formula>$B4&lt;$A4</formula>
    </cfRule>
  </conditionalFormatting>
  <pageMargins left="0.7" right="0.7" top="0.75" bottom="0.75" header="0.3" footer="0.3"/>
  <pageSetup paperSize="9" orientation="portrait" r:id="rId1"/>
  <ignoredErrors>
    <ignoredError sqref="F4 H4" unlockedFormula="1"/>
  </ignoredErrors>
  <drawing r:id="rId2"/>
  <legacyDrawing r:id="rId3"/>
  <tableParts count="1">
    <tablePart r:id="rId4"/>
  </tablePart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6"/>
  <dimension ref="A1:N243"/>
  <sheetViews>
    <sheetView workbookViewId="0">
      <pane ySplit="3" topLeftCell="A4" activePane="bottomLeft" state="frozen"/>
      <selection pane="bottomLeft" activeCell="B4" sqref="B4"/>
    </sheetView>
  </sheetViews>
  <sheetFormatPr baseColWidth="10" defaultColWidth="0" defaultRowHeight="14.5" zeroHeight="1"/>
  <cols>
    <col min="1" max="1" width="14.26953125" customWidth="1"/>
    <col min="2" max="2" width="13.7265625" style="177" customWidth="1"/>
    <col min="3" max="3" width="13.7265625" customWidth="1"/>
    <col min="4" max="4" width="13.36328125" style="492" customWidth="1"/>
    <col min="5" max="5" width="11.36328125" style="514" customWidth="1"/>
    <col min="6" max="8" width="11.36328125" hidden="1" customWidth="1"/>
    <col min="9" max="9" width="10.81640625" customWidth="1"/>
    <col min="10" max="10" width="21.6328125" customWidth="1"/>
    <col min="11" max="11" width="21.7265625" customWidth="1"/>
    <col min="12" max="13" width="11.36328125" customWidth="1"/>
    <col min="14" max="14" width="21.7265625" customWidth="1"/>
    <col min="15" max="16384" width="11.36328125" hidden="1"/>
  </cols>
  <sheetData>
    <row r="1" spans="1:13" ht="32.65" customHeight="1">
      <c r="A1" s="55" t="s">
        <v>393</v>
      </c>
      <c r="B1" s="199" t="s">
        <v>394</v>
      </c>
      <c r="C1" s="122" t="s">
        <v>395</v>
      </c>
      <c r="D1" s="489" t="str">
        <f>CONCATENATE("Montant ",Controle_des_données!$A$40)</f>
        <v>Montant 0</v>
      </c>
      <c r="E1" s="513" t="s">
        <v>214</v>
      </c>
      <c r="F1" s="27" t="s">
        <v>396</v>
      </c>
      <c r="G1" s="28" t="s">
        <v>397</v>
      </c>
      <c r="H1" s="28" t="s">
        <v>398</v>
      </c>
      <c r="I1" s="28" t="s">
        <v>399</v>
      </c>
      <c r="J1" s="172" t="s">
        <v>400</v>
      </c>
      <c r="K1" s="164" t="s">
        <v>19</v>
      </c>
      <c r="L1" s="170" t="str">
        <f>IF(Site!C40="", "Compteur 3",Site!C40)</f>
        <v>Compteur 3</v>
      </c>
    </row>
    <row r="2" spans="1:13" ht="20.25" hidden="1" customHeight="1">
      <c r="A2" s="26" t="s">
        <v>393</v>
      </c>
      <c r="B2" s="82" t="s">
        <v>394</v>
      </c>
      <c r="C2" s="1" t="s">
        <v>395</v>
      </c>
      <c r="D2" s="497" t="s">
        <v>428</v>
      </c>
      <c r="E2" s="513" t="s">
        <v>214</v>
      </c>
      <c r="F2" s="27" t="s">
        <v>396</v>
      </c>
      <c r="G2" s="28" t="s">
        <v>397</v>
      </c>
      <c r="H2" s="28" t="s">
        <v>398</v>
      </c>
      <c r="I2" s="27" t="s">
        <v>399</v>
      </c>
      <c r="J2" t="s">
        <v>400</v>
      </c>
      <c r="K2" s="164"/>
      <c r="L2" s="170"/>
      <c r="M2" s="171"/>
    </row>
    <row r="3" spans="1:13" hidden="1">
      <c r="B3" s="202">
        <f>A4-1</f>
        <v>-1</v>
      </c>
      <c r="C3" s="173"/>
      <c r="D3" s="498"/>
      <c r="E3" s="514">
        <f>Tab_Compteur_3[[#This Row],[Montant]]*1.2</f>
        <v>0</v>
      </c>
      <c r="F3">
        <f t="shared" ref="F3:F66" si="0">IFERROR(B3-A3+1,"")</f>
        <v>0</v>
      </c>
      <c r="G3">
        <v>0</v>
      </c>
      <c r="H3">
        <v>0</v>
      </c>
      <c r="I3" s="191" t="str">
        <f>IF(SUM(Tab_Compteur_3[[#This Row],[Quantité]],Tab_Compteur_3[[#This Row],[Index]])&lt;=0,"",G3)</f>
        <v/>
      </c>
      <c r="J3" s="36"/>
      <c r="K3" s="36"/>
      <c r="L3" s="36"/>
      <c r="M3" s="36"/>
    </row>
    <row r="4" spans="1:13">
      <c r="A4" s="2">
        <f>Site!I40</f>
        <v>0</v>
      </c>
      <c r="B4" s="501"/>
      <c r="C4" s="499"/>
      <c r="D4" s="500"/>
      <c r="E4" s="515"/>
      <c r="F4" s="177">
        <f t="shared" si="0"/>
        <v>1</v>
      </c>
      <c r="G4" s="193">
        <f>IF(IFERROR(IF(Str_TypeDonneesCpt3=Cpt_Index,Tab_Compteur_3[[#This Row],[Index]]-L4,Tab_Compteur_3[[#This Row],[Quantité]])/Tab_Compteur_3[[#This Row],[Delta Jour]],"")&lt;0,"",IFERROR(IF(Str_TypeDonneesCpt3=Cpt_Index,Tab_Compteur_3[[#This Row],[Index]]-L4,Tab_Compteur_3[[#This Row],[Quantité]])/Tab_Compteur_3[[#This Row],[Delta Jour]],""))</f>
        <v>0</v>
      </c>
      <c r="H4" s="177">
        <f>IFERROR(Tab_Compteur_3[[#This Row],[Montant]]/Tab_Compteur_3[[#This Row],[Delta Jour]],"")</f>
        <v>0</v>
      </c>
      <c r="I4" s="188" t="str">
        <f>IF(SUM(Tab_Compteur_3[[#This Row],[Quantité]],Tab_Compteur_3[[#This Row],[Index]])&lt;=0,"",G4)</f>
        <v/>
      </c>
      <c r="J4" s="185"/>
      <c r="K4" s="192" t="s">
        <v>401</v>
      </c>
      <c r="L4" s="444">
        <v>0</v>
      </c>
    </row>
    <row r="5" spans="1:13">
      <c r="A5" s="53">
        <f>IFERROR(B4+1,0)</f>
        <v>1</v>
      </c>
      <c r="B5" s="501"/>
      <c r="C5" s="499"/>
      <c r="D5" s="500"/>
      <c r="E5" s="515"/>
      <c r="F5" s="177">
        <f t="shared" si="0"/>
        <v>0</v>
      </c>
      <c r="G5" t="str">
        <f>IF(IFERROR(IF(Str_TypeDonneesCpt3=Cpt_Index,Tab_Compteur_3[[#This Row],[Index]]-E4,Tab_Compteur_3[[#This Row],[Quantité]])/Tab_Compteur_3[[#This Row],[Delta Jour]],"")&lt;0,"",IFERROR(IF(Str_TypeDonneesCpt3=Cpt_Index,Tab_Compteur_3[[#This Row],[Index]]-E4,Tab_Compteur_3[[#This Row],[Quantité]])/Tab_Compteur_3[[#This Row],[Delta Jour]],""))</f>
        <v/>
      </c>
      <c r="H5" s="177" t="str">
        <f>IFERROR(Tab_Compteur_3[[#This Row],[Montant]]/Tab_Compteur_3[[#This Row],[Delta Jour]],"")</f>
        <v/>
      </c>
      <c r="I5" s="188" t="str">
        <f>IF(SUM(Tab_Compteur_3[[#This Row],[Quantité]],Tab_Compteur_3[[#This Row],[Index]])&lt;=0,"",G5)</f>
        <v/>
      </c>
      <c r="J5" s="185"/>
      <c r="K5" s="36"/>
      <c r="L5" s="36"/>
      <c r="M5" s="36"/>
    </row>
    <row r="6" spans="1:13">
      <c r="A6" s="53">
        <f t="shared" ref="A6:A69" si="1">IFERROR(B5+1,0)</f>
        <v>1</v>
      </c>
      <c r="B6" s="501"/>
      <c r="C6" s="499"/>
      <c r="D6" s="500"/>
      <c r="E6" s="515"/>
      <c r="F6" s="177">
        <f t="shared" si="0"/>
        <v>0</v>
      </c>
      <c r="G6" t="str">
        <f>IF(IFERROR(IF(Str_TypeDonneesCpt3=Cpt_Index,Tab_Compteur_3[[#This Row],[Index]]-E5,Tab_Compteur_3[[#This Row],[Quantité]])/Tab_Compteur_3[[#This Row],[Delta Jour]],"")&lt;0,"",IFERROR(IF(Str_TypeDonneesCpt3=Cpt_Index,Tab_Compteur_3[[#This Row],[Index]]-E5,Tab_Compteur_3[[#This Row],[Quantité]])/Tab_Compteur_3[[#This Row],[Delta Jour]],""))</f>
        <v/>
      </c>
      <c r="H6" s="177" t="str">
        <f>IFERROR(Tab_Compteur_3[[#This Row],[Montant]]/Tab_Compteur_3[[#This Row],[Delta Jour]],"")</f>
        <v/>
      </c>
      <c r="I6" s="188" t="str">
        <f>IF(SUM(Tab_Compteur_3[[#This Row],[Quantité]],Tab_Compteur_3[[#This Row],[Index]])&lt;=0,"",G6)</f>
        <v/>
      </c>
      <c r="J6" s="185"/>
      <c r="K6" s="36"/>
      <c r="L6" s="36"/>
      <c r="M6" s="36"/>
    </row>
    <row r="7" spans="1:13">
      <c r="A7" s="53">
        <f t="shared" si="1"/>
        <v>1</v>
      </c>
      <c r="B7" s="501"/>
      <c r="C7" s="499"/>
      <c r="D7" s="500"/>
      <c r="E7" s="515"/>
      <c r="F7" s="177">
        <f t="shared" si="0"/>
        <v>0</v>
      </c>
      <c r="G7" t="str">
        <f>IF(IFERROR(IF(Str_TypeDonneesCpt3=Cpt_Index,Tab_Compteur_3[[#This Row],[Index]]-E6,Tab_Compteur_3[[#This Row],[Quantité]])/Tab_Compteur_3[[#This Row],[Delta Jour]],"")&lt;0,"",IFERROR(IF(Str_TypeDonneesCpt3=Cpt_Index,Tab_Compteur_3[[#This Row],[Index]]-E6,Tab_Compteur_3[[#This Row],[Quantité]])/Tab_Compteur_3[[#This Row],[Delta Jour]],""))</f>
        <v/>
      </c>
      <c r="H7" s="177" t="str">
        <f>IFERROR(Tab_Compteur_3[[#This Row],[Montant]]/Tab_Compteur_3[[#This Row],[Delta Jour]],"")</f>
        <v/>
      </c>
      <c r="I7" s="188" t="str">
        <f>IF(SUM(Tab_Compteur_3[[#This Row],[Quantité]],Tab_Compteur_3[[#This Row],[Index]])&lt;=0,"",G7)</f>
        <v/>
      </c>
      <c r="J7" s="185"/>
      <c r="K7" s="36"/>
      <c r="L7" s="36"/>
      <c r="M7" s="36"/>
    </row>
    <row r="8" spans="1:13">
      <c r="A8" s="53">
        <f t="shared" si="1"/>
        <v>1</v>
      </c>
      <c r="B8" s="501"/>
      <c r="C8" s="499"/>
      <c r="D8" s="500"/>
      <c r="E8" s="516"/>
      <c r="F8" s="177">
        <f t="shared" si="0"/>
        <v>0</v>
      </c>
      <c r="G8" t="str">
        <f>IF(IFERROR(IF(Str_TypeDonneesCpt3=Cpt_Index,Tab_Compteur_3[[#This Row],[Index]]-E7,Tab_Compteur_3[[#This Row],[Quantité]])/Tab_Compteur_3[[#This Row],[Delta Jour]],"")&lt;0,"",IFERROR(IF(Str_TypeDonneesCpt3=Cpt_Index,Tab_Compteur_3[[#This Row],[Index]]-E7,Tab_Compteur_3[[#This Row],[Quantité]])/Tab_Compteur_3[[#This Row],[Delta Jour]],""))</f>
        <v/>
      </c>
      <c r="H8" s="177" t="str">
        <f>IFERROR(Tab_Compteur_3[[#This Row],[Montant]]/Tab_Compteur_3[[#This Row],[Delta Jour]],"")</f>
        <v/>
      </c>
      <c r="I8" s="189" t="str">
        <f>IF(SUM(Tab_Compteur_3[[#This Row],[Quantité]],Tab_Compteur_3[[#This Row],[Index]])&lt;=0,"",G8)</f>
        <v/>
      </c>
      <c r="J8" s="186"/>
      <c r="K8" s="36"/>
      <c r="L8" s="36"/>
      <c r="M8" s="36"/>
    </row>
    <row r="9" spans="1:13">
      <c r="A9" s="53">
        <f t="shared" si="1"/>
        <v>1</v>
      </c>
      <c r="B9" s="501"/>
      <c r="C9" s="499"/>
      <c r="D9" s="500"/>
      <c r="E9" s="517"/>
      <c r="F9" s="177">
        <f t="shared" si="0"/>
        <v>0</v>
      </c>
      <c r="G9" t="str">
        <f>IF(IFERROR(IF(Str_TypeDonneesCpt3=Cpt_Index,Tab_Compteur_3[[#This Row],[Index]]-E8,Tab_Compteur_3[[#This Row],[Quantité]])/Tab_Compteur_3[[#This Row],[Delta Jour]],"")&lt;0,"",IFERROR(IF(Str_TypeDonneesCpt3=Cpt_Index,Tab_Compteur_3[[#This Row],[Index]]-E8,Tab_Compteur_3[[#This Row],[Quantité]])/Tab_Compteur_3[[#This Row],[Delta Jour]],""))</f>
        <v/>
      </c>
      <c r="H9" s="177" t="str">
        <f>IFERROR(Tab_Compteur_3[[#This Row],[Montant]]/Tab_Compteur_3[[#This Row],[Delta Jour]],"")</f>
        <v/>
      </c>
      <c r="I9" s="190" t="str">
        <f>IF(SUM(Tab_Compteur_3[[#This Row],[Quantité]],Tab_Compteur_3[[#This Row],[Index]])&lt;=0,"",G9)</f>
        <v/>
      </c>
      <c r="J9" s="526"/>
      <c r="K9" s="165"/>
      <c r="L9" s="165"/>
      <c r="M9" s="165"/>
    </row>
    <row r="10" spans="1:13">
      <c r="A10" s="53">
        <f t="shared" si="1"/>
        <v>1</v>
      </c>
      <c r="B10" s="501"/>
      <c r="C10" s="499"/>
      <c r="D10" s="500"/>
      <c r="E10" s="517"/>
      <c r="F10" s="177">
        <f t="shared" si="0"/>
        <v>0</v>
      </c>
      <c r="G10" t="str">
        <f>IF(IFERROR(IF(Str_TypeDonneesCpt3=Cpt_Index,Tab_Compteur_3[[#This Row],[Index]]-E9,Tab_Compteur_3[[#This Row],[Quantité]])/Tab_Compteur_3[[#This Row],[Delta Jour]],"")&lt;0,"",IFERROR(IF(Str_TypeDonneesCpt3=Cpt_Index,Tab_Compteur_3[[#This Row],[Index]]-E9,Tab_Compteur_3[[#This Row],[Quantité]])/Tab_Compteur_3[[#This Row],[Delta Jour]],""))</f>
        <v/>
      </c>
      <c r="H10" s="177" t="str">
        <f>IFERROR(Tab_Compteur_3[[#This Row],[Montant]]/Tab_Compteur_3[[#This Row],[Delta Jour]],"")</f>
        <v/>
      </c>
      <c r="I10" s="190" t="str">
        <f>IF(SUM(Tab_Compteur_3[[#This Row],[Quantité]],Tab_Compteur_3[[#This Row],[Index]])&lt;=0,"",G10)</f>
        <v/>
      </c>
      <c r="J10" s="186"/>
      <c r="K10" s="165"/>
      <c r="L10" s="165"/>
      <c r="M10" s="165"/>
    </row>
    <row r="11" spans="1:13" ht="15" customHeight="1">
      <c r="A11" s="53">
        <f t="shared" si="1"/>
        <v>1</v>
      </c>
      <c r="B11" s="501"/>
      <c r="C11" s="499"/>
      <c r="D11" s="500"/>
      <c r="E11" s="517"/>
      <c r="F11" s="177">
        <f t="shared" si="0"/>
        <v>0</v>
      </c>
      <c r="G11" t="str">
        <f>IF(IFERROR(IF(Str_TypeDonneesCpt3=Cpt_Index,Tab_Compteur_3[[#This Row],[Index]]-E10,Tab_Compteur_3[[#This Row],[Quantité]])/Tab_Compteur_3[[#This Row],[Delta Jour]],"")&lt;0,"",IFERROR(IF(Str_TypeDonneesCpt3=Cpt_Index,Tab_Compteur_3[[#This Row],[Index]]-E10,Tab_Compteur_3[[#This Row],[Quantité]])/Tab_Compteur_3[[#This Row],[Delta Jour]],""))</f>
        <v/>
      </c>
      <c r="H11" s="177" t="str">
        <f>IFERROR(Tab_Compteur_3[[#This Row],[Montant]]/Tab_Compteur_3[[#This Row],[Delta Jour]],"")</f>
        <v/>
      </c>
      <c r="I11" s="190" t="str">
        <f>IF(SUM(Tab_Compteur_3[[#This Row],[Quantité]],Tab_Compteur_3[[#This Row],[Index]])&lt;=0,"",G11)</f>
        <v/>
      </c>
      <c r="J11" s="187"/>
      <c r="K11" s="823" t="str">
        <f>Compteur_1!$K$34</f>
        <v>Pour le bon fonctionnement des calculs, il est nécessaire de respecter l'ordre chonologique des données 
Dans le cas des consommations, la quantité doit correspondre à l'unité indiquée dans "Site". Pour les données de production l'unité par défaut est le kWh et pour l'eau, le m3.  
Dans le cas d'un manque de donnée sur une période donnée, indiquez les dates de début et de fin de cette période en laissant les cellules de Quantité et Montant vide
En cas de multiples factures/livraisons pour un même mois, merci d'additionner les quantités et les montants et de mettre la dernière date. 
Une fois toutes vos données de comptage complétées, Cliquez sur le bouton "Actualiser tout" la barre d'outils "Données" ou avec  le raccourcis clavier Ctrl+alt+F5</v>
      </c>
      <c r="L11" s="823"/>
      <c r="M11" s="823"/>
    </row>
    <row r="12" spans="1:13">
      <c r="A12" s="53">
        <f t="shared" si="1"/>
        <v>1</v>
      </c>
      <c r="B12" s="501"/>
      <c r="C12" s="499"/>
      <c r="D12" s="500"/>
      <c r="E12" s="517"/>
      <c r="F12" s="177">
        <f t="shared" si="0"/>
        <v>0</v>
      </c>
      <c r="G12" t="str">
        <f>IF(IFERROR(IF(Str_TypeDonneesCpt3=Cpt_Index,Tab_Compteur_3[[#This Row],[Index]]-E11,Tab_Compteur_3[[#This Row],[Quantité]])/Tab_Compteur_3[[#This Row],[Delta Jour]],"")&lt;0,"",IFERROR(IF(Str_TypeDonneesCpt3=Cpt_Index,Tab_Compteur_3[[#This Row],[Index]]-E11,Tab_Compteur_3[[#This Row],[Quantité]])/Tab_Compteur_3[[#This Row],[Delta Jour]],""))</f>
        <v/>
      </c>
      <c r="H12" s="177" t="str">
        <f>IFERROR(Tab_Compteur_3[[#This Row],[Montant]]/Tab_Compteur_3[[#This Row],[Delta Jour]],"")</f>
        <v/>
      </c>
      <c r="I12" s="190" t="str">
        <f>IF(SUM(Tab_Compteur_3[[#This Row],[Quantité]],Tab_Compteur_3[[#This Row],[Index]])&lt;=0,"",G12)</f>
        <v/>
      </c>
      <c r="J12" s="187"/>
      <c r="K12" s="823"/>
      <c r="L12" s="823"/>
      <c r="M12" s="823"/>
    </row>
    <row r="13" spans="1:13">
      <c r="A13" s="53">
        <f t="shared" si="1"/>
        <v>1</v>
      </c>
      <c r="B13" s="501"/>
      <c r="C13" s="499"/>
      <c r="D13" s="500"/>
      <c r="E13" s="517"/>
      <c r="F13" s="177">
        <f t="shared" si="0"/>
        <v>0</v>
      </c>
      <c r="G13" t="str">
        <f>IF(IFERROR(IF(Str_TypeDonneesCpt3=Cpt_Index,Tab_Compteur_3[[#This Row],[Index]]-E12,Tab_Compteur_3[[#This Row],[Quantité]])/Tab_Compteur_3[[#This Row],[Delta Jour]],"")&lt;0,"",IFERROR(IF(Str_TypeDonneesCpt3=Cpt_Index,Tab_Compteur_3[[#This Row],[Index]]-E12,Tab_Compteur_3[[#This Row],[Quantité]])/Tab_Compteur_3[[#This Row],[Delta Jour]],""))</f>
        <v/>
      </c>
      <c r="H13" s="177" t="str">
        <f>IFERROR(Tab_Compteur_3[[#This Row],[Montant]]/Tab_Compteur_3[[#This Row],[Delta Jour]],"")</f>
        <v/>
      </c>
      <c r="I13" s="190" t="str">
        <f>IF(SUM(Tab_Compteur_3[[#This Row],[Quantité]],Tab_Compteur_3[[#This Row],[Index]])&lt;=0,"",G13)</f>
        <v/>
      </c>
      <c r="J13" s="185"/>
      <c r="K13" s="823"/>
      <c r="L13" s="823"/>
      <c r="M13" s="823"/>
    </row>
    <row r="14" spans="1:13">
      <c r="A14" s="53">
        <f t="shared" si="1"/>
        <v>1</v>
      </c>
      <c r="B14" s="501"/>
      <c r="C14" s="499"/>
      <c r="D14" s="500"/>
      <c r="E14" s="517"/>
      <c r="F14" s="177">
        <f t="shared" si="0"/>
        <v>0</v>
      </c>
      <c r="G14" t="str">
        <f>IF(IFERROR(IF(Str_TypeDonneesCpt3=Cpt_Index,Tab_Compteur_3[[#This Row],[Index]]-E13,Tab_Compteur_3[[#This Row],[Quantité]])/Tab_Compteur_3[[#This Row],[Delta Jour]],"")&lt;0,"",IFERROR(IF(Str_TypeDonneesCpt3=Cpt_Index,Tab_Compteur_3[[#This Row],[Index]]-E13,Tab_Compteur_3[[#This Row],[Quantité]])/Tab_Compteur_3[[#This Row],[Delta Jour]],""))</f>
        <v/>
      </c>
      <c r="H14" s="177" t="str">
        <f>IFERROR(Tab_Compteur_3[[#This Row],[Montant]]/Tab_Compteur_3[[#This Row],[Delta Jour]],"")</f>
        <v/>
      </c>
      <c r="I14" s="190" t="str">
        <f>IF(SUM(Tab_Compteur_3[[#This Row],[Quantité]],Tab_Compteur_3[[#This Row],[Index]])&lt;=0,"",G14)</f>
        <v/>
      </c>
      <c r="J14" s="187"/>
      <c r="K14" s="823"/>
      <c r="L14" s="823"/>
      <c r="M14" s="823"/>
    </row>
    <row r="15" spans="1:13">
      <c r="A15" s="53">
        <f t="shared" si="1"/>
        <v>1</v>
      </c>
      <c r="B15" s="501"/>
      <c r="C15" s="499"/>
      <c r="D15" s="500"/>
      <c r="E15" s="517"/>
      <c r="F15" s="177">
        <f t="shared" si="0"/>
        <v>0</v>
      </c>
      <c r="G15" t="str">
        <f>IF(IFERROR(IF(Str_TypeDonneesCpt3=Cpt_Index,Tab_Compteur_3[[#This Row],[Index]]-E14,Tab_Compteur_3[[#This Row],[Quantité]])/Tab_Compteur_3[[#This Row],[Delta Jour]],"")&lt;0,"",IFERROR(IF(Str_TypeDonneesCpt3=Cpt_Index,Tab_Compteur_3[[#This Row],[Index]]-E14,Tab_Compteur_3[[#This Row],[Quantité]])/Tab_Compteur_3[[#This Row],[Delta Jour]],""))</f>
        <v/>
      </c>
      <c r="H15" s="177" t="str">
        <f>IFERROR(Tab_Compteur_3[[#This Row],[Montant]]/Tab_Compteur_3[[#This Row],[Delta Jour]],"")</f>
        <v/>
      </c>
      <c r="I15" s="190" t="str">
        <f>IF(SUM(Tab_Compteur_3[[#This Row],[Quantité]],Tab_Compteur_3[[#This Row],[Index]])&lt;=0,"",G15)</f>
        <v/>
      </c>
      <c r="J15" s="185"/>
      <c r="K15" s="823"/>
      <c r="L15" s="823"/>
      <c r="M15" s="823"/>
    </row>
    <row r="16" spans="1:13">
      <c r="A16" s="53">
        <f t="shared" si="1"/>
        <v>1</v>
      </c>
      <c r="B16" s="501"/>
      <c r="C16" s="499"/>
      <c r="D16" s="500"/>
      <c r="E16" s="517"/>
      <c r="F16" s="177">
        <f t="shared" si="0"/>
        <v>0</v>
      </c>
      <c r="G16" t="str">
        <f>IF(IFERROR(IF(Str_TypeDonneesCpt3=Cpt_Index,Tab_Compteur_3[[#This Row],[Index]]-E15,Tab_Compteur_3[[#This Row],[Quantité]])/Tab_Compteur_3[[#This Row],[Delta Jour]],"")&lt;0,"",IFERROR(IF(Str_TypeDonneesCpt3=Cpt_Index,Tab_Compteur_3[[#This Row],[Index]]-E15,Tab_Compteur_3[[#This Row],[Quantité]])/Tab_Compteur_3[[#This Row],[Delta Jour]],""))</f>
        <v/>
      </c>
      <c r="H16" s="177" t="str">
        <f>IFERROR(Tab_Compteur_3[[#This Row],[Montant]]/Tab_Compteur_3[[#This Row],[Delta Jour]],"")</f>
        <v/>
      </c>
      <c r="I16" s="190" t="str">
        <f>IF(SUM(Tab_Compteur_3[[#This Row],[Quantité]],Tab_Compteur_3[[#This Row],[Index]])&lt;=0,"",G16)</f>
        <v/>
      </c>
      <c r="J16" s="185"/>
      <c r="K16" s="823"/>
      <c r="L16" s="823"/>
      <c r="M16" s="823"/>
    </row>
    <row r="17" spans="1:13">
      <c r="A17" s="53">
        <f t="shared" si="1"/>
        <v>1</v>
      </c>
      <c r="B17" s="501"/>
      <c r="C17" s="499"/>
      <c r="D17" s="500"/>
      <c r="E17" s="517"/>
      <c r="F17" s="177">
        <f t="shared" si="0"/>
        <v>0</v>
      </c>
      <c r="G17" t="str">
        <f>IF(IFERROR(IF(Str_TypeDonneesCpt3=Cpt_Index,Tab_Compteur_3[[#This Row],[Index]]-E16,Tab_Compteur_3[[#This Row],[Quantité]])/Tab_Compteur_3[[#This Row],[Delta Jour]],"")&lt;0,"",IFERROR(IF(Str_TypeDonneesCpt3=Cpt_Index,Tab_Compteur_3[[#This Row],[Index]]-E16,Tab_Compteur_3[[#This Row],[Quantité]])/Tab_Compteur_3[[#This Row],[Delta Jour]],""))</f>
        <v/>
      </c>
      <c r="H17" s="177" t="str">
        <f>IFERROR(Tab_Compteur_3[[#This Row],[Montant]]/Tab_Compteur_3[[#This Row],[Delta Jour]],"")</f>
        <v/>
      </c>
      <c r="I17" s="190" t="str">
        <f>IF(SUM(Tab_Compteur_3[[#This Row],[Quantité]],Tab_Compteur_3[[#This Row],[Index]])&lt;=0,"",G17)</f>
        <v/>
      </c>
      <c r="J17" s="187"/>
      <c r="K17" s="823"/>
      <c r="L17" s="823"/>
      <c r="M17" s="823"/>
    </row>
    <row r="18" spans="1:13">
      <c r="A18" s="53">
        <f t="shared" si="1"/>
        <v>1</v>
      </c>
      <c r="B18" s="501"/>
      <c r="C18" s="499"/>
      <c r="D18" s="500"/>
      <c r="E18" s="517"/>
      <c r="F18" s="177">
        <f t="shared" si="0"/>
        <v>0</v>
      </c>
      <c r="G18" t="str">
        <f>IF(IFERROR(IF(Str_TypeDonneesCpt3=Cpt_Index,Tab_Compteur_3[[#This Row],[Index]]-E17,Tab_Compteur_3[[#This Row],[Quantité]])/Tab_Compteur_3[[#This Row],[Delta Jour]],"")&lt;0,"",IFERROR(IF(Str_TypeDonneesCpt3=Cpt_Index,Tab_Compteur_3[[#This Row],[Index]]-E17,Tab_Compteur_3[[#This Row],[Quantité]])/Tab_Compteur_3[[#This Row],[Delta Jour]],""))</f>
        <v/>
      </c>
      <c r="H18" s="177" t="str">
        <f>IFERROR(Tab_Compteur_3[[#This Row],[Montant]]/Tab_Compteur_3[[#This Row],[Delta Jour]],"")</f>
        <v/>
      </c>
      <c r="I18" s="190" t="str">
        <f>IF(SUM(Tab_Compteur_3[[#This Row],[Quantité]],Tab_Compteur_3[[#This Row],[Index]])&lt;=0,"",G18)</f>
        <v/>
      </c>
      <c r="J18" s="187"/>
      <c r="K18" s="823"/>
      <c r="L18" s="823"/>
      <c r="M18" s="823"/>
    </row>
    <row r="19" spans="1:13">
      <c r="A19" s="53">
        <f t="shared" si="1"/>
        <v>1</v>
      </c>
      <c r="B19" s="501"/>
      <c r="C19" s="499"/>
      <c r="D19" s="500"/>
      <c r="E19" s="517"/>
      <c r="F19" s="177">
        <f t="shared" si="0"/>
        <v>0</v>
      </c>
      <c r="G19" t="str">
        <f>IF(IFERROR(IF(Str_TypeDonneesCpt3=Cpt_Index,Tab_Compteur_3[[#This Row],[Index]]-E18,Tab_Compteur_3[[#This Row],[Quantité]])/Tab_Compteur_3[[#This Row],[Delta Jour]],"")&lt;0,"",IFERROR(IF(Str_TypeDonneesCpt3=Cpt_Index,Tab_Compteur_3[[#This Row],[Index]]-E18,Tab_Compteur_3[[#This Row],[Quantité]])/Tab_Compteur_3[[#This Row],[Delta Jour]],""))</f>
        <v/>
      </c>
      <c r="H19" s="177" t="str">
        <f>IFERROR(Tab_Compteur_3[[#This Row],[Montant]]/Tab_Compteur_3[[#This Row],[Delta Jour]],"")</f>
        <v/>
      </c>
      <c r="I19" s="190" t="str">
        <f>IF(SUM(Tab_Compteur_3[[#This Row],[Quantité]],Tab_Compteur_3[[#This Row],[Index]])&lt;=0,"",G19)</f>
        <v/>
      </c>
      <c r="J19" s="187"/>
      <c r="K19" s="823"/>
      <c r="L19" s="823"/>
      <c r="M19" s="823"/>
    </row>
    <row r="20" spans="1:13">
      <c r="A20" s="53">
        <f t="shared" si="1"/>
        <v>1</v>
      </c>
      <c r="B20" s="501"/>
      <c r="C20" s="499"/>
      <c r="D20" s="500"/>
      <c r="E20" s="515"/>
      <c r="F20" s="177">
        <f t="shared" si="0"/>
        <v>0</v>
      </c>
      <c r="G20" t="str">
        <f>IF(IFERROR(IF(Str_TypeDonneesCpt3=Cpt_Index,Tab_Compteur_3[[#This Row],[Index]]-E19,Tab_Compteur_3[[#This Row],[Quantité]])/Tab_Compteur_3[[#This Row],[Delta Jour]],"")&lt;0,"",IFERROR(IF(Str_TypeDonneesCpt3=Cpt_Index,Tab_Compteur_3[[#This Row],[Index]]-E19,Tab_Compteur_3[[#This Row],[Quantité]])/Tab_Compteur_3[[#This Row],[Delta Jour]],""))</f>
        <v/>
      </c>
      <c r="H20" s="177" t="str">
        <f>IFERROR(Tab_Compteur_3[[#This Row],[Montant]]/Tab_Compteur_3[[#This Row],[Delta Jour]],"")</f>
        <v/>
      </c>
      <c r="I20" s="188" t="str">
        <f>IF(SUM(Tab_Compteur_3[[#This Row],[Quantité]],Tab_Compteur_3[[#This Row],[Index]])&lt;=0,"",G20)</f>
        <v/>
      </c>
      <c r="J20" s="187"/>
      <c r="K20" s="823"/>
      <c r="L20" s="823"/>
      <c r="M20" s="823"/>
    </row>
    <row r="21" spans="1:13">
      <c r="A21" s="53">
        <f t="shared" si="1"/>
        <v>1</v>
      </c>
      <c r="B21" s="501"/>
      <c r="C21" s="502"/>
      <c r="D21" s="491"/>
      <c r="E21" s="515"/>
      <c r="F21" s="177">
        <f t="shared" si="0"/>
        <v>0</v>
      </c>
      <c r="G21" t="str">
        <f>IF(IFERROR(IF(Str_TypeDonneesCpt3=Cpt_Index,Tab_Compteur_3[[#This Row],[Index]]-E20,Tab_Compteur_3[[#This Row],[Quantité]])/Tab_Compteur_3[[#This Row],[Delta Jour]],"")&lt;0,"",IFERROR(IF(Str_TypeDonneesCpt3=Cpt_Index,Tab_Compteur_3[[#This Row],[Index]]-E20,Tab_Compteur_3[[#This Row],[Quantité]])/Tab_Compteur_3[[#This Row],[Delta Jour]],""))</f>
        <v/>
      </c>
      <c r="H21" s="177" t="str">
        <f>IFERROR(Tab_Compteur_3[[#This Row],[Montant]]/Tab_Compteur_3[[#This Row],[Delta Jour]],"")</f>
        <v/>
      </c>
      <c r="I21" s="188" t="str">
        <f>IF(SUM(Tab_Compteur_3[[#This Row],[Quantité]],Tab_Compteur_3[[#This Row],[Index]])&lt;=0,"",G21)</f>
        <v/>
      </c>
      <c r="J21" s="187"/>
      <c r="K21" s="823"/>
      <c r="L21" s="823"/>
      <c r="M21" s="823"/>
    </row>
    <row r="22" spans="1:13">
      <c r="A22" s="53">
        <f t="shared" si="1"/>
        <v>1</v>
      </c>
      <c r="B22" s="501"/>
      <c r="C22" s="502"/>
      <c r="D22" s="491"/>
      <c r="E22" s="515"/>
      <c r="F22" s="177">
        <f t="shared" si="0"/>
        <v>0</v>
      </c>
      <c r="G22" t="str">
        <f>IF(IFERROR(IF(Str_TypeDonneesCpt3=Cpt_Index,Tab_Compteur_3[[#This Row],[Index]]-E21,Tab_Compteur_3[[#This Row],[Quantité]])/Tab_Compteur_3[[#This Row],[Delta Jour]],"")&lt;0,"",IFERROR(IF(Str_TypeDonneesCpt3=Cpt_Index,Tab_Compteur_3[[#This Row],[Index]]-E21,Tab_Compteur_3[[#This Row],[Quantité]])/Tab_Compteur_3[[#This Row],[Delta Jour]],""))</f>
        <v/>
      </c>
      <c r="H22" s="177" t="str">
        <f>IFERROR(Tab_Compteur_3[[#This Row],[Montant]]/Tab_Compteur_3[[#This Row],[Delta Jour]],"")</f>
        <v/>
      </c>
      <c r="I22" s="188" t="str">
        <f>IF(SUM(Tab_Compteur_3[[#This Row],[Quantité]],Tab_Compteur_3[[#This Row],[Index]])&lt;=0,"",G22)</f>
        <v/>
      </c>
      <c r="J22" s="187"/>
      <c r="K22" s="823"/>
      <c r="L22" s="823"/>
      <c r="M22" s="823"/>
    </row>
    <row r="23" spans="1:13">
      <c r="A23" s="53">
        <f t="shared" si="1"/>
        <v>1</v>
      </c>
      <c r="B23" s="501"/>
      <c r="C23" s="502"/>
      <c r="D23" s="491"/>
      <c r="E23" s="515"/>
      <c r="F23" s="177">
        <f t="shared" si="0"/>
        <v>0</v>
      </c>
      <c r="G23" t="str">
        <f>IF(IFERROR(IF(Str_TypeDonneesCpt3=Cpt_Index,Tab_Compteur_3[[#This Row],[Index]]-E22,Tab_Compteur_3[[#This Row],[Quantité]])/Tab_Compteur_3[[#This Row],[Delta Jour]],"")&lt;0,"",IFERROR(IF(Str_TypeDonneesCpt3=Cpt_Index,Tab_Compteur_3[[#This Row],[Index]]-E22,Tab_Compteur_3[[#This Row],[Quantité]])/Tab_Compteur_3[[#This Row],[Delta Jour]],""))</f>
        <v/>
      </c>
      <c r="H23" s="177" t="str">
        <f>IFERROR(Tab_Compteur_3[[#This Row],[Montant]]/Tab_Compteur_3[[#This Row],[Delta Jour]],"")</f>
        <v/>
      </c>
      <c r="I23" s="188" t="str">
        <f>IF(SUM(Tab_Compteur_3[[#This Row],[Quantité]],Tab_Compteur_3[[#This Row],[Index]])&lt;=0,"",G23)</f>
        <v/>
      </c>
      <c r="J23" s="187"/>
      <c r="K23" s="823"/>
      <c r="L23" s="823"/>
      <c r="M23" s="823"/>
    </row>
    <row r="24" spans="1:13">
      <c r="A24" s="53">
        <f t="shared" si="1"/>
        <v>1</v>
      </c>
      <c r="B24" s="501"/>
      <c r="C24" s="502"/>
      <c r="D24" s="491"/>
      <c r="E24" s="515"/>
      <c r="F24" s="177">
        <f t="shared" si="0"/>
        <v>0</v>
      </c>
      <c r="G24" t="str">
        <f>IF(IFERROR(IF(Str_TypeDonneesCpt3=Cpt_Index,Tab_Compteur_3[[#This Row],[Index]]-E23,Tab_Compteur_3[[#This Row],[Quantité]])/Tab_Compteur_3[[#This Row],[Delta Jour]],"")&lt;0,"",IFERROR(IF(Str_TypeDonneesCpt3=Cpt_Index,Tab_Compteur_3[[#This Row],[Index]]-E23,Tab_Compteur_3[[#This Row],[Quantité]])/Tab_Compteur_3[[#This Row],[Delta Jour]],""))</f>
        <v/>
      </c>
      <c r="H24" s="177" t="str">
        <f>IFERROR(Tab_Compteur_3[[#This Row],[Montant]]/Tab_Compteur_3[[#This Row],[Delta Jour]],"")</f>
        <v/>
      </c>
      <c r="I24" s="188" t="str">
        <f>IF(SUM(Tab_Compteur_3[[#This Row],[Quantité]],Tab_Compteur_3[[#This Row],[Index]])&lt;=0,"",G24)</f>
        <v/>
      </c>
      <c r="J24" s="187"/>
      <c r="K24" s="823"/>
      <c r="L24" s="823"/>
      <c r="M24" s="823"/>
    </row>
    <row r="25" spans="1:13">
      <c r="A25" s="53">
        <f t="shared" si="1"/>
        <v>1</v>
      </c>
      <c r="B25" s="505"/>
      <c r="C25" s="178"/>
      <c r="D25" s="504"/>
      <c r="E25" s="515"/>
      <c r="F25" s="177">
        <f t="shared" si="0"/>
        <v>0</v>
      </c>
      <c r="G25" t="str">
        <f>IF(IFERROR(IF(Str_TypeDonneesCpt3=Cpt_Index,Tab_Compteur_3[[#This Row],[Index]]-E24,Tab_Compteur_3[[#This Row],[Quantité]])/Tab_Compteur_3[[#This Row],[Delta Jour]],"")&lt;0,"",IFERROR(IF(Str_TypeDonneesCpt3=Cpt_Index,Tab_Compteur_3[[#This Row],[Index]]-E24,Tab_Compteur_3[[#This Row],[Quantité]])/Tab_Compteur_3[[#This Row],[Delta Jour]],""))</f>
        <v/>
      </c>
      <c r="H25" s="177" t="str">
        <f>IFERROR(Tab_Compteur_3[[#This Row],[Montant]]/Tab_Compteur_3[[#This Row],[Delta Jour]],"")</f>
        <v/>
      </c>
      <c r="I25" s="188" t="str">
        <f>IF(SUM(Tab_Compteur_3[[#This Row],[Quantité]],Tab_Compteur_3[[#This Row],[Index]])&lt;=0,"",G25)</f>
        <v/>
      </c>
      <c r="J25" s="187"/>
      <c r="K25" s="823"/>
      <c r="L25" s="823"/>
      <c r="M25" s="823"/>
    </row>
    <row r="26" spans="1:13">
      <c r="A26" s="53">
        <f t="shared" si="1"/>
        <v>1</v>
      </c>
      <c r="B26" s="505"/>
      <c r="C26" s="178"/>
      <c r="D26" s="504"/>
      <c r="E26" s="515"/>
      <c r="F26" s="177">
        <f t="shared" si="0"/>
        <v>0</v>
      </c>
      <c r="G26" t="str">
        <f>IF(IFERROR(IF(Str_TypeDonneesCpt3=Cpt_Index,Tab_Compteur_3[[#This Row],[Index]]-E25,Tab_Compteur_3[[#This Row],[Quantité]])/Tab_Compteur_3[[#This Row],[Delta Jour]],"")&lt;0,"",IFERROR(IF(Str_TypeDonneesCpt3=Cpt_Index,Tab_Compteur_3[[#This Row],[Index]]-E25,Tab_Compteur_3[[#This Row],[Quantité]])/Tab_Compteur_3[[#This Row],[Delta Jour]],""))</f>
        <v/>
      </c>
      <c r="H26" s="177" t="str">
        <f>IFERROR(Tab_Compteur_3[[#This Row],[Montant]]/Tab_Compteur_3[[#This Row],[Delta Jour]],"")</f>
        <v/>
      </c>
      <c r="I26" s="188" t="str">
        <f>IF(SUM(Tab_Compteur_3[[#This Row],[Quantité]],Tab_Compteur_3[[#This Row],[Index]])&lt;=0,"",G26)</f>
        <v/>
      </c>
      <c r="J26" s="185"/>
      <c r="K26" s="823"/>
      <c r="L26" s="823"/>
      <c r="M26" s="823"/>
    </row>
    <row r="27" spans="1:13">
      <c r="A27" s="53">
        <f t="shared" si="1"/>
        <v>1</v>
      </c>
      <c r="B27" s="652"/>
      <c r="C27" s="653"/>
      <c r="D27" s="654"/>
      <c r="E27" s="515"/>
      <c r="F27" s="177">
        <f t="shared" si="0"/>
        <v>0</v>
      </c>
      <c r="G27" t="str">
        <f>IF(IFERROR(IF(Str_TypeDonneesCpt3=Cpt_Index,Tab_Compteur_3[[#This Row],[Index]]-E26,Tab_Compteur_3[[#This Row],[Quantité]])/Tab_Compteur_3[[#This Row],[Delta Jour]],"")&lt;0,"",IFERROR(IF(Str_TypeDonneesCpt3=Cpt_Index,Tab_Compteur_3[[#This Row],[Index]]-E26,Tab_Compteur_3[[#This Row],[Quantité]])/Tab_Compteur_3[[#This Row],[Delta Jour]],""))</f>
        <v/>
      </c>
      <c r="H27" s="177" t="str">
        <f>IFERROR(Tab_Compteur_3[[#This Row],[Montant]]/Tab_Compteur_3[[#This Row],[Delta Jour]],"")</f>
        <v/>
      </c>
      <c r="I27" s="188" t="str">
        <f>IF(SUM(Tab_Compteur_3[[#This Row],[Quantité]],Tab_Compteur_3[[#This Row],[Index]])&lt;=0,"",G27)</f>
        <v/>
      </c>
      <c r="J27" s="185"/>
      <c r="K27" s="823"/>
      <c r="L27" s="823"/>
      <c r="M27" s="823"/>
    </row>
    <row r="28" spans="1:13">
      <c r="A28" s="53">
        <f t="shared" si="1"/>
        <v>1</v>
      </c>
      <c r="B28" s="652"/>
      <c r="C28" s="653"/>
      <c r="D28" s="654"/>
      <c r="E28" s="515"/>
      <c r="F28" s="177">
        <f t="shared" si="0"/>
        <v>0</v>
      </c>
      <c r="G28" t="str">
        <f>IF(IFERROR(IF(Str_TypeDonneesCpt3=Cpt_Index,Tab_Compteur_3[[#This Row],[Index]]-E27,Tab_Compteur_3[[#This Row],[Quantité]])/Tab_Compteur_3[[#This Row],[Delta Jour]],"")&lt;0,"",IFERROR(IF(Str_TypeDonneesCpt3=Cpt_Index,Tab_Compteur_3[[#This Row],[Index]]-E27,Tab_Compteur_3[[#This Row],[Quantité]])/Tab_Compteur_3[[#This Row],[Delta Jour]],""))</f>
        <v/>
      </c>
      <c r="H28" s="177" t="str">
        <f>IFERROR(Tab_Compteur_3[[#This Row],[Montant]]/Tab_Compteur_3[[#This Row],[Delta Jour]],"")</f>
        <v/>
      </c>
      <c r="I28" s="188" t="str">
        <f>IF(SUM(Tab_Compteur_3[[#This Row],[Quantité]],Tab_Compteur_3[[#This Row],[Index]])&lt;=0,"",G28)</f>
        <v/>
      </c>
      <c r="J28" s="185"/>
      <c r="K28" s="823"/>
      <c r="L28" s="823"/>
      <c r="M28" s="823"/>
    </row>
    <row r="29" spans="1:13">
      <c r="A29" s="53">
        <f t="shared" si="1"/>
        <v>1</v>
      </c>
      <c r="B29" s="652"/>
      <c r="C29" s="653"/>
      <c r="D29" s="654"/>
      <c r="E29" s="515"/>
      <c r="F29" s="177">
        <f t="shared" si="0"/>
        <v>0</v>
      </c>
      <c r="G29" t="str">
        <f>IF(IFERROR(IF(Str_TypeDonneesCpt3=Cpt_Index,Tab_Compteur_3[[#This Row],[Index]]-E28,Tab_Compteur_3[[#This Row],[Quantité]])/Tab_Compteur_3[[#This Row],[Delta Jour]],"")&lt;0,"",IFERROR(IF(Str_TypeDonneesCpt3=Cpt_Index,Tab_Compteur_3[[#This Row],[Index]]-E28,Tab_Compteur_3[[#This Row],[Quantité]])/Tab_Compteur_3[[#This Row],[Delta Jour]],""))</f>
        <v/>
      </c>
      <c r="H29" s="177" t="str">
        <f>IFERROR(Tab_Compteur_3[[#This Row],[Montant]]/Tab_Compteur_3[[#This Row],[Delta Jour]],"")</f>
        <v/>
      </c>
      <c r="I29" s="188" t="str">
        <f>IF(SUM(Tab_Compteur_3[[#This Row],[Quantité]],Tab_Compteur_3[[#This Row],[Index]])&lt;=0,"",G29)</f>
        <v/>
      </c>
      <c r="J29" s="185"/>
      <c r="K29" s="823"/>
      <c r="L29" s="823"/>
      <c r="M29" s="823"/>
    </row>
    <row r="30" spans="1:13">
      <c r="A30" s="53">
        <f t="shared" si="1"/>
        <v>1</v>
      </c>
      <c r="B30" s="652"/>
      <c r="C30" s="653"/>
      <c r="D30" s="654"/>
      <c r="E30" s="515"/>
      <c r="F30" s="177">
        <f t="shared" si="0"/>
        <v>0</v>
      </c>
      <c r="G30" t="str">
        <f>IF(IFERROR(IF(Str_TypeDonneesCpt3=Cpt_Index,Tab_Compteur_3[[#This Row],[Index]]-E29,Tab_Compteur_3[[#This Row],[Quantité]])/Tab_Compteur_3[[#This Row],[Delta Jour]],"")&lt;0,"",IFERROR(IF(Str_TypeDonneesCpt3=Cpt_Index,Tab_Compteur_3[[#This Row],[Index]]-E29,Tab_Compteur_3[[#This Row],[Quantité]])/Tab_Compteur_3[[#This Row],[Delta Jour]],""))</f>
        <v/>
      </c>
      <c r="H30" s="177" t="str">
        <f>IFERROR(Tab_Compteur_3[[#This Row],[Montant]]/Tab_Compteur_3[[#This Row],[Delta Jour]],"")</f>
        <v/>
      </c>
      <c r="I30" s="188" t="str">
        <f>IF(SUM(Tab_Compteur_3[[#This Row],[Quantité]],Tab_Compteur_3[[#This Row],[Index]])&lt;=0,"",G30)</f>
        <v/>
      </c>
      <c r="J30" s="185"/>
      <c r="K30" s="823"/>
      <c r="L30" s="823"/>
      <c r="M30" s="823"/>
    </row>
    <row r="31" spans="1:13">
      <c r="A31" s="53">
        <f t="shared" si="1"/>
        <v>1</v>
      </c>
      <c r="B31" s="652"/>
      <c r="C31" s="653"/>
      <c r="D31" s="654"/>
      <c r="E31" s="515"/>
      <c r="F31" s="177">
        <f t="shared" si="0"/>
        <v>0</v>
      </c>
      <c r="G31" t="str">
        <f>IF(IFERROR(IF(Str_TypeDonneesCpt3=Cpt_Index,Tab_Compteur_3[[#This Row],[Index]]-E30,Tab_Compteur_3[[#This Row],[Quantité]])/Tab_Compteur_3[[#This Row],[Delta Jour]],"")&lt;0,"",IFERROR(IF(Str_TypeDonneesCpt3=Cpt_Index,Tab_Compteur_3[[#This Row],[Index]]-E30,Tab_Compteur_3[[#This Row],[Quantité]])/Tab_Compteur_3[[#This Row],[Delta Jour]],""))</f>
        <v/>
      </c>
      <c r="H31" s="177" t="str">
        <f>IFERROR(Tab_Compteur_3[[#This Row],[Montant]]/Tab_Compteur_3[[#This Row],[Delta Jour]],"")</f>
        <v/>
      </c>
      <c r="I31" s="188" t="str">
        <f>IF(SUM(Tab_Compteur_3[[#This Row],[Quantité]],Tab_Compteur_3[[#This Row],[Index]])&lt;=0,"",G31)</f>
        <v/>
      </c>
      <c r="J31" s="185"/>
      <c r="K31" s="823"/>
      <c r="L31" s="823"/>
      <c r="M31" s="823"/>
    </row>
    <row r="32" spans="1:13">
      <c r="A32" s="53">
        <f t="shared" si="1"/>
        <v>1</v>
      </c>
      <c r="B32" s="652"/>
      <c r="C32" s="653"/>
      <c r="D32" s="654"/>
      <c r="E32" s="515"/>
      <c r="F32" s="177">
        <f t="shared" si="0"/>
        <v>0</v>
      </c>
      <c r="G32" t="str">
        <f>IF(IFERROR(IF(Str_TypeDonneesCpt3=Cpt_Index,Tab_Compteur_3[[#This Row],[Index]]-E31,Tab_Compteur_3[[#This Row],[Quantité]])/Tab_Compteur_3[[#This Row],[Delta Jour]],"")&lt;0,"",IFERROR(IF(Str_TypeDonneesCpt3=Cpt_Index,Tab_Compteur_3[[#This Row],[Index]]-E31,Tab_Compteur_3[[#This Row],[Quantité]])/Tab_Compteur_3[[#This Row],[Delta Jour]],""))</f>
        <v/>
      </c>
      <c r="H32" s="177" t="str">
        <f>IFERROR(Tab_Compteur_3[[#This Row],[Montant]]/Tab_Compteur_3[[#This Row],[Delta Jour]],"")</f>
        <v/>
      </c>
      <c r="I32" s="188" t="str">
        <f>IF(SUM(Tab_Compteur_3[[#This Row],[Quantité]],Tab_Compteur_3[[#This Row],[Index]])&lt;=0,"",G32)</f>
        <v/>
      </c>
      <c r="J32" s="185"/>
      <c r="K32" s="823"/>
      <c r="L32" s="823"/>
      <c r="M32" s="823"/>
    </row>
    <row r="33" spans="1:13">
      <c r="A33" s="53">
        <f t="shared" si="1"/>
        <v>1</v>
      </c>
      <c r="B33" s="652"/>
      <c r="C33" s="653"/>
      <c r="D33" s="654"/>
      <c r="E33" s="515"/>
      <c r="F33" s="177">
        <f t="shared" si="0"/>
        <v>0</v>
      </c>
      <c r="G33" t="str">
        <f>IF(IFERROR(IF(Str_TypeDonneesCpt3=Cpt_Index,Tab_Compteur_3[[#This Row],[Index]]-E32,Tab_Compteur_3[[#This Row],[Quantité]])/Tab_Compteur_3[[#This Row],[Delta Jour]],"")&lt;0,"",IFERROR(IF(Str_TypeDonneesCpt3=Cpt_Index,Tab_Compteur_3[[#This Row],[Index]]-E32,Tab_Compteur_3[[#This Row],[Quantité]])/Tab_Compteur_3[[#This Row],[Delta Jour]],""))</f>
        <v/>
      </c>
      <c r="H33" s="177" t="str">
        <f>IFERROR(Tab_Compteur_3[[#This Row],[Montant]]/Tab_Compteur_3[[#This Row],[Delta Jour]],"")</f>
        <v/>
      </c>
      <c r="I33" s="188" t="str">
        <f>IF(SUM(Tab_Compteur_3[[#This Row],[Quantité]],Tab_Compteur_3[[#This Row],[Index]])&lt;=0,"",G33)</f>
        <v/>
      </c>
      <c r="J33" s="185"/>
      <c r="K33" s="823"/>
      <c r="L33" s="823"/>
      <c r="M33" s="823"/>
    </row>
    <row r="34" spans="1:13">
      <c r="A34" s="53">
        <f t="shared" si="1"/>
        <v>1</v>
      </c>
      <c r="B34" s="652"/>
      <c r="C34" s="653"/>
      <c r="D34" s="654"/>
      <c r="E34" s="515"/>
      <c r="F34" s="177">
        <f t="shared" si="0"/>
        <v>0</v>
      </c>
      <c r="G34" t="str">
        <f>IF(IFERROR(IF(Str_TypeDonneesCpt3=Cpt_Index,Tab_Compteur_3[[#This Row],[Index]]-E33,Tab_Compteur_3[[#This Row],[Quantité]])/Tab_Compteur_3[[#This Row],[Delta Jour]],"")&lt;0,"",IFERROR(IF(Str_TypeDonneesCpt3=Cpt_Index,Tab_Compteur_3[[#This Row],[Index]]-E33,Tab_Compteur_3[[#This Row],[Quantité]])/Tab_Compteur_3[[#This Row],[Delta Jour]],""))</f>
        <v/>
      </c>
      <c r="H34" s="177" t="str">
        <f>IFERROR(Tab_Compteur_3[[#This Row],[Montant]]/Tab_Compteur_3[[#This Row],[Delta Jour]],"")</f>
        <v/>
      </c>
      <c r="I34" s="188" t="str">
        <f>IF(SUM(Tab_Compteur_3[[#This Row],[Quantité]],Tab_Compteur_3[[#This Row],[Index]])&lt;=0,"",G34)</f>
        <v/>
      </c>
      <c r="J34" s="185"/>
      <c r="K34" s="246" t="s">
        <v>506</v>
      </c>
      <c r="L34" s="36"/>
      <c r="M34" s="36"/>
    </row>
    <row r="35" spans="1:13">
      <c r="A35" s="53">
        <f t="shared" si="1"/>
        <v>1</v>
      </c>
      <c r="B35" s="652"/>
      <c r="C35" s="653"/>
      <c r="D35" s="654"/>
      <c r="E35" s="515"/>
      <c r="F35" s="177">
        <f t="shared" si="0"/>
        <v>0</v>
      </c>
      <c r="G35" t="str">
        <f>IF(IFERROR(IF(Str_TypeDonneesCpt3=Cpt_Index,Tab_Compteur_3[[#This Row],[Index]]-E34,Tab_Compteur_3[[#This Row],[Quantité]])/Tab_Compteur_3[[#This Row],[Delta Jour]],"")&lt;0,"",IFERROR(IF(Str_TypeDonneesCpt3=Cpt_Index,Tab_Compteur_3[[#This Row],[Index]]-E34,Tab_Compteur_3[[#This Row],[Quantité]])/Tab_Compteur_3[[#This Row],[Delta Jour]],""))</f>
        <v/>
      </c>
      <c r="H35" s="177" t="str">
        <f>IFERROR(Tab_Compteur_3[[#This Row],[Montant]]/Tab_Compteur_3[[#This Row],[Delta Jour]],"")</f>
        <v/>
      </c>
      <c r="I35" s="188" t="str">
        <f>IF(SUM(Tab_Compteur_3[[#This Row],[Quantité]],Tab_Compteur_3[[#This Row],[Index]])&lt;=0,"",G35)</f>
        <v/>
      </c>
      <c r="J35" s="185"/>
      <c r="K35" s="247" t="s">
        <v>507</v>
      </c>
      <c r="L35" s="36"/>
      <c r="M35" s="36"/>
    </row>
    <row r="36" spans="1:13">
      <c r="A36" s="53">
        <f t="shared" si="1"/>
        <v>1</v>
      </c>
      <c r="B36" s="652"/>
      <c r="C36" s="653"/>
      <c r="D36" s="654"/>
      <c r="E36" s="515"/>
      <c r="F36" s="177">
        <f t="shared" si="0"/>
        <v>0</v>
      </c>
      <c r="G36" t="str">
        <f>IF(IFERROR(IF(Str_TypeDonneesCpt3=Cpt_Index,Tab_Compteur_3[[#This Row],[Index]]-E35,Tab_Compteur_3[[#This Row],[Quantité]])/Tab_Compteur_3[[#This Row],[Delta Jour]],"")&lt;0,"",IFERROR(IF(Str_TypeDonneesCpt3=Cpt_Index,Tab_Compteur_3[[#This Row],[Index]]-E35,Tab_Compteur_3[[#This Row],[Quantité]])/Tab_Compteur_3[[#This Row],[Delta Jour]],""))</f>
        <v/>
      </c>
      <c r="H36" s="177" t="str">
        <f>IFERROR(Tab_Compteur_3[[#This Row],[Montant]]/Tab_Compteur_3[[#This Row],[Delta Jour]],"")</f>
        <v/>
      </c>
      <c r="I36" s="188" t="str">
        <f>IF(SUM(Tab_Compteur_3[[#This Row],[Quantité]],Tab_Compteur_3[[#This Row],[Index]])&lt;=0,"",G36)</f>
        <v/>
      </c>
      <c r="J36" s="185"/>
      <c r="K36" s="246" t="s">
        <v>508</v>
      </c>
      <c r="L36" s="36"/>
      <c r="M36" s="36"/>
    </row>
    <row r="37" spans="1:13">
      <c r="A37" s="53">
        <f t="shared" si="1"/>
        <v>1</v>
      </c>
      <c r="B37" s="652"/>
      <c r="C37" s="653"/>
      <c r="D37" s="654"/>
      <c r="E37" s="515"/>
      <c r="F37" s="177">
        <f t="shared" si="0"/>
        <v>0</v>
      </c>
      <c r="G37" t="str">
        <f>IF(IFERROR(IF(Str_TypeDonneesCpt3=Cpt_Index,Tab_Compteur_3[[#This Row],[Index]]-E36,Tab_Compteur_3[[#This Row],[Quantité]])/Tab_Compteur_3[[#This Row],[Delta Jour]],"")&lt;0,"",IFERROR(IF(Str_TypeDonneesCpt3=Cpt_Index,Tab_Compteur_3[[#This Row],[Index]]-E36,Tab_Compteur_3[[#This Row],[Quantité]])/Tab_Compteur_3[[#This Row],[Delta Jour]],""))</f>
        <v/>
      </c>
      <c r="H37" s="177" t="str">
        <f>IFERROR(Tab_Compteur_3[[#This Row],[Montant]]/Tab_Compteur_3[[#This Row],[Delta Jour]],"")</f>
        <v/>
      </c>
      <c r="I37" s="188" t="str">
        <f>IF(SUM(Tab_Compteur_3[[#This Row],[Quantité]],Tab_Compteur_3[[#This Row],[Index]])&lt;=0,"",G37)</f>
        <v/>
      </c>
      <c r="J37" s="185"/>
      <c r="K37" s="247" t="s">
        <v>509</v>
      </c>
      <c r="L37" s="36"/>
      <c r="M37" s="36"/>
    </row>
    <row r="38" spans="1:13">
      <c r="A38" s="53">
        <f t="shared" si="1"/>
        <v>1</v>
      </c>
      <c r="B38" s="652"/>
      <c r="C38" s="653"/>
      <c r="D38" s="654"/>
      <c r="E38" s="515"/>
      <c r="F38" s="177">
        <f t="shared" si="0"/>
        <v>0</v>
      </c>
      <c r="G38" t="str">
        <f>IF(IFERROR(IF(Str_TypeDonneesCpt3=Cpt_Index,Tab_Compteur_3[[#This Row],[Index]]-E37,Tab_Compteur_3[[#This Row],[Quantité]])/Tab_Compteur_3[[#This Row],[Delta Jour]],"")&lt;0,"",IFERROR(IF(Str_TypeDonneesCpt3=Cpt_Index,Tab_Compteur_3[[#This Row],[Index]]-E37,Tab_Compteur_3[[#This Row],[Quantité]])/Tab_Compteur_3[[#This Row],[Delta Jour]],""))</f>
        <v/>
      </c>
      <c r="H38" s="177" t="str">
        <f>IFERROR(Tab_Compteur_3[[#This Row],[Montant]]/Tab_Compteur_3[[#This Row],[Delta Jour]],"")</f>
        <v/>
      </c>
      <c r="I38" s="188" t="str">
        <f>IF(SUM(Tab_Compteur_3[[#This Row],[Quantité]],Tab_Compteur_3[[#This Row],[Index]])&lt;=0,"",G38)</f>
        <v/>
      </c>
      <c r="J38" s="185"/>
      <c r="K38" s="36"/>
      <c r="L38" s="36"/>
      <c r="M38" s="36"/>
    </row>
    <row r="39" spans="1:13">
      <c r="A39" s="53">
        <f t="shared" si="1"/>
        <v>1</v>
      </c>
      <c r="B39" s="652"/>
      <c r="C39" s="653"/>
      <c r="D39" s="654"/>
      <c r="E39" s="515"/>
      <c r="F39" s="177">
        <f t="shared" si="0"/>
        <v>0</v>
      </c>
      <c r="G39" t="str">
        <f>IF(IFERROR(IF(Str_TypeDonneesCpt3=Cpt_Index,Tab_Compteur_3[[#This Row],[Index]]-E38,Tab_Compteur_3[[#This Row],[Quantité]])/Tab_Compteur_3[[#This Row],[Delta Jour]],"")&lt;0,"",IFERROR(IF(Str_TypeDonneesCpt3=Cpt_Index,Tab_Compteur_3[[#This Row],[Index]]-E38,Tab_Compteur_3[[#This Row],[Quantité]])/Tab_Compteur_3[[#This Row],[Delta Jour]],""))</f>
        <v/>
      </c>
      <c r="H39" s="177" t="str">
        <f>IFERROR(Tab_Compteur_3[[#This Row],[Montant]]/Tab_Compteur_3[[#This Row],[Delta Jour]],"")</f>
        <v/>
      </c>
      <c r="I39" s="188" t="str">
        <f>IF(SUM(Tab_Compteur_3[[#This Row],[Quantité]],Tab_Compteur_3[[#This Row],[Index]])&lt;=0,"",G39)</f>
        <v/>
      </c>
      <c r="J39" s="185"/>
      <c r="K39" s="36"/>
      <c r="L39" s="36"/>
      <c r="M39" s="36"/>
    </row>
    <row r="40" spans="1:13">
      <c r="A40" s="53">
        <f t="shared" si="1"/>
        <v>1</v>
      </c>
      <c r="B40" s="652"/>
      <c r="C40" s="653"/>
      <c r="D40" s="654"/>
      <c r="E40" s="515"/>
      <c r="F40" s="177">
        <f t="shared" si="0"/>
        <v>0</v>
      </c>
      <c r="G40" t="str">
        <f>IF(IFERROR(IF(Str_TypeDonneesCpt3=Cpt_Index,Tab_Compteur_3[[#This Row],[Index]]-E39,Tab_Compteur_3[[#This Row],[Quantité]])/Tab_Compteur_3[[#This Row],[Delta Jour]],"")&lt;0,"",IFERROR(IF(Str_TypeDonneesCpt3=Cpt_Index,Tab_Compteur_3[[#This Row],[Index]]-E39,Tab_Compteur_3[[#This Row],[Quantité]])/Tab_Compteur_3[[#This Row],[Delta Jour]],""))</f>
        <v/>
      </c>
      <c r="H40" s="177" t="str">
        <f>IFERROR(Tab_Compteur_3[[#This Row],[Montant]]/Tab_Compteur_3[[#This Row],[Delta Jour]],"")</f>
        <v/>
      </c>
      <c r="I40" s="188" t="str">
        <f>IF(SUM(Tab_Compteur_3[[#This Row],[Quantité]],Tab_Compteur_3[[#This Row],[Index]])&lt;=0,"",G40)</f>
        <v/>
      </c>
      <c r="J40" s="185"/>
      <c r="K40" s="36"/>
      <c r="L40" s="36"/>
      <c r="M40" s="36"/>
    </row>
    <row r="41" spans="1:13">
      <c r="A41" s="53">
        <f t="shared" si="1"/>
        <v>1</v>
      </c>
      <c r="B41" s="652"/>
      <c r="C41" s="653"/>
      <c r="D41" s="654"/>
      <c r="E41" s="515"/>
      <c r="F41" s="177">
        <f t="shared" si="0"/>
        <v>0</v>
      </c>
      <c r="G41" t="str">
        <f>IF(IFERROR(IF(Str_TypeDonneesCpt3=Cpt_Index,Tab_Compteur_3[[#This Row],[Index]]-E40,Tab_Compteur_3[[#This Row],[Quantité]])/Tab_Compteur_3[[#This Row],[Delta Jour]],"")&lt;0,"",IFERROR(IF(Str_TypeDonneesCpt3=Cpt_Index,Tab_Compteur_3[[#This Row],[Index]]-E40,Tab_Compteur_3[[#This Row],[Quantité]])/Tab_Compteur_3[[#This Row],[Delta Jour]],""))</f>
        <v/>
      </c>
      <c r="H41" s="177" t="str">
        <f>IFERROR(Tab_Compteur_3[[#This Row],[Montant]]/Tab_Compteur_3[[#This Row],[Delta Jour]],"")</f>
        <v/>
      </c>
      <c r="I41" s="188" t="str">
        <f>IF(SUM(Tab_Compteur_3[[#This Row],[Quantité]],Tab_Compteur_3[[#This Row],[Index]])&lt;=0,"",G41)</f>
        <v/>
      </c>
      <c r="J41" s="185"/>
      <c r="K41" s="36"/>
      <c r="L41" s="36"/>
      <c r="M41" s="36"/>
    </row>
    <row r="42" spans="1:13">
      <c r="A42" s="53">
        <f t="shared" si="1"/>
        <v>1</v>
      </c>
      <c r="B42" s="652"/>
      <c r="C42" s="653"/>
      <c r="D42" s="654"/>
      <c r="E42" s="515"/>
      <c r="F42" s="177">
        <f t="shared" si="0"/>
        <v>0</v>
      </c>
      <c r="G42" t="str">
        <f>IF(IFERROR(IF(Str_TypeDonneesCpt3=Cpt_Index,Tab_Compteur_3[[#This Row],[Index]]-E41,Tab_Compteur_3[[#This Row],[Quantité]])/Tab_Compteur_3[[#This Row],[Delta Jour]],"")&lt;0,"",IFERROR(IF(Str_TypeDonneesCpt3=Cpt_Index,Tab_Compteur_3[[#This Row],[Index]]-E41,Tab_Compteur_3[[#This Row],[Quantité]])/Tab_Compteur_3[[#This Row],[Delta Jour]],""))</f>
        <v/>
      </c>
      <c r="H42" s="177" t="str">
        <f>IFERROR(Tab_Compteur_3[[#This Row],[Montant]]/Tab_Compteur_3[[#This Row],[Delta Jour]],"")</f>
        <v/>
      </c>
      <c r="I42" s="188" t="str">
        <f>IF(SUM(Tab_Compteur_3[[#This Row],[Quantité]],Tab_Compteur_3[[#This Row],[Index]])&lt;=0,"",G42)</f>
        <v/>
      </c>
      <c r="J42" s="185"/>
      <c r="K42" s="36"/>
      <c r="L42" s="36"/>
      <c r="M42" s="36"/>
    </row>
    <row r="43" spans="1:13">
      <c r="A43" s="53">
        <f t="shared" si="1"/>
        <v>1</v>
      </c>
      <c r="B43" s="652"/>
      <c r="C43" s="653"/>
      <c r="D43" s="654"/>
      <c r="E43" s="515"/>
      <c r="F43" s="177">
        <f t="shared" si="0"/>
        <v>0</v>
      </c>
      <c r="G43" t="str">
        <f>IF(IFERROR(IF(Str_TypeDonneesCpt3=Cpt_Index,Tab_Compteur_3[[#This Row],[Index]]-E42,Tab_Compteur_3[[#This Row],[Quantité]])/Tab_Compteur_3[[#This Row],[Delta Jour]],"")&lt;0,"",IFERROR(IF(Str_TypeDonneesCpt3=Cpt_Index,Tab_Compteur_3[[#This Row],[Index]]-E42,Tab_Compteur_3[[#This Row],[Quantité]])/Tab_Compteur_3[[#This Row],[Delta Jour]],""))</f>
        <v/>
      </c>
      <c r="H43" s="177" t="str">
        <f>IFERROR(Tab_Compteur_3[[#This Row],[Montant]]/Tab_Compteur_3[[#This Row],[Delta Jour]],"")</f>
        <v/>
      </c>
      <c r="I43" s="188" t="str">
        <f>IF(SUM(Tab_Compteur_3[[#This Row],[Quantité]],Tab_Compteur_3[[#This Row],[Index]])&lt;=0,"",G43)</f>
        <v/>
      </c>
      <c r="J43" s="185"/>
      <c r="K43" s="36"/>
      <c r="L43" s="36"/>
      <c r="M43" s="36"/>
    </row>
    <row r="44" spans="1:13">
      <c r="A44" s="53">
        <f t="shared" si="1"/>
        <v>1</v>
      </c>
      <c r="B44" s="505"/>
      <c r="C44" s="180"/>
      <c r="D44" s="495"/>
      <c r="E44" s="515"/>
      <c r="F44" s="177">
        <f t="shared" si="0"/>
        <v>0</v>
      </c>
      <c r="G44" t="str">
        <f>IF(IFERROR(IF(Str_TypeDonneesCpt3=Cpt_Index,Tab_Compteur_3[[#This Row],[Index]]-E43,Tab_Compteur_3[[#This Row],[Quantité]])/Tab_Compteur_3[[#This Row],[Delta Jour]],"")&lt;0,"",IFERROR(IF(Str_TypeDonneesCpt3=Cpt_Index,Tab_Compteur_3[[#This Row],[Index]]-E43,Tab_Compteur_3[[#This Row],[Quantité]])/Tab_Compteur_3[[#This Row],[Delta Jour]],""))</f>
        <v/>
      </c>
      <c r="H44" s="177" t="str">
        <f>IFERROR(Tab_Compteur_3[[#This Row],[Montant]]/Tab_Compteur_3[[#This Row],[Delta Jour]],"")</f>
        <v/>
      </c>
      <c r="I44" s="188" t="str">
        <f>IF(SUM(Tab_Compteur_3[[#This Row],[Quantité]],Tab_Compteur_3[[#This Row],[Index]])&lt;=0,"",G44)</f>
        <v/>
      </c>
      <c r="J44" s="185"/>
      <c r="K44" s="36"/>
      <c r="L44" s="36"/>
      <c r="M44" s="36"/>
    </row>
    <row r="45" spans="1:13">
      <c r="A45" s="53">
        <f t="shared" si="1"/>
        <v>1</v>
      </c>
      <c r="B45" s="505"/>
      <c r="C45" s="180"/>
      <c r="D45" s="495"/>
      <c r="E45" s="515"/>
      <c r="F45" s="177">
        <f t="shared" si="0"/>
        <v>0</v>
      </c>
      <c r="G45" t="str">
        <f>IF(IFERROR(IF(Str_TypeDonneesCpt3=Cpt_Index,Tab_Compteur_3[[#This Row],[Index]]-E44,Tab_Compteur_3[[#This Row],[Quantité]])/Tab_Compteur_3[[#This Row],[Delta Jour]],"")&lt;0,"",IFERROR(IF(Str_TypeDonneesCpt3=Cpt_Index,Tab_Compteur_3[[#This Row],[Index]]-E44,Tab_Compteur_3[[#This Row],[Quantité]])/Tab_Compteur_3[[#This Row],[Delta Jour]],""))</f>
        <v/>
      </c>
      <c r="H45" s="177" t="str">
        <f>IFERROR(Tab_Compteur_3[[#This Row],[Montant]]/Tab_Compteur_3[[#This Row],[Delta Jour]],"")</f>
        <v/>
      </c>
      <c r="I45" s="188" t="str">
        <f>IF(SUM(Tab_Compteur_3[[#This Row],[Quantité]],Tab_Compteur_3[[#This Row],[Index]])&lt;=0,"",G45)</f>
        <v/>
      </c>
      <c r="J45" s="185"/>
      <c r="K45" s="36"/>
      <c r="L45" s="36"/>
      <c r="M45" s="36"/>
    </row>
    <row r="46" spans="1:13">
      <c r="A46" s="53">
        <f t="shared" si="1"/>
        <v>1</v>
      </c>
      <c r="B46" s="505"/>
      <c r="C46" s="180"/>
      <c r="D46" s="495"/>
      <c r="E46" s="515"/>
      <c r="F46" s="177">
        <f t="shared" si="0"/>
        <v>0</v>
      </c>
      <c r="G46" t="str">
        <f>IF(IFERROR(IF(Str_TypeDonneesCpt3=Cpt_Index,Tab_Compteur_3[[#This Row],[Index]]-E45,Tab_Compteur_3[[#This Row],[Quantité]])/Tab_Compteur_3[[#This Row],[Delta Jour]],"")&lt;0,"",IFERROR(IF(Str_TypeDonneesCpt3=Cpt_Index,Tab_Compteur_3[[#This Row],[Index]]-E45,Tab_Compteur_3[[#This Row],[Quantité]])/Tab_Compteur_3[[#This Row],[Delta Jour]],""))</f>
        <v/>
      </c>
      <c r="H46" s="177" t="str">
        <f>IFERROR(Tab_Compteur_3[[#This Row],[Montant]]/Tab_Compteur_3[[#This Row],[Delta Jour]],"")</f>
        <v/>
      </c>
      <c r="I46" s="188" t="str">
        <f>IF(SUM(Tab_Compteur_3[[#This Row],[Quantité]],Tab_Compteur_3[[#This Row],[Index]])&lt;=0,"",G46)</f>
        <v/>
      </c>
      <c r="J46" s="185"/>
      <c r="K46" s="36"/>
      <c r="L46" s="36"/>
      <c r="M46" s="36"/>
    </row>
    <row r="47" spans="1:13">
      <c r="A47" s="53">
        <f t="shared" si="1"/>
        <v>1</v>
      </c>
      <c r="B47" s="505"/>
      <c r="C47" s="180"/>
      <c r="D47" s="495"/>
      <c r="E47" s="515"/>
      <c r="F47" s="177">
        <f t="shared" si="0"/>
        <v>0</v>
      </c>
      <c r="G47" t="str">
        <f>IF(IFERROR(IF(Str_TypeDonneesCpt3=Cpt_Index,Tab_Compteur_3[[#This Row],[Index]]-E46,Tab_Compteur_3[[#This Row],[Quantité]])/Tab_Compteur_3[[#This Row],[Delta Jour]],"")&lt;0,"",IFERROR(IF(Str_TypeDonneesCpt3=Cpt_Index,Tab_Compteur_3[[#This Row],[Index]]-E46,Tab_Compteur_3[[#This Row],[Quantité]])/Tab_Compteur_3[[#This Row],[Delta Jour]],""))</f>
        <v/>
      </c>
      <c r="H47" s="177" t="str">
        <f>IFERROR(Tab_Compteur_3[[#This Row],[Montant]]/Tab_Compteur_3[[#This Row],[Delta Jour]],"")</f>
        <v/>
      </c>
      <c r="I47" s="188" t="str">
        <f>IF(SUM(Tab_Compteur_3[[#This Row],[Quantité]],Tab_Compteur_3[[#This Row],[Index]])&lt;=0,"",G47)</f>
        <v/>
      </c>
      <c r="J47" s="185"/>
      <c r="K47" s="36"/>
      <c r="L47" s="36"/>
      <c r="M47" s="36"/>
    </row>
    <row r="48" spans="1:13">
      <c r="A48" s="53">
        <f t="shared" si="1"/>
        <v>1</v>
      </c>
      <c r="B48" s="505"/>
      <c r="C48" s="180"/>
      <c r="D48" s="495"/>
      <c r="E48" s="515"/>
      <c r="F48" s="177">
        <f t="shared" si="0"/>
        <v>0</v>
      </c>
      <c r="G48" t="str">
        <f>IF(IFERROR(IF(Str_TypeDonneesCpt3=Cpt_Index,Tab_Compteur_3[[#This Row],[Index]]-E47,Tab_Compteur_3[[#This Row],[Quantité]])/Tab_Compteur_3[[#This Row],[Delta Jour]],"")&lt;0,"",IFERROR(IF(Str_TypeDonneesCpt3=Cpt_Index,Tab_Compteur_3[[#This Row],[Index]]-E47,Tab_Compteur_3[[#This Row],[Quantité]])/Tab_Compteur_3[[#This Row],[Delta Jour]],""))</f>
        <v/>
      </c>
      <c r="H48" s="177" t="str">
        <f>IFERROR(Tab_Compteur_3[[#This Row],[Montant]]/Tab_Compteur_3[[#This Row],[Delta Jour]],"")</f>
        <v/>
      </c>
      <c r="I48" s="188" t="str">
        <f>IF(SUM(Tab_Compteur_3[[#This Row],[Quantité]],Tab_Compteur_3[[#This Row],[Index]])&lt;=0,"",G48)</f>
        <v/>
      </c>
      <c r="J48" s="185"/>
      <c r="K48" s="36"/>
      <c r="L48" s="36"/>
      <c r="M48" s="36"/>
    </row>
    <row r="49" spans="1:13">
      <c r="A49" s="53">
        <f t="shared" si="1"/>
        <v>1</v>
      </c>
      <c r="B49" s="505"/>
      <c r="C49" s="180"/>
      <c r="D49" s="495"/>
      <c r="E49" s="515"/>
      <c r="F49" s="177">
        <f t="shared" si="0"/>
        <v>0</v>
      </c>
      <c r="G49" t="str">
        <f>IF(IFERROR(IF(Str_TypeDonneesCpt3=Cpt_Index,Tab_Compteur_3[[#This Row],[Index]]-E48,Tab_Compteur_3[[#This Row],[Quantité]])/Tab_Compteur_3[[#This Row],[Delta Jour]],"")&lt;0,"",IFERROR(IF(Str_TypeDonneesCpt3=Cpt_Index,Tab_Compteur_3[[#This Row],[Index]]-E48,Tab_Compteur_3[[#This Row],[Quantité]])/Tab_Compteur_3[[#This Row],[Delta Jour]],""))</f>
        <v/>
      </c>
      <c r="H49" s="177" t="str">
        <f>IFERROR(Tab_Compteur_3[[#This Row],[Montant]]/Tab_Compteur_3[[#This Row],[Delta Jour]],"")</f>
        <v/>
      </c>
      <c r="I49" s="188" t="str">
        <f>IF(SUM(Tab_Compteur_3[[#This Row],[Quantité]],Tab_Compteur_3[[#This Row],[Index]])&lt;=0,"",G49)</f>
        <v/>
      </c>
      <c r="J49" s="185"/>
      <c r="K49" s="36"/>
      <c r="L49" s="36"/>
      <c r="M49" s="36"/>
    </row>
    <row r="50" spans="1:13">
      <c r="A50" s="53">
        <f t="shared" si="1"/>
        <v>1</v>
      </c>
      <c r="B50" s="505"/>
      <c r="C50" s="180"/>
      <c r="D50" s="495"/>
      <c r="E50" s="515"/>
      <c r="F50" s="177">
        <f t="shared" si="0"/>
        <v>0</v>
      </c>
      <c r="G50" t="str">
        <f>IF(IFERROR(IF(Str_TypeDonneesCpt3=Cpt_Index,Tab_Compteur_3[[#This Row],[Index]]-E49,Tab_Compteur_3[[#This Row],[Quantité]])/Tab_Compteur_3[[#This Row],[Delta Jour]],"")&lt;0,"",IFERROR(IF(Str_TypeDonneesCpt3=Cpt_Index,Tab_Compteur_3[[#This Row],[Index]]-E49,Tab_Compteur_3[[#This Row],[Quantité]])/Tab_Compteur_3[[#This Row],[Delta Jour]],""))</f>
        <v/>
      </c>
      <c r="H50" s="177" t="str">
        <f>IFERROR(Tab_Compteur_3[[#This Row],[Montant]]/Tab_Compteur_3[[#This Row],[Delta Jour]],"")</f>
        <v/>
      </c>
      <c r="I50" s="188" t="str">
        <f>IF(SUM(Tab_Compteur_3[[#This Row],[Quantité]],Tab_Compteur_3[[#This Row],[Index]])&lt;=0,"",G50)</f>
        <v/>
      </c>
      <c r="J50" s="185"/>
      <c r="K50" s="36"/>
      <c r="L50" s="36"/>
      <c r="M50" s="36"/>
    </row>
    <row r="51" spans="1:13">
      <c r="A51" s="53">
        <f t="shared" si="1"/>
        <v>1</v>
      </c>
      <c r="B51" s="505"/>
      <c r="C51" s="180"/>
      <c r="D51" s="495"/>
      <c r="E51" s="515"/>
      <c r="F51" s="177">
        <f t="shared" si="0"/>
        <v>0</v>
      </c>
      <c r="G51" t="str">
        <f>IF(IFERROR(IF(Str_TypeDonneesCpt3=Cpt_Index,Tab_Compteur_3[[#This Row],[Index]]-E50,Tab_Compteur_3[[#This Row],[Quantité]])/Tab_Compteur_3[[#This Row],[Delta Jour]],"")&lt;0,"",IFERROR(IF(Str_TypeDonneesCpt3=Cpt_Index,Tab_Compteur_3[[#This Row],[Index]]-E50,Tab_Compteur_3[[#This Row],[Quantité]])/Tab_Compteur_3[[#This Row],[Delta Jour]],""))</f>
        <v/>
      </c>
      <c r="H51" s="177" t="str">
        <f>IFERROR(Tab_Compteur_3[[#This Row],[Montant]]/Tab_Compteur_3[[#This Row],[Delta Jour]],"")</f>
        <v/>
      </c>
      <c r="I51" s="188" t="str">
        <f>IF(SUM(Tab_Compteur_3[[#This Row],[Quantité]],Tab_Compteur_3[[#This Row],[Index]])&lt;=0,"",G51)</f>
        <v/>
      </c>
      <c r="J51" s="185"/>
      <c r="K51" s="36"/>
      <c r="L51" s="36"/>
      <c r="M51" s="36"/>
    </row>
    <row r="52" spans="1:13">
      <c r="A52" s="53">
        <f t="shared" si="1"/>
        <v>1</v>
      </c>
      <c r="B52" s="505"/>
      <c r="C52" s="180"/>
      <c r="D52" s="495"/>
      <c r="E52" s="515"/>
      <c r="F52" s="177">
        <f t="shared" si="0"/>
        <v>0</v>
      </c>
      <c r="G52" t="str">
        <f>IF(IFERROR(IF(Str_TypeDonneesCpt3=Cpt_Index,Tab_Compteur_3[[#This Row],[Index]]-E51,Tab_Compteur_3[[#This Row],[Quantité]])/Tab_Compteur_3[[#This Row],[Delta Jour]],"")&lt;0,"",IFERROR(IF(Str_TypeDonneesCpt3=Cpt_Index,Tab_Compteur_3[[#This Row],[Index]]-E51,Tab_Compteur_3[[#This Row],[Quantité]])/Tab_Compteur_3[[#This Row],[Delta Jour]],""))</f>
        <v/>
      </c>
      <c r="H52" s="177" t="str">
        <f>IFERROR(Tab_Compteur_3[[#This Row],[Montant]]/Tab_Compteur_3[[#This Row],[Delta Jour]],"")</f>
        <v/>
      </c>
      <c r="I52" s="188" t="str">
        <f>IF(SUM(Tab_Compteur_3[[#This Row],[Quantité]],Tab_Compteur_3[[#This Row],[Index]])&lt;=0,"",G52)</f>
        <v/>
      </c>
      <c r="J52" s="185"/>
      <c r="K52" s="36"/>
      <c r="L52" s="36"/>
      <c r="M52" s="36"/>
    </row>
    <row r="53" spans="1:13">
      <c r="A53" s="53">
        <f t="shared" si="1"/>
        <v>1</v>
      </c>
      <c r="B53" s="505"/>
      <c r="C53" s="180"/>
      <c r="D53" s="495"/>
      <c r="E53" s="515"/>
      <c r="F53" s="177">
        <f t="shared" si="0"/>
        <v>0</v>
      </c>
      <c r="G53" t="str">
        <f>IF(IFERROR(IF(Str_TypeDonneesCpt3=Cpt_Index,Tab_Compteur_3[[#This Row],[Index]]-E52,Tab_Compteur_3[[#This Row],[Quantité]])/Tab_Compteur_3[[#This Row],[Delta Jour]],"")&lt;0,"",IFERROR(IF(Str_TypeDonneesCpt3=Cpt_Index,Tab_Compteur_3[[#This Row],[Index]]-E52,Tab_Compteur_3[[#This Row],[Quantité]])/Tab_Compteur_3[[#This Row],[Delta Jour]],""))</f>
        <v/>
      </c>
      <c r="H53" s="177" t="str">
        <f>IFERROR(Tab_Compteur_3[[#This Row],[Montant]]/Tab_Compteur_3[[#This Row],[Delta Jour]],"")</f>
        <v/>
      </c>
      <c r="I53" s="188" t="str">
        <f>IF(SUM(Tab_Compteur_3[[#This Row],[Quantité]],Tab_Compteur_3[[#This Row],[Index]])&lt;=0,"",G53)</f>
        <v/>
      </c>
      <c r="J53" s="185"/>
      <c r="K53" s="36"/>
      <c r="L53" s="36"/>
      <c r="M53" s="36"/>
    </row>
    <row r="54" spans="1:13">
      <c r="A54" s="53">
        <f t="shared" si="1"/>
        <v>1</v>
      </c>
      <c r="B54" s="505"/>
      <c r="C54" s="180"/>
      <c r="D54" s="495"/>
      <c r="E54" s="515"/>
      <c r="F54" s="177">
        <f t="shared" si="0"/>
        <v>0</v>
      </c>
      <c r="G54" t="str">
        <f>IF(IFERROR(IF(Str_TypeDonneesCpt3=Cpt_Index,Tab_Compteur_3[[#This Row],[Index]]-E53,Tab_Compteur_3[[#This Row],[Quantité]])/Tab_Compteur_3[[#This Row],[Delta Jour]],"")&lt;0,"",IFERROR(IF(Str_TypeDonneesCpt3=Cpt_Index,Tab_Compteur_3[[#This Row],[Index]]-E53,Tab_Compteur_3[[#This Row],[Quantité]])/Tab_Compteur_3[[#This Row],[Delta Jour]],""))</f>
        <v/>
      </c>
      <c r="H54" s="177" t="str">
        <f>IFERROR(Tab_Compteur_3[[#This Row],[Montant]]/Tab_Compteur_3[[#This Row],[Delta Jour]],"")</f>
        <v/>
      </c>
      <c r="I54" s="188" t="str">
        <f>IF(SUM(Tab_Compteur_3[[#This Row],[Quantité]],Tab_Compteur_3[[#This Row],[Index]])&lt;=0,"",G54)</f>
        <v/>
      </c>
      <c r="J54" s="185"/>
      <c r="K54" s="36"/>
      <c r="L54" s="36"/>
      <c r="M54" s="36"/>
    </row>
    <row r="55" spans="1:13">
      <c r="A55" s="53">
        <f t="shared" si="1"/>
        <v>1</v>
      </c>
      <c r="B55" s="505"/>
      <c r="C55" s="180"/>
      <c r="D55" s="495"/>
      <c r="E55" s="515"/>
      <c r="F55" s="177">
        <f t="shared" si="0"/>
        <v>0</v>
      </c>
      <c r="G55" t="str">
        <f>IF(IFERROR(IF(Str_TypeDonneesCpt3=Cpt_Index,Tab_Compteur_3[[#This Row],[Index]]-E54,Tab_Compteur_3[[#This Row],[Quantité]])/Tab_Compteur_3[[#This Row],[Delta Jour]],"")&lt;0,"",IFERROR(IF(Str_TypeDonneesCpt3=Cpt_Index,Tab_Compteur_3[[#This Row],[Index]]-E54,Tab_Compteur_3[[#This Row],[Quantité]])/Tab_Compteur_3[[#This Row],[Delta Jour]],""))</f>
        <v/>
      </c>
      <c r="H55" s="177" t="str">
        <f>IFERROR(Tab_Compteur_3[[#This Row],[Montant]]/Tab_Compteur_3[[#This Row],[Delta Jour]],"")</f>
        <v/>
      </c>
      <c r="I55" s="188" t="str">
        <f>IF(SUM(Tab_Compteur_3[[#This Row],[Quantité]],Tab_Compteur_3[[#This Row],[Index]])&lt;=0,"",G55)</f>
        <v/>
      </c>
      <c r="J55" s="185"/>
      <c r="K55" s="36"/>
      <c r="L55" s="36"/>
      <c r="M55" s="36"/>
    </row>
    <row r="56" spans="1:13">
      <c r="A56" s="53">
        <f t="shared" si="1"/>
        <v>1</v>
      </c>
      <c r="B56" s="505"/>
      <c r="C56" s="180"/>
      <c r="D56" s="495"/>
      <c r="E56" s="515"/>
      <c r="F56" s="177">
        <f t="shared" si="0"/>
        <v>0</v>
      </c>
      <c r="G56" t="str">
        <f>IF(IFERROR(IF(Str_TypeDonneesCpt3=Cpt_Index,Tab_Compteur_3[[#This Row],[Index]]-E55,Tab_Compteur_3[[#This Row],[Quantité]])/Tab_Compteur_3[[#This Row],[Delta Jour]],"")&lt;0,"",IFERROR(IF(Str_TypeDonneesCpt3=Cpt_Index,Tab_Compteur_3[[#This Row],[Index]]-E55,Tab_Compteur_3[[#This Row],[Quantité]])/Tab_Compteur_3[[#This Row],[Delta Jour]],""))</f>
        <v/>
      </c>
      <c r="H56" s="177" t="str">
        <f>IFERROR(Tab_Compteur_3[[#This Row],[Montant]]/Tab_Compteur_3[[#This Row],[Delta Jour]],"")</f>
        <v/>
      </c>
      <c r="I56" s="188" t="str">
        <f>IF(SUM(Tab_Compteur_3[[#This Row],[Quantité]],Tab_Compteur_3[[#This Row],[Index]])&lt;=0,"",G56)</f>
        <v/>
      </c>
      <c r="J56" s="185"/>
      <c r="K56" s="36"/>
      <c r="L56" s="36"/>
      <c r="M56" s="36"/>
    </row>
    <row r="57" spans="1:13">
      <c r="A57" s="53">
        <f t="shared" si="1"/>
        <v>1</v>
      </c>
      <c r="B57" s="505"/>
      <c r="C57" s="180"/>
      <c r="D57" s="495"/>
      <c r="E57" s="515"/>
      <c r="F57" s="177">
        <f t="shared" si="0"/>
        <v>0</v>
      </c>
      <c r="G57" t="str">
        <f>IF(IFERROR(IF(Str_TypeDonneesCpt3=Cpt_Index,Tab_Compteur_3[[#This Row],[Index]]-E56,Tab_Compteur_3[[#This Row],[Quantité]])/Tab_Compteur_3[[#This Row],[Delta Jour]],"")&lt;0,"",IFERROR(IF(Str_TypeDonneesCpt3=Cpt_Index,Tab_Compteur_3[[#This Row],[Index]]-E56,Tab_Compteur_3[[#This Row],[Quantité]])/Tab_Compteur_3[[#This Row],[Delta Jour]],""))</f>
        <v/>
      </c>
      <c r="H57" s="177" t="str">
        <f>IFERROR(Tab_Compteur_3[[#This Row],[Montant]]/Tab_Compteur_3[[#This Row],[Delta Jour]],"")</f>
        <v/>
      </c>
      <c r="I57" s="188" t="str">
        <f>IF(SUM(Tab_Compteur_3[[#This Row],[Quantité]],Tab_Compteur_3[[#This Row],[Index]])&lt;=0,"",G57)</f>
        <v/>
      </c>
      <c r="J57" s="185"/>
      <c r="K57" s="36"/>
      <c r="L57" s="36"/>
      <c r="M57" s="36"/>
    </row>
    <row r="58" spans="1:13">
      <c r="A58" s="53">
        <f t="shared" si="1"/>
        <v>1</v>
      </c>
      <c r="B58" s="505"/>
      <c r="C58" s="180"/>
      <c r="D58" s="495"/>
      <c r="E58" s="515"/>
      <c r="F58" s="177">
        <f t="shared" si="0"/>
        <v>0</v>
      </c>
      <c r="G58" t="str">
        <f>IF(IFERROR(IF(Str_TypeDonneesCpt3=Cpt_Index,Tab_Compteur_3[[#This Row],[Index]]-E57,Tab_Compteur_3[[#This Row],[Quantité]])/Tab_Compteur_3[[#This Row],[Delta Jour]],"")&lt;0,"",IFERROR(IF(Str_TypeDonneesCpt3=Cpt_Index,Tab_Compteur_3[[#This Row],[Index]]-E57,Tab_Compteur_3[[#This Row],[Quantité]])/Tab_Compteur_3[[#This Row],[Delta Jour]],""))</f>
        <v/>
      </c>
      <c r="H58" s="177" t="str">
        <f>IFERROR(Tab_Compteur_3[[#This Row],[Montant]]/Tab_Compteur_3[[#This Row],[Delta Jour]],"")</f>
        <v/>
      </c>
      <c r="I58" s="188" t="str">
        <f>IF(SUM(Tab_Compteur_3[[#This Row],[Quantité]],Tab_Compteur_3[[#This Row],[Index]])&lt;=0,"",G58)</f>
        <v/>
      </c>
      <c r="J58" s="185"/>
      <c r="K58" s="36"/>
      <c r="L58" s="36"/>
      <c r="M58" s="36"/>
    </row>
    <row r="59" spans="1:13">
      <c r="A59" s="53">
        <f t="shared" si="1"/>
        <v>1</v>
      </c>
      <c r="B59" s="505"/>
      <c r="C59" s="180"/>
      <c r="D59" s="495"/>
      <c r="E59" s="515"/>
      <c r="F59" s="177">
        <f t="shared" si="0"/>
        <v>0</v>
      </c>
      <c r="G59" t="str">
        <f>IF(IFERROR(IF(Str_TypeDonneesCpt3=Cpt_Index,Tab_Compteur_3[[#This Row],[Index]]-E58,Tab_Compteur_3[[#This Row],[Quantité]])/Tab_Compteur_3[[#This Row],[Delta Jour]],"")&lt;0,"",IFERROR(IF(Str_TypeDonneesCpt3=Cpt_Index,Tab_Compteur_3[[#This Row],[Index]]-E58,Tab_Compteur_3[[#This Row],[Quantité]])/Tab_Compteur_3[[#This Row],[Delta Jour]],""))</f>
        <v/>
      </c>
      <c r="H59" s="177" t="str">
        <f>IFERROR(Tab_Compteur_3[[#This Row],[Montant]]/Tab_Compteur_3[[#This Row],[Delta Jour]],"")</f>
        <v/>
      </c>
      <c r="I59" s="188" t="str">
        <f>IF(SUM(Tab_Compteur_3[[#This Row],[Quantité]],Tab_Compteur_3[[#This Row],[Index]])&lt;=0,"",G59)</f>
        <v/>
      </c>
      <c r="J59" s="185"/>
      <c r="K59" s="36"/>
      <c r="L59" s="36"/>
      <c r="M59" s="36"/>
    </row>
    <row r="60" spans="1:13">
      <c r="A60" s="53">
        <f t="shared" si="1"/>
        <v>1</v>
      </c>
      <c r="B60" s="505"/>
      <c r="C60" s="180"/>
      <c r="D60" s="495"/>
      <c r="E60" s="515"/>
      <c r="F60" s="177">
        <f t="shared" si="0"/>
        <v>0</v>
      </c>
      <c r="G60" t="str">
        <f>IF(IFERROR(IF(Str_TypeDonneesCpt3=Cpt_Index,Tab_Compteur_3[[#This Row],[Index]]-E59,Tab_Compteur_3[[#This Row],[Quantité]])/Tab_Compteur_3[[#This Row],[Delta Jour]],"")&lt;0,"",IFERROR(IF(Str_TypeDonneesCpt3=Cpt_Index,Tab_Compteur_3[[#This Row],[Index]]-E59,Tab_Compteur_3[[#This Row],[Quantité]])/Tab_Compteur_3[[#This Row],[Delta Jour]],""))</f>
        <v/>
      </c>
      <c r="H60" s="177" t="str">
        <f>IFERROR(Tab_Compteur_3[[#This Row],[Montant]]/Tab_Compteur_3[[#This Row],[Delta Jour]],"")</f>
        <v/>
      </c>
      <c r="I60" s="188" t="str">
        <f>IF(SUM(Tab_Compteur_3[[#This Row],[Quantité]],Tab_Compteur_3[[#This Row],[Index]])&lt;=0,"",G60)</f>
        <v/>
      </c>
      <c r="J60" s="185"/>
      <c r="K60" s="36"/>
      <c r="L60" s="36"/>
      <c r="M60" s="36"/>
    </row>
    <row r="61" spans="1:13">
      <c r="A61" s="53">
        <f t="shared" si="1"/>
        <v>1</v>
      </c>
      <c r="B61" s="505"/>
      <c r="C61" s="180"/>
      <c r="D61" s="495"/>
      <c r="E61" s="515"/>
      <c r="F61" s="177">
        <f t="shared" si="0"/>
        <v>0</v>
      </c>
      <c r="G61" t="str">
        <f>IF(IFERROR(IF(Str_TypeDonneesCpt3=Cpt_Index,Tab_Compteur_3[[#This Row],[Index]]-E60,Tab_Compteur_3[[#This Row],[Quantité]])/Tab_Compteur_3[[#This Row],[Delta Jour]],"")&lt;0,"",IFERROR(IF(Str_TypeDonneesCpt3=Cpt_Index,Tab_Compteur_3[[#This Row],[Index]]-E60,Tab_Compteur_3[[#This Row],[Quantité]])/Tab_Compteur_3[[#This Row],[Delta Jour]],""))</f>
        <v/>
      </c>
      <c r="H61" s="177" t="str">
        <f>IFERROR(Tab_Compteur_3[[#This Row],[Montant]]/Tab_Compteur_3[[#This Row],[Delta Jour]],"")</f>
        <v/>
      </c>
      <c r="I61" s="188" t="str">
        <f>IF(SUM(Tab_Compteur_3[[#This Row],[Quantité]],Tab_Compteur_3[[#This Row],[Index]])&lt;=0,"",G61)</f>
        <v/>
      </c>
      <c r="J61" s="185"/>
      <c r="K61" s="36"/>
      <c r="L61" s="36"/>
      <c r="M61" s="36"/>
    </row>
    <row r="62" spans="1:13">
      <c r="A62" s="53">
        <f t="shared" si="1"/>
        <v>1</v>
      </c>
      <c r="B62" s="505"/>
      <c r="C62" s="180"/>
      <c r="D62" s="495"/>
      <c r="E62" s="515"/>
      <c r="F62" s="177">
        <f t="shared" si="0"/>
        <v>0</v>
      </c>
      <c r="G62" t="str">
        <f>IF(IFERROR(IF(Str_TypeDonneesCpt3=Cpt_Index,Tab_Compteur_3[[#This Row],[Index]]-E61,Tab_Compteur_3[[#This Row],[Quantité]])/Tab_Compteur_3[[#This Row],[Delta Jour]],"")&lt;0,"",IFERROR(IF(Str_TypeDonneesCpt3=Cpt_Index,Tab_Compteur_3[[#This Row],[Index]]-E61,Tab_Compteur_3[[#This Row],[Quantité]])/Tab_Compteur_3[[#This Row],[Delta Jour]],""))</f>
        <v/>
      </c>
      <c r="H62" s="177" t="str">
        <f>IFERROR(Tab_Compteur_3[[#This Row],[Montant]]/Tab_Compteur_3[[#This Row],[Delta Jour]],"")</f>
        <v/>
      </c>
      <c r="I62" s="188" t="str">
        <f>IF(SUM(Tab_Compteur_3[[#This Row],[Quantité]],Tab_Compteur_3[[#This Row],[Index]])&lt;=0,"",G62)</f>
        <v/>
      </c>
      <c r="J62" s="185"/>
      <c r="K62" s="36"/>
      <c r="L62" s="36"/>
      <c r="M62" s="36"/>
    </row>
    <row r="63" spans="1:13">
      <c r="A63" s="53">
        <f t="shared" si="1"/>
        <v>1</v>
      </c>
      <c r="B63" s="505"/>
      <c r="C63" s="180"/>
      <c r="D63" s="495"/>
      <c r="E63" s="515"/>
      <c r="F63" s="177">
        <f t="shared" si="0"/>
        <v>0</v>
      </c>
      <c r="G63" t="str">
        <f>IF(IFERROR(IF(Str_TypeDonneesCpt3=Cpt_Index,Tab_Compteur_3[[#This Row],[Index]]-E62,Tab_Compteur_3[[#This Row],[Quantité]])/Tab_Compteur_3[[#This Row],[Delta Jour]],"")&lt;0,"",IFERROR(IF(Str_TypeDonneesCpt3=Cpt_Index,Tab_Compteur_3[[#This Row],[Index]]-E62,Tab_Compteur_3[[#This Row],[Quantité]])/Tab_Compteur_3[[#This Row],[Delta Jour]],""))</f>
        <v/>
      </c>
      <c r="H63" s="177" t="str">
        <f>IFERROR(Tab_Compteur_3[[#This Row],[Montant]]/Tab_Compteur_3[[#This Row],[Delta Jour]],"")</f>
        <v/>
      </c>
      <c r="I63" s="188" t="str">
        <f>IF(SUM(Tab_Compteur_3[[#This Row],[Quantité]],Tab_Compteur_3[[#This Row],[Index]])&lt;=0,"",G63)</f>
        <v/>
      </c>
      <c r="J63" s="185"/>
      <c r="K63" s="36"/>
      <c r="L63" s="36"/>
      <c r="M63" s="36"/>
    </row>
    <row r="64" spans="1:13">
      <c r="A64" s="53">
        <f t="shared" si="1"/>
        <v>1</v>
      </c>
      <c r="B64" s="505"/>
      <c r="C64" s="180"/>
      <c r="D64" s="495"/>
      <c r="E64" s="515"/>
      <c r="F64" s="177">
        <f t="shared" si="0"/>
        <v>0</v>
      </c>
      <c r="G64" t="str">
        <f>IF(IFERROR(IF(Str_TypeDonneesCpt3=Cpt_Index,Tab_Compteur_3[[#This Row],[Index]]-E63,Tab_Compteur_3[[#This Row],[Quantité]])/Tab_Compteur_3[[#This Row],[Delta Jour]],"")&lt;0,"",IFERROR(IF(Str_TypeDonneesCpt3=Cpt_Index,Tab_Compteur_3[[#This Row],[Index]]-E63,Tab_Compteur_3[[#This Row],[Quantité]])/Tab_Compteur_3[[#This Row],[Delta Jour]],""))</f>
        <v/>
      </c>
      <c r="H64" s="177" t="str">
        <f>IFERROR(Tab_Compteur_3[[#This Row],[Montant]]/Tab_Compteur_3[[#This Row],[Delta Jour]],"")</f>
        <v/>
      </c>
      <c r="I64" s="188" t="str">
        <f>IF(SUM(Tab_Compteur_3[[#This Row],[Quantité]],Tab_Compteur_3[[#This Row],[Index]])&lt;=0,"",G64)</f>
        <v/>
      </c>
      <c r="J64" s="185"/>
      <c r="K64" s="36"/>
      <c r="L64" s="36"/>
      <c r="M64" s="36"/>
    </row>
    <row r="65" spans="1:13">
      <c r="A65" s="53">
        <f t="shared" si="1"/>
        <v>1</v>
      </c>
      <c r="B65" s="505"/>
      <c r="C65" s="180"/>
      <c r="D65" s="495"/>
      <c r="E65" s="515"/>
      <c r="F65" s="177">
        <f t="shared" si="0"/>
        <v>0</v>
      </c>
      <c r="G65" t="str">
        <f>IF(IFERROR(IF(Str_TypeDonneesCpt3=Cpt_Index,Tab_Compteur_3[[#This Row],[Index]]-E64,Tab_Compteur_3[[#This Row],[Quantité]])/Tab_Compteur_3[[#This Row],[Delta Jour]],"")&lt;0,"",IFERROR(IF(Str_TypeDonneesCpt3=Cpt_Index,Tab_Compteur_3[[#This Row],[Index]]-E64,Tab_Compteur_3[[#This Row],[Quantité]])/Tab_Compteur_3[[#This Row],[Delta Jour]],""))</f>
        <v/>
      </c>
      <c r="H65" s="177" t="str">
        <f>IFERROR(Tab_Compteur_3[[#This Row],[Montant]]/Tab_Compteur_3[[#This Row],[Delta Jour]],"")</f>
        <v/>
      </c>
      <c r="I65" s="188" t="str">
        <f>IF(SUM(Tab_Compteur_3[[#This Row],[Quantité]],Tab_Compteur_3[[#This Row],[Index]])&lt;=0,"",G65)</f>
        <v/>
      </c>
      <c r="J65" s="185"/>
      <c r="K65" s="36"/>
      <c r="L65" s="36"/>
      <c r="M65" s="36"/>
    </row>
    <row r="66" spans="1:13">
      <c r="A66" s="53">
        <f t="shared" si="1"/>
        <v>1</v>
      </c>
      <c r="B66" s="505"/>
      <c r="C66" s="180"/>
      <c r="D66" s="495"/>
      <c r="E66" s="515"/>
      <c r="F66" s="177">
        <f t="shared" si="0"/>
        <v>0</v>
      </c>
      <c r="G66" t="str">
        <f>IF(IFERROR(IF(Str_TypeDonneesCpt3=Cpt_Index,Tab_Compteur_3[[#This Row],[Index]]-E65,Tab_Compteur_3[[#This Row],[Quantité]])/Tab_Compteur_3[[#This Row],[Delta Jour]],"")&lt;0,"",IFERROR(IF(Str_TypeDonneesCpt3=Cpt_Index,Tab_Compteur_3[[#This Row],[Index]]-E65,Tab_Compteur_3[[#This Row],[Quantité]])/Tab_Compteur_3[[#This Row],[Delta Jour]],""))</f>
        <v/>
      </c>
      <c r="H66" s="177" t="str">
        <f>IFERROR(Tab_Compteur_3[[#This Row],[Montant]]/Tab_Compteur_3[[#This Row],[Delta Jour]],"")</f>
        <v/>
      </c>
      <c r="I66" s="188" t="str">
        <f>IF(SUM(Tab_Compteur_3[[#This Row],[Quantité]],Tab_Compteur_3[[#This Row],[Index]])&lt;=0,"",G66)</f>
        <v/>
      </c>
      <c r="J66" s="185"/>
      <c r="K66" s="36"/>
      <c r="L66" s="36"/>
      <c r="M66" s="36"/>
    </row>
    <row r="67" spans="1:13">
      <c r="A67" s="53">
        <f t="shared" si="1"/>
        <v>1</v>
      </c>
      <c r="B67" s="505"/>
      <c r="C67" s="180"/>
      <c r="D67" s="495"/>
      <c r="E67" s="515"/>
      <c r="F67" s="177">
        <f t="shared" ref="F67:F130" si="2">IFERROR(B67-A67+1,"")</f>
        <v>0</v>
      </c>
      <c r="G67" t="str">
        <f>IF(IFERROR(IF(Str_TypeDonneesCpt3=Cpt_Index,Tab_Compteur_3[[#This Row],[Index]]-E66,Tab_Compteur_3[[#This Row],[Quantité]])/Tab_Compteur_3[[#This Row],[Delta Jour]],"")&lt;0,"",IFERROR(IF(Str_TypeDonneesCpt3=Cpt_Index,Tab_Compteur_3[[#This Row],[Index]]-E66,Tab_Compteur_3[[#This Row],[Quantité]])/Tab_Compteur_3[[#This Row],[Delta Jour]],""))</f>
        <v/>
      </c>
      <c r="H67" s="177" t="str">
        <f>IFERROR(Tab_Compteur_3[[#This Row],[Montant]]/Tab_Compteur_3[[#This Row],[Delta Jour]],"")</f>
        <v/>
      </c>
      <c r="I67" s="188" t="str">
        <f>IF(SUM(Tab_Compteur_3[[#This Row],[Quantité]],Tab_Compteur_3[[#This Row],[Index]])&lt;=0,"",G67)</f>
        <v/>
      </c>
      <c r="J67" s="185"/>
      <c r="K67" s="36"/>
      <c r="L67" s="36"/>
      <c r="M67" s="36"/>
    </row>
    <row r="68" spans="1:13">
      <c r="A68" s="53">
        <f t="shared" si="1"/>
        <v>1</v>
      </c>
      <c r="B68" s="505"/>
      <c r="C68" s="180"/>
      <c r="D68" s="495"/>
      <c r="E68" s="515"/>
      <c r="F68" s="177">
        <f t="shared" si="2"/>
        <v>0</v>
      </c>
      <c r="G68" t="str">
        <f>IF(IFERROR(IF(Str_TypeDonneesCpt3=Cpt_Index,Tab_Compteur_3[[#This Row],[Index]]-E67,Tab_Compteur_3[[#This Row],[Quantité]])/Tab_Compteur_3[[#This Row],[Delta Jour]],"")&lt;0,"",IFERROR(IF(Str_TypeDonneesCpt3=Cpt_Index,Tab_Compteur_3[[#This Row],[Index]]-E67,Tab_Compteur_3[[#This Row],[Quantité]])/Tab_Compteur_3[[#This Row],[Delta Jour]],""))</f>
        <v/>
      </c>
      <c r="H68" s="177" t="str">
        <f>IFERROR(Tab_Compteur_3[[#This Row],[Montant]]/Tab_Compteur_3[[#This Row],[Delta Jour]],"")</f>
        <v/>
      </c>
      <c r="I68" s="188" t="str">
        <f>IF(SUM(Tab_Compteur_3[[#This Row],[Quantité]],Tab_Compteur_3[[#This Row],[Index]])&lt;=0,"",G68)</f>
        <v/>
      </c>
      <c r="J68" s="185"/>
      <c r="K68" s="36"/>
      <c r="L68" s="36"/>
      <c r="M68" s="36"/>
    </row>
    <row r="69" spans="1:13">
      <c r="A69" s="53">
        <f t="shared" si="1"/>
        <v>1</v>
      </c>
      <c r="B69" s="505"/>
      <c r="C69" s="180"/>
      <c r="D69" s="495"/>
      <c r="E69" s="515"/>
      <c r="F69" s="177">
        <f t="shared" si="2"/>
        <v>0</v>
      </c>
      <c r="G69" t="str">
        <f>IF(IFERROR(IF(Str_TypeDonneesCpt3=Cpt_Index,Tab_Compteur_3[[#This Row],[Index]]-E68,Tab_Compteur_3[[#This Row],[Quantité]])/Tab_Compteur_3[[#This Row],[Delta Jour]],"")&lt;0,"",IFERROR(IF(Str_TypeDonneesCpt3=Cpt_Index,Tab_Compteur_3[[#This Row],[Index]]-E68,Tab_Compteur_3[[#This Row],[Quantité]])/Tab_Compteur_3[[#This Row],[Delta Jour]],""))</f>
        <v/>
      </c>
      <c r="H69" s="177" t="str">
        <f>IFERROR(Tab_Compteur_3[[#This Row],[Montant]]/Tab_Compteur_3[[#This Row],[Delta Jour]],"")</f>
        <v/>
      </c>
      <c r="I69" s="188" t="str">
        <f>IF(SUM(Tab_Compteur_3[[#This Row],[Quantité]],Tab_Compteur_3[[#This Row],[Index]])&lt;=0,"",G69)</f>
        <v/>
      </c>
      <c r="J69" s="185"/>
      <c r="K69" s="36"/>
      <c r="L69" s="36"/>
      <c r="M69" s="36"/>
    </row>
    <row r="70" spans="1:13">
      <c r="A70" s="53">
        <f t="shared" ref="A70:A133" si="3">IFERROR(B69+1,0)</f>
        <v>1</v>
      </c>
      <c r="B70" s="505"/>
      <c r="C70" s="180"/>
      <c r="D70" s="495"/>
      <c r="E70" s="515"/>
      <c r="F70" s="177">
        <f t="shared" si="2"/>
        <v>0</v>
      </c>
      <c r="G70" t="str">
        <f>IF(IFERROR(IF(Str_TypeDonneesCpt3=Cpt_Index,Tab_Compteur_3[[#This Row],[Index]]-E69,Tab_Compteur_3[[#This Row],[Quantité]])/Tab_Compteur_3[[#This Row],[Delta Jour]],"")&lt;0,"",IFERROR(IF(Str_TypeDonneesCpt3=Cpt_Index,Tab_Compteur_3[[#This Row],[Index]]-E69,Tab_Compteur_3[[#This Row],[Quantité]])/Tab_Compteur_3[[#This Row],[Delta Jour]],""))</f>
        <v/>
      </c>
      <c r="H70" s="177" t="str">
        <f>IFERROR(Tab_Compteur_3[[#This Row],[Montant]]/Tab_Compteur_3[[#This Row],[Delta Jour]],"")</f>
        <v/>
      </c>
      <c r="I70" s="188" t="str">
        <f>IF(SUM(Tab_Compteur_3[[#This Row],[Quantité]],Tab_Compteur_3[[#This Row],[Index]])&lt;=0,"",G70)</f>
        <v/>
      </c>
      <c r="J70" s="185"/>
      <c r="K70" s="36"/>
      <c r="L70" s="36"/>
      <c r="M70" s="36"/>
    </row>
    <row r="71" spans="1:13">
      <c r="A71" s="53">
        <f t="shared" si="3"/>
        <v>1</v>
      </c>
      <c r="B71" s="505"/>
      <c r="C71" s="180"/>
      <c r="D71" s="495"/>
      <c r="E71" s="515"/>
      <c r="F71" s="177">
        <f t="shared" si="2"/>
        <v>0</v>
      </c>
      <c r="G71" t="str">
        <f>IF(IFERROR(IF(Str_TypeDonneesCpt3=Cpt_Index,Tab_Compteur_3[[#This Row],[Index]]-E70,Tab_Compteur_3[[#This Row],[Quantité]])/Tab_Compteur_3[[#This Row],[Delta Jour]],"")&lt;0,"",IFERROR(IF(Str_TypeDonneesCpt3=Cpt_Index,Tab_Compteur_3[[#This Row],[Index]]-E70,Tab_Compteur_3[[#This Row],[Quantité]])/Tab_Compteur_3[[#This Row],[Delta Jour]],""))</f>
        <v/>
      </c>
      <c r="H71" s="177" t="str">
        <f>IFERROR(Tab_Compteur_3[[#This Row],[Montant]]/Tab_Compteur_3[[#This Row],[Delta Jour]],"")</f>
        <v/>
      </c>
      <c r="I71" s="188" t="str">
        <f>IF(SUM(Tab_Compteur_3[[#This Row],[Quantité]],Tab_Compteur_3[[#This Row],[Index]])&lt;=0,"",G71)</f>
        <v/>
      </c>
      <c r="J71" s="185"/>
      <c r="K71" s="36"/>
      <c r="L71" s="36"/>
      <c r="M71" s="36"/>
    </row>
    <row r="72" spans="1:13">
      <c r="A72" s="53">
        <f t="shared" si="3"/>
        <v>1</v>
      </c>
      <c r="B72" s="505"/>
      <c r="C72" s="180"/>
      <c r="D72" s="495"/>
      <c r="E72" s="515"/>
      <c r="F72" s="177">
        <f t="shared" si="2"/>
        <v>0</v>
      </c>
      <c r="G72" t="str">
        <f>IF(IFERROR(IF(Str_TypeDonneesCpt3=Cpt_Index,Tab_Compteur_3[[#This Row],[Index]]-E71,Tab_Compteur_3[[#This Row],[Quantité]])/Tab_Compteur_3[[#This Row],[Delta Jour]],"")&lt;0,"",IFERROR(IF(Str_TypeDonneesCpt3=Cpt_Index,Tab_Compteur_3[[#This Row],[Index]]-E71,Tab_Compteur_3[[#This Row],[Quantité]])/Tab_Compteur_3[[#This Row],[Delta Jour]],""))</f>
        <v/>
      </c>
      <c r="H72" s="177" t="str">
        <f>IFERROR(Tab_Compteur_3[[#This Row],[Montant]]/Tab_Compteur_3[[#This Row],[Delta Jour]],"")</f>
        <v/>
      </c>
      <c r="I72" s="188" t="str">
        <f>IF(SUM(Tab_Compteur_3[[#This Row],[Quantité]],Tab_Compteur_3[[#This Row],[Index]])&lt;=0,"",G72)</f>
        <v/>
      </c>
      <c r="J72" s="185"/>
      <c r="K72" s="36"/>
      <c r="L72" s="36"/>
      <c r="M72" s="36"/>
    </row>
    <row r="73" spans="1:13">
      <c r="A73" s="53">
        <f t="shared" si="3"/>
        <v>1</v>
      </c>
      <c r="B73" s="505"/>
      <c r="C73" s="180"/>
      <c r="D73" s="495"/>
      <c r="E73" s="515"/>
      <c r="F73" s="177">
        <f t="shared" si="2"/>
        <v>0</v>
      </c>
      <c r="G73" t="str">
        <f>IF(IFERROR(IF(Str_TypeDonneesCpt3=Cpt_Index,Tab_Compteur_3[[#This Row],[Index]]-E72,Tab_Compteur_3[[#This Row],[Quantité]])/Tab_Compteur_3[[#This Row],[Delta Jour]],"")&lt;0,"",IFERROR(IF(Str_TypeDonneesCpt3=Cpt_Index,Tab_Compteur_3[[#This Row],[Index]]-E72,Tab_Compteur_3[[#This Row],[Quantité]])/Tab_Compteur_3[[#This Row],[Delta Jour]],""))</f>
        <v/>
      </c>
      <c r="H73" s="177" t="str">
        <f>IFERROR(Tab_Compteur_3[[#This Row],[Montant]]/Tab_Compteur_3[[#This Row],[Delta Jour]],"")</f>
        <v/>
      </c>
      <c r="I73" s="188" t="str">
        <f>IF(SUM(Tab_Compteur_3[[#This Row],[Quantité]],Tab_Compteur_3[[#This Row],[Index]])&lt;=0,"",G73)</f>
        <v/>
      </c>
      <c r="J73" s="185"/>
      <c r="K73" s="36"/>
      <c r="L73" s="36"/>
      <c r="M73" s="36"/>
    </row>
    <row r="74" spans="1:13">
      <c r="A74" s="53">
        <f t="shared" si="3"/>
        <v>1</v>
      </c>
      <c r="B74" s="505"/>
      <c r="C74" s="180"/>
      <c r="D74" s="495"/>
      <c r="E74" s="515"/>
      <c r="F74" s="177">
        <f t="shared" si="2"/>
        <v>0</v>
      </c>
      <c r="G74" t="str">
        <f>IF(IFERROR(IF(Str_TypeDonneesCpt3=Cpt_Index,Tab_Compteur_3[[#This Row],[Index]]-E73,Tab_Compteur_3[[#This Row],[Quantité]])/Tab_Compteur_3[[#This Row],[Delta Jour]],"")&lt;0,"",IFERROR(IF(Str_TypeDonneesCpt3=Cpt_Index,Tab_Compteur_3[[#This Row],[Index]]-E73,Tab_Compteur_3[[#This Row],[Quantité]])/Tab_Compteur_3[[#This Row],[Delta Jour]],""))</f>
        <v/>
      </c>
      <c r="H74" s="177" t="str">
        <f>IFERROR(Tab_Compteur_3[[#This Row],[Montant]]/Tab_Compteur_3[[#This Row],[Delta Jour]],"")</f>
        <v/>
      </c>
      <c r="I74" s="188" t="str">
        <f>IF(SUM(Tab_Compteur_3[[#This Row],[Quantité]],Tab_Compteur_3[[#This Row],[Index]])&lt;=0,"",G74)</f>
        <v/>
      </c>
      <c r="J74" s="185"/>
      <c r="K74" s="36"/>
      <c r="L74" s="36"/>
      <c r="M74" s="36"/>
    </row>
    <row r="75" spans="1:13">
      <c r="A75" s="53">
        <f t="shared" si="3"/>
        <v>1</v>
      </c>
      <c r="B75" s="505"/>
      <c r="C75" s="180"/>
      <c r="D75" s="495"/>
      <c r="E75" s="515"/>
      <c r="F75" s="177">
        <f t="shared" si="2"/>
        <v>0</v>
      </c>
      <c r="G75" t="str">
        <f>IF(IFERROR(IF(Str_TypeDonneesCpt3=Cpt_Index,Tab_Compteur_3[[#This Row],[Index]]-E74,Tab_Compteur_3[[#This Row],[Quantité]])/Tab_Compteur_3[[#This Row],[Delta Jour]],"")&lt;0,"",IFERROR(IF(Str_TypeDonneesCpt3=Cpt_Index,Tab_Compteur_3[[#This Row],[Index]]-E74,Tab_Compteur_3[[#This Row],[Quantité]])/Tab_Compteur_3[[#This Row],[Delta Jour]],""))</f>
        <v/>
      </c>
      <c r="H75" s="177" t="str">
        <f>IFERROR(Tab_Compteur_3[[#This Row],[Montant]]/Tab_Compteur_3[[#This Row],[Delta Jour]],"")</f>
        <v/>
      </c>
      <c r="I75" s="188" t="str">
        <f>IF(SUM(Tab_Compteur_3[[#This Row],[Quantité]],Tab_Compteur_3[[#This Row],[Index]])&lt;=0,"",G75)</f>
        <v/>
      </c>
      <c r="J75" s="185"/>
      <c r="K75" s="36"/>
      <c r="L75" s="36"/>
      <c r="M75" s="36"/>
    </row>
    <row r="76" spans="1:13">
      <c r="A76" s="53">
        <f t="shared" si="3"/>
        <v>1</v>
      </c>
      <c r="B76" s="505"/>
      <c r="C76" s="180"/>
      <c r="D76" s="495"/>
      <c r="E76" s="515"/>
      <c r="F76" s="177">
        <f t="shared" si="2"/>
        <v>0</v>
      </c>
      <c r="G76" t="str">
        <f>IF(IFERROR(IF(Str_TypeDonneesCpt3=Cpt_Index,Tab_Compteur_3[[#This Row],[Index]]-E75,Tab_Compteur_3[[#This Row],[Quantité]])/Tab_Compteur_3[[#This Row],[Delta Jour]],"")&lt;0,"",IFERROR(IF(Str_TypeDonneesCpt3=Cpt_Index,Tab_Compteur_3[[#This Row],[Index]]-E75,Tab_Compteur_3[[#This Row],[Quantité]])/Tab_Compteur_3[[#This Row],[Delta Jour]],""))</f>
        <v/>
      </c>
      <c r="H76" s="177" t="str">
        <f>IFERROR(Tab_Compteur_3[[#This Row],[Montant]]/Tab_Compteur_3[[#This Row],[Delta Jour]],"")</f>
        <v/>
      </c>
      <c r="I76" s="188" t="str">
        <f>IF(SUM(Tab_Compteur_3[[#This Row],[Quantité]],Tab_Compteur_3[[#This Row],[Index]])&lt;=0,"",G76)</f>
        <v/>
      </c>
      <c r="J76" s="185"/>
      <c r="K76" s="36"/>
      <c r="L76" s="36"/>
      <c r="M76" s="36"/>
    </row>
    <row r="77" spans="1:13">
      <c r="A77" s="53">
        <f t="shared" si="3"/>
        <v>1</v>
      </c>
      <c r="B77" s="505"/>
      <c r="C77" s="180"/>
      <c r="D77" s="495"/>
      <c r="E77" s="515"/>
      <c r="F77" s="177">
        <f t="shared" si="2"/>
        <v>0</v>
      </c>
      <c r="G77" t="str">
        <f>IF(IFERROR(IF(Str_TypeDonneesCpt3=Cpt_Index,Tab_Compteur_3[[#This Row],[Index]]-E76,Tab_Compteur_3[[#This Row],[Quantité]])/Tab_Compteur_3[[#This Row],[Delta Jour]],"")&lt;0,"",IFERROR(IF(Str_TypeDonneesCpt3=Cpt_Index,Tab_Compteur_3[[#This Row],[Index]]-E76,Tab_Compteur_3[[#This Row],[Quantité]])/Tab_Compteur_3[[#This Row],[Delta Jour]],""))</f>
        <v/>
      </c>
      <c r="H77" s="177" t="str">
        <f>IFERROR(Tab_Compteur_3[[#This Row],[Montant]]/Tab_Compteur_3[[#This Row],[Delta Jour]],"")</f>
        <v/>
      </c>
      <c r="I77" s="188" t="str">
        <f>IF(SUM(Tab_Compteur_3[[#This Row],[Quantité]],Tab_Compteur_3[[#This Row],[Index]])&lt;=0,"",G77)</f>
        <v/>
      </c>
      <c r="J77" s="185"/>
      <c r="K77" s="36"/>
      <c r="L77" s="36"/>
      <c r="M77" s="36"/>
    </row>
    <row r="78" spans="1:13">
      <c r="A78" s="53">
        <f t="shared" si="3"/>
        <v>1</v>
      </c>
      <c r="B78" s="505"/>
      <c r="C78" s="180"/>
      <c r="D78" s="495"/>
      <c r="E78" s="515"/>
      <c r="F78" s="177">
        <f t="shared" si="2"/>
        <v>0</v>
      </c>
      <c r="G78" t="str">
        <f>IF(IFERROR(IF(Str_TypeDonneesCpt3=Cpt_Index,Tab_Compteur_3[[#This Row],[Index]]-E77,Tab_Compteur_3[[#This Row],[Quantité]])/Tab_Compteur_3[[#This Row],[Delta Jour]],"")&lt;0,"",IFERROR(IF(Str_TypeDonneesCpt3=Cpt_Index,Tab_Compteur_3[[#This Row],[Index]]-E77,Tab_Compteur_3[[#This Row],[Quantité]])/Tab_Compteur_3[[#This Row],[Delta Jour]],""))</f>
        <v/>
      </c>
      <c r="H78" s="177" t="str">
        <f>IFERROR(Tab_Compteur_3[[#This Row],[Montant]]/Tab_Compteur_3[[#This Row],[Delta Jour]],"")</f>
        <v/>
      </c>
      <c r="I78" s="188" t="str">
        <f>IF(SUM(Tab_Compteur_3[[#This Row],[Quantité]],Tab_Compteur_3[[#This Row],[Index]])&lt;=0,"",G78)</f>
        <v/>
      </c>
      <c r="J78" s="185"/>
      <c r="K78" s="36"/>
      <c r="L78" s="36"/>
      <c r="M78" s="36"/>
    </row>
    <row r="79" spans="1:13">
      <c r="A79" s="53">
        <f t="shared" si="3"/>
        <v>1</v>
      </c>
      <c r="B79" s="505"/>
      <c r="C79" s="180"/>
      <c r="D79" s="495"/>
      <c r="E79" s="515"/>
      <c r="F79" s="177">
        <f t="shared" si="2"/>
        <v>0</v>
      </c>
      <c r="G79" t="str">
        <f>IF(IFERROR(IF(Str_TypeDonneesCpt3=Cpt_Index,Tab_Compteur_3[[#This Row],[Index]]-E78,Tab_Compteur_3[[#This Row],[Quantité]])/Tab_Compteur_3[[#This Row],[Delta Jour]],"")&lt;0,"",IFERROR(IF(Str_TypeDonneesCpt3=Cpt_Index,Tab_Compteur_3[[#This Row],[Index]]-E78,Tab_Compteur_3[[#This Row],[Quantité]])/Tab_Compteur_3[[#This Row],[Delta Jour]],""))</f>
        <v/>
      </c>
      <c r="H79" s="177" t="str">
        <f>IFERROR(Tab_Compteur_3[[#This Row],[Montant]]/Tab_Compteur_3[[#This Row],[Delta Jour]],"")</f>
        <v/>
      </c>
      <c r="I79" s="188" t="str">
        <f>IF(SUM(Tab_Compteur_3[[#This Row],[Quantité]],Tab_Compteur_3[[#This Row],[Index]])&lt;=0,"",G79)</f>
        <v/>
      </c>
      <c r="J79" s="185"/>
      <c r="K79" s="36"/>
      <c r="L79" s="36"/>
      <c r="M79" s="36"/>
    </row>
    <row r="80" spans="1:13">
      <c r="A80" s="53">
        <f t="shared" si="3"/>
        <v>1</v>
      </c>
      <c r="B80" s="505"/>
      <c r="C80" s="180"/>
      <c r="D80" s="495"/>
      <c r="E80" s="515"/>
      <c r="F80" s="177">
        <f t="shared" si="2"/>
        <v>0</v>
      </c>
      <c r="G80" t="str">
        <f>IF(IFERROR(IF(Str_TypeDonneesCpt3=Cpt_Index,Tab_Compteur_3[[#This Row],[Index]]-E79,Tab_Compteur_3[[#This Row],[Quantité]])/Tab_Compteur_3[[#This Row],[Delta Jour]],"")&lt;0,"",IFERROR(IF(Str_TypeDonneesCpt3=Cpt_Index,Tab_Compteur_3[[#This Row],[Index]]-E79,Tab_Compteur_3[[#This Row],[Quantité]])/Tab_Compteur_3[[#This Row],[Delta Jour]],""))</f>
        <v/>
      </c>
      <c r="H80" s="177" t="str">
        <f>IFERROR(Tab_Compteur_3[[#This Row],[Montant]]/Tab_Compteur_3[[#This Row],[Delta Jour]],"")</f>
        <v/>
      </c>
      <c r="I80" s="188" t="str">
        <f>IF(SUM(Tab_Compteur_3[[#This Row],[Quantité]],Tab_Compteur_3[[#This Row],[Index]])&lt;=0,"",G80)</f>
        <v/>
      </c>
      <c r="J80" s="185"/>
      <c r="K80" s="36"/>
      <c r="L80" s="36"/>
      <c r="M80" s="36"/>
    </row>
    <row r="81" spans="1:13">
      <c r="A81" s="53">
        <f t="shared" si="3"/>
        <v>1</v>
      </c>
      <c r="B81" s="505"/>
      <c r="C81" s="180"/>
      <c r="D81" s="495"/>
      <c r="E81" s="515"/>
      <c r="F81" s="177">
        <f t="shared" si="2"/>
        <v>0</v>
      </c>
      <c r="G81" t="str">
        <f>IF(IFERROR(IF(Str_TypeDonneesCpt3=Cpt_Index,Tab_Compteur_3[[#This Row],[Index]]-E80,Tab_Compteur_3[[#This Row],[Quantité]])/Tab_Compteur_3[[#This Row],[Delta Jour]],"")&lt;0,"",IFERROR(IF(Str_TypeDonneesCpt3=Cpt_Index,Tab_Compteur_3[[#This Row],[Index]]-E80,Tab_Compteur_3[[#This Row],[Quantité]])/Tab_Compteur_3[[#This Row],[Delta Jour]],""))</f>
        <v/>
      </c>
      <c r="H81" s="177" t="str">
        <f>IFERROR(Tab_Compteur_3[[#This Row],[Montant]]/Tab_Compteur_3[[#This Row],[Delta Jour]],"")</f>
        <v/>
      </c>
      <c r="I81" s="188" t="str">
        <f>IF(SUM(Tab_Compteur_3[[#This Row],[Quantité]],Tab_Compteur_3[[#This Row],[Index]])&lt;=0,"",G81)</f>
        <v/>
      </c>
      <c r="J81" s="185"/>
      <c r="K81" s="36"/>
      <c r="L81" s="36"/>
      <c r="M81" s="36"/>
    </row>
    <row r="82" spans="1:13">
      <c r="A82" s="53">
        <f t="shared" si="3"/>
        <v>1</v>
      </c>
      <c r="B82" s="505"/>
      <c r="C82" s="180"/>
      <c r="D82" s="495"/>
      <c r="E82" s="515"/>
      <c r="F82" s="177">
        <f t="shared" si="2"/>
        <v>0</v>
      </c>
      <c r="G82" t="str">
        <f>IF(IFERROR(IF(Str_TypeDonneesCpt3=Cpt_Index,Tab_Compteur_3[[#This Row],[Index]]-E81,Tab_Compteur_3[[#This Row],[Quantité]])/Tab_Compteur_3[[#This Row],[Delta Jour]],"")&lt;0,"",IFERROR(IF(Str_TypeDonneesCpt3=Cpt_Index,Tab_Compteur_3[[#This Row],[Index]]-E81,Tab_Compteur_3[[#This Row],[Quantité]])/Tab_Compteur_3[[#This Row],[Delta Jour]],""))</f>
        <v/>
      </c>
      <c r="H82" s="177" t="str">
        <f>IFERROR(Tab_Compteur_3[[#This Row],[Montant]]/Tab_Compteur_3[[#This Row],[Delta Jour]],"")</f>
        <v/>
      </c>
      <c r="I82" s="188" t="str">
        <f>IF(SUM(Tab_Compteur_3[[#This Row],[Quantité]],Tab_Compteur_3[[#This Row],[Index]])&lt;=0,"",G82)</f>
        <v/>
      </c>
      <c r="J82" s="185"/>
      <c r="K82" s="36"/>
      <c r="L82" s="36"/>
      <c r="M82" s="36"/>
    </row>
    <row r="83" spans="1:13">
      <c r="A83" s="53">
        <f t="shared" si="3"/>
        <v>1</v>
      </c>
      <c r="B83" s="505"/>
      <c r="C83" s="180"/>
      <c r="D83" s="495"/>
      <c r="E83" s="515"/>
      <c r="F83" s="177">
        <f t="shared" si="2"/>
        <v>0</v>
      </c>
      <c r="G83" t="str">
        <f>IF(IFERROR(IF(Str_TypeDonneesCpt3=Cpt_Index,Tab_Compteur_3[[#This Row],[Index]]-E82,Tab_Compteur_3[[#This Row],[Quantité]])/Tab_Compteur_3[[#This Row],[Delta Jour]],"")&lt;0,"",IFERROR(IF(Str_TypeDonneesCpt3=Cpt_Index,Tab_Compteur_3[[#This Row],[Index]]-E82,Tab_Compteur_3[[#This Row],[Quantité]])/Tab_Compteur_3[[#This Row],[Delta Jour]],""))</f>
        <v/>
      </c>
      <c r="H83" s="177" t="str">
        <f>IFERROR(Tab_Compteur_3[[#This Row],[Montant]]/Tab_Compteur_3[[#This Row],[Delta Jour]],"")</f>
        <v/>
      </c>
      <c r="I83" s="188" t="str">
        <f>IF(SUM(Tab_Compteur_3[[#This Row],[Quantité]],Tab_Compteur_3[[#This Row],[Index]])&lt;=0,"",G83)</f>
        <v/>
      </c>
      <c r="J83" s="185"/>
      <c r="K83" s="36"/>
      <c r="L83" s="36"/>
      <c r="M83" s="36"/>
    </row>
    <row r="84" spans="1:13">
      <c r="A84" s="53">
        <f t="shared" si="3"/>
        <v>1</v>
      </c>
      <c r="B84" s="505"/>
      <c r="C84" s="180"/>
      <c r="D84" s="495"/>
      <c r="E84" s="515"/>
      <c r="F84" s="177">
        <f t="shared" si="2"/>
        <v>0</v>
      </c>
      <c r="G84" t="str">
        <f>IF(IFERROR(IF(Str_TypeDonneesCpt3=Cpt_Index,Tab_Compteur_3[[#This Row],[Index]]-E83,Tab_Compteur_3[[#This Row],[Quantité]])/Tab_Compteur_3[[#This Row],[Delta Jour]],"")&lt;0,"",IFERROR(IF(Str_TypeDonneesCpt3=Cpt_Index,Tab_Compteur_3[[#This Row],[Index]]-E83,Tab_Compteur_3[[#This Row],[Quantité]])/Tab_Compteur_3[[#This Row],[Delta Jour]],""))</f>
        <v/>
      </c>
      <c r="H84" s="177" t="str">
        <f>IFERROR(Tab_Compteur_3[[#This Row],[Montant]]/Tab_Compteur_3[[#This Row],[Delta Jour]],"")</f>
        <v/>
      </c>
      <c r="I84" s="188" t="str">
        <f>IF(SUM(Tab_Compteur_3[[#This Row],[Quantité]],Tab_Compteur_3[[#This Row],[Index]])&lt;=0,"",G84)</f>
        <v/>
      </c>
      <c r="J84" s="185"/>
      <c r="K84" s="36"/>
      <c r="L84" s="36"/>
      <c r="M84" s="36"/>
    </row>
    <row r="85" spans="1:13">
      <c r="A85" s="53">
        <f t="shared" si="3"/>
        <v>1</v>
      </c>
      <c r="B85" s="505"/>
      <c r="C85" s="180"/>
      <c r="D85" s="495"/>
      <c r="E85" s="515"/>
      <c r="F85" s="177">
        <f t="shared" si="2"/>
        <v>0</v>
      </c>
      <c r="G85" t="str">
        <f>IF(IFERROR(IF(Str_TypeDonneesCpt3=Cpt_Index,Tab_Compteur_3[[#This Row],[Index]]-E84,Tab_Compteur_3[[#This Row],[Quantité]])/Tab_Compteur_3[[#This Row],[Delta Jour]],"")&lt;0,"",IFERROR(IF(Str_TypeDonneesCpt3=Cpt_Index,Tab_Compteur_3[[#This Row],[Index]]-E84,Tab_Compteur_3[[#This Row],[Quantité]])/Tab_Compteur_3[[#This Row],[Delta Jour]],""))</f>
        <v/>
      </c>
      <c r="H85" s="177" t="str">
        <f>IFERROR(Tab_Compteur_3[[#This Row],[Montant]]/Tab_Compteur_3[[#This Row],[Delta Jour]],"")</f>
        <v/>
      </c>
      <c r="I85" s="188" t="str">
        <f>IF(SUM(Tab_Compteur_3[[#This Row],[Quantité]],Tab_Compteur_3[[#This Row],[Index]])&lt;=0,"",G85)</f>
        <v/>
      </c>
      <c r="J85" s="185"/>
      <c r="K85" s="36"/>
      <c r="L85" s="36"/>
      <c r="M85" s="36"/>
    </row>
    <row r="86" spans="1:13">
      <c r="A86" s="53">
        <f t="shared" si="3"/>
        <v>1</v>
      </c>
      <c r="B86" s="505"/>
      <c r="C86" s="180"/>
      <c r="D86" s="495"/>
      <c r="E86" s="515"/>
      <c r="F86" s="177">
        <f t="shared" si="2"/>
        <v>0</v>
      </c>
      <c r="G86" t="str">
        <f>IF(IFERROR(IF(Str_TypeDonneesCpt3=Cpt_Index,Tab_Compteur_3[[#This Row],[Index]]-E85,Tab_Compteur_3[[#This Row],[Quantité]])/Tab_Compteur_3[[#This Row],[Delta Jour]],"")&lt;0,"",IFERROR(IF(Str_TypeDonneesCpt3=Cpt_Index,Tab_Compteur_3[[#This Row],[Index]]-E85,Tab_Compteur_3[[#This Row],[Quantité]])/Tab_Compteur_3[[#This Row],[Delta Jour]],""))</f>
        <v/>
      </c>
      <c r="H86" s="177" t="str">
        <f>IFERROR(Tab_Compteur_3[[#This Row],[Montant]]/Tab_Compteur_3[[#This Row],[Delta Jour]],"")</f>
        <v/>
      </c>
      <c r="I86" s="188" t="str">
        <f>IF(SUM(Tab_Compteur_3[[#This Row],[Quantité]],Tab_Compteur_3[[#This Row],[Index]])&lt;=0,"",G86)</f>
        <v/>
      </c>
      <c r="J86" s="185"/>
      <c r="K86" s="36"/>
      <c r="L86" s="36"/>
      <c r="M86" s="36"/>
    </row>
    <row r="87" spans="1:13">
      <c r="A87" s="53">
        <f t="shared" si="3"/>
        <v>1</v>
      </c>
      <c r="B87" s="505"/>
      <c r="C87" s="180"/>
      <c r="D87" s="495"/>
      <c r="E87" s="515"/>
      <c r="F87" s="177">
        <f t="shared" si="2"/>
        <v>0</v>
      </c>
      <c r="G87" t="str">
        <f>IF(IFERROR(IF(Str_TypeDonneesCpt3=Cpt_Index,Tab_Compteur_3[[#This Row],[Index]]-E86,Tab_Compteur_3[[#This Row],[Quantité]])/Tab_Compteur_3[[#This Row],[Delta Jour]],"")&lt;0,"",IFERROR(IF(Str_TypeDonneesCpt3=Cpt_Index,Tab_Compteur_3[[#This Row],[Index]]-E86,Tab_Compteur_3[[#This Row],[Quantité]])/Tab_Compteur_3[[#This Row],[Delta Jour]],""))</f>
        <v/>
      </c>
      <c r="H87" s="177" t="str">
        <f>IFERROR(Tab_Compteur_3[[#This Row],[Montant]]/Tab_Compteur_3[[#This Row],[Delta Jour]],"")</f>
        <v/>
      </c>
      <c r="I87" s="188" t="str">
        <f>IF(SUM(Tab_Compteur_3[[#This Row],[Quantité]],Tab_Compteur_3[[#This Row],[Index]])&lt;=0,"",G87)</f>
        <v/>
      </c>
      <c r="J87" s="185"/>
      <c r="K87" s="36"/>
      <c r="L87" s="36"/>
      <c r="M87" s="36"/>
    </row>
    <row r="88" spans="1:13">
      <c r="A88" s="53">
        <f t="shared" si="3"/>
        <v>1</v>
      </c>
      <c r="B88" s="505"/>
      <c r="C88" s="180"/>
      <c r="D88" s="495"/>
      <c r="E88" s="515"/>
      <c r="F88" s="177">
        <f t="shared" si="2"/>
        <v>0</v>
      </c>
      <c r="G88" t="str">
        <f>IF(IFERROR(IF(Str_TypeDonneesCpt3=Cpt_Index,Tab_Compteur_3[[#This Row],[Index]]-E87,Tab_Compteur_3[[#This Row],[Quantité]])/Tab_Compteur_3[[#This Row],[Delta Jour]],"")&lt;0,"",IFERROR(IF(Str_TypeDonneesCpt3=Cpt_Index,Tab_Compteur_3[[#This Row],[Index]]-E87,Tab_Compteur_3[[#This Row],[Quantité]])/Tab_Compteur_3[[#This Row],[Delta Jour]],""))</f>
        <v/>
      </c>
      <c r="H88" s="177" t="str">
        <f>IFERROR(Tab_Compteur_3[[#This Row],[Montant]]/Tab_Compteur_3[[#This Row],[Delta Jour]],"")</f>
        <v/>
      </c>
      <c r="I88" s="188" t="str">
        <f>IF(SUM(Tab_Compteur_3[[#This Row],[Quantité]],Tab_Compteur_3[[#This Row],[Index]])&lt;=0,"",G88)</f>
        <v/>
      </c>
      <c r="J88" s="185"/>
      <c r="K88" s="36"/>
      <c r="L88" s="36"/>
      <c r="M88" s="36"/>
    </row>
    <row r="89" spans="1:13">
      <c r="A89" s="53">
        <f t="shared" si="3"/>
        <v>1</v>
      </c>
      <c r="B89" s="505"/>
      <c r="C89" s="180"/>
      <c r="D89" s="495"/>
      <c r="E89" s="515"/>
      <c r="F89" s="177">
        <f t="shared" si="2"/>
        <v>0</v>
      </c>
      <c r="G89" t="str">
        <f>IF(IFERROR(IF(Str_TypeDonneesCpt3=Cpt_Index,Tab_Compteur_3[[#This Row],[Index]]-E88,Tab_Compteur_3[[#This Row],[Quantité]])/Tab_Compteur_3[[#This Row],[Delta Jour]],"")&lt;0,"",IFERROR(IF(Str_TypeDonneesCpt3=Cpt_Index,Tab_Compteur_3[[#This Row],[Index]]-E88,Tab_Compteur_3[[#This Row],[Quantité]])/Tab_Compteur_3[[#This Row],[Delta Jour]],""))</f>
        <v/>
      </c>
      <c r="H89" s="177" t="str">
        <f>IFERROR(Tab_Compteur_3[[#This Row],[Montant]]/Tab_Compteur_3[[#This Row],[Delta Jour]],"")</f>
        <v/>
      </c>
      <c r="I89" s="188" t="str">
        <f>IF(SUM(Tab_Compteur_3[[#This Row],[Quantité]],Tab_Compteur_3[[#This Row],[Index]])&lt;=0,"",G89)</f>
        <v/>
      </c>
      <c r="J89" s="185"/>
      <c r="K89" s="36"/>
      <c r="L89" s="36"/>
      <c r="M89" s="36"/>
    </row>
    <row r="90" spans="1:13">
      <c r="A90" s="53">
        <f t="shared" si="3"/>
        <v>1</v>
      </c>
      <c r="B90" s="505"/>
      <c r="C90" s="180"/>
      <c r="D90" s="495"/>
      <c r="E90" s="515"/>
      <c r="F90" s="177">
        <f t="shared" si="2"/>
        <v>0</v>
      </c>
      <c r="G90" t="str">
        <f>IF(IFERROR(IF(Str_TypeDonneesCpt3=Cpt_Index,Tab_Compteur_3[[#This Row],[Index]]-E89,Tab_Compteur_3[[#This Row],[Quantité]])/Tab_Compteur_3[[#This Row],[Delta Jour]],"")&lt;0,"",IFERROR(IF(Str_TypeDonneesCpt3=Cpt_Index,Tab_Compteur_3[[#This Row],[Index]]-E89,Tab_Compteur_3[[#This Row],[Quantité]])/Tab_Compteur_3[[#This Row],[Delta Jour]],""))</f>
        <v/>
      </c>
      <c r="H90" s="177" t="str">
        <f>IFERROR(Tab_Compteur_3[[#This Row],[Montant]]/Tab_Compteur_3[[#This Row],[Delta Jour]],"")</f>
        <v/>
      </c>
      <c r="I90" s="188" t="str">
        <f>IF(SUM(Tab_Compteur_3[[#This Row],[Quantité]],Tab_Compteur_3[[#This Row],[Index]])&lt;=0,"",G90)</f>
        <v/>
      </c>
      <c r="J90" s="185"/>
      <c r="K90" s="36"/>
      <c r="L90" s="36"/>
      <c r="M90" s="36"/>
    </row>
    <row r="91" spans="1:13">
      <c r="A91" s="53">
        <f t="shared" si="3"/>
        <v>1</v>
      </c>
      <c r="B91" s="505"/>
      <c r="C91" s="180"/>
      <c r="D91" s="495"/>
      <c r="E91" s="515"/>
      <c r="F91" s="177">
        <f t="shared" si="2"/>
        <v>0</v>
      </c>
      <c r="G91" t="str">
        <f>IF(IFERROR(IF(Str_TypeDonneesCpt3=Cpt_Index,Tab_Compteur_3[[#This Row],[Index]]-E90,Tab_Compteur_3[[#This Row],[Quantité]])/Tab_Compteur_3[[#This Row],[Delta Jour]],"")&lt;0,"",IFERROR(IF(Str_TypeDonneesCpt3=Cpt_Index,Tab_Compteur_3[[#This Row],[Index]]-E90,Tab_Compteur_3[[#This Row],[Quantité]])/Tab_Compteur_3[[#This Row],[Delta Jour]],""))</f>
        <v/>
      </c>
      <c r="H91" s="177" t="str">
        <f>IFERROR(Tab_Compteur_3[[#This Row],[Montant]]/Tab_Compteur_3[[#This Row],[Delta Jour]],"")</f>
        <v/>
      </c>
      <c r="I91" s="188" t="str">
        <f>IF(SUM(Tab_Compteur_3[[#This Row],[Quantité]],Tab_Compteur_3[[#This Row],[Index]])&lt;=0,"",G91)</f>
        <v/>
      </c>
      <c r="J91" s="185"/>
      <c r="K91" s="36"/>
      <c r="L91" s="36"/>
      <c r="M91" s="36"/>
    </row>
    <row r="92" spans="1:13">
      <c r="A92" s="53">
        <f t="shared" si="3"/>
        <v>1</v>
      </c>
      <c r="B92" s="505"/>
      <c r="C92" s="180"/>
      <c r="D92" s="495"/>
      <c r="E92" s="515"/>
      <c r="F92" s="177">
        <f t="shared" si="2"/>
        <v>0</v>
      </c>
      <c r="G92" t="str">
        <f>IF(IFERROR(IF(Str_TypeDonneesCpt3=Cpt_Index,Tab_Compteur_3[[#This Row],[Index]]-E91,Tab_Compteur_3[[#This Row],[Quantité]])/Tab_Compteur_3[[#This Row],[Delta Jour]],"")&lt;0,"",IFERROR(IF(Str_TypeDonneesCpt3=Cpt_Index,Tab_Compteur_3[[#This Row],[Index]]-E91,Tab_Compteur_3[[#This Row],[Quantité]])/Tab_Compteur_3[[#This Row],[Delta Jour]],""))</f>
        <v/>
      </c>
      <c r="H92" s="177" t="str">
        <f>IFERROR(Tab_Compteur_3[[#This Row],[Montant]]/Tab_Compteur_3[[#This Row],[Delta Jour]],"")</f>
        <v/>
      </c>
      <c r="I92" s="188" t="str">
        <f>IF(SUM(Tab_Compteur_3[[#This Row],[Quantité]],Tab_Compteur_3[[#This Row],[Index]])&lt;=0,"",G92)</f>
        <v/>
      </c>
      <c r="J92" s="185"/>
      <c r="K92" s="36"/>
      <c r="L92" s="36"/>
      <c r="M92" s="36"/>
    </row>
    <row r="93" spans="1:13">
      <c r="A93" s="53">
        <f t="shared" si="3"/>
        <v>1</v>
      </c>
      <c r="B93" s="505"/>
      <c r="C93" s="180"/>
      <c r="D93" s="495"/>
      <c r="E93" s="515"/>
      <c r="F93" s="177">
        <f t="shared" si="2"/>
        <v>0</v>
      </c>
      <c r="G93" t="str">
        <f>IF(IFERROR(IF(Str_TypeDonneesCpt3=Cpt_Index,Tab_Compteur_3[[#This Row],[Index]]-E92,Tab_Compteur_3[[#This Row],[Quantité]])/Tab_Compteur_3[[#This Row],[Delta Jour]],"")&lt;0,"",IFERROR(IF(Str_TypeDonneesCpt3=Cpt_Index,Tab_Compteur_3[[#This Row],[Index]]-E92,Tab_Compteur_3[[#This Row],[Quantité]])/Tab_Compteur_3[[#This Row],[Delta Jour]],""))</f>
        <v/>
      </c>
      <c r="H93" s="177" t="str">
        <f>IFERROR(Tab_Compteur_3[[#This Row],[Montant]]/Tab_Compteur_3[[#This Row],[Delta Jour]],"")</f>
        <v/>
      </c>
      <c r="I93" s="188" t="str">
        <f>IF(SUM(Tab_Compteur_3[[#This Row],[Quantité]],Tab_Compteur_3[[#This Row],[Index]])&lt;=0,"",G93)</f>
        <v/>
      </c>
      <c r="J93" s="185"/>
      <c r="K93" s="36"/>
      <c r="L93" s="36"/>
      <c r="M93" s="36"/>
    </row>
    <row r="94" spans="1:13">
      <c r="A94" s="53">
        <f t="shared" si="3"/>
        <v>1</v>
      </c>
      <c r="B94" s="505"/>
      <c r="C94" s="180"/>
      <c r="D94" s="495"/>
      <c r="E94" s="515"/>
      <c r="F94" s="177">
        <f t="shared" si="2"/>
        <v>0</v>
      </c>
      <c r="G94" t="str">
        <f>IF(IFERROR(IF(Str_TypeDonneesCpt3=Cpt_Index,Tab_Compteur_3[[#This Row],[Index]]-E93,Tab_Compteur_3[[#This Row],[Quantité]])/Tab_Compteur_3[[#This Row],[Delta Jour]],"")&lt;0,"",IFERROR(IF(Str_TypeDonneesCpt3=Cpt_Index,Tab_Compteur_3[[#This Row],[Index]]-E93,Tab_Compteur_3[[#This Row],[Quantité]])/Tab_Compteur_3[[#This Row],[Delta Jour]],""))</f>
        <v/>
      </c>
      <c r="H94" s="177" t="str">
        <f>IFERROR(Tab_Compteur_3[[#This Row],[Montant]]/Tab_Compteur_3[[#This Row],[Delta Jour]],"")</f>
        <v/>
      </c>
      <c r="I94" s="188" t="str">
        <f>IF(SUM(Tab_Compteur_3[[#This Row],[Quantité]],Tab_Compteur_3[[#This Row],[Index]])&lt;=0,"",G94)</f>
        <v/>
      </c>
      <c r="J94" s="185"/>
      <c r="K94" s="36"/>
      <c r="L94" s="36"/>
      <c r="M94" s="36"/>
    </row>
    <row r="95" spans="1:13">
      <c r="A95" s="53">
        <f t="shared" si="3"/>
        <v>1</v>
      </c>
      <c r="B95" s="505"/>
      <c r="C95" s="180"/>
      <c r="D95" s="495"/>
      <c r="E95" s="515"/>
      <c r="F95" s="177">
        <f t="shared" si="2"/>
        <v>0</v>
      </c>
      <c r="G95" t="str">
        <f>IF(IFERROR(IF(Str_TypeDonneesCpt3=Cpt_Index,Tab_Compteur_3[[#This Row],[Index]]-E94,Tab_Compteur_3[[#This Row],[Quantité]])/Tab_Compteur_3[[#This Row],[Delta Jour]],"")&lt;0,"",IFERROR(IF(Str_TypeDonneesCpt3=Cpt_Index,Tab_Compteur_3[[#This Row],[Index]]-E94,Tab_Compteur_3[[#This Row],[Quantité]])/Tab_Compteur_3[[#This Row],[Delta Jour]],""))</f>
        <v/>
      </c>
      <c r="H95" s="177" t="str">
        <f>IFERROR(Tab_Compteur_3[[#This Row],[Montant]]/Tab_Compteur_3[[#This Row],[Delta Jour]],"")</f>
        <v/>
      </c>
      <c r="I95" s="188" t="str">
        <f>IF(SUM(Tab_Compteur_3[[#This Row],[Quantité]],Tab_Compteur_3[[#This Row],[Index]])&lt;=0,"",G95)</f>
        <v/>
      </c>
      <c r="J95" s="185"/>
      <c r="K95" s="36"/>
      <c r="L95" s="36"/>
      <c r="M95" s="36"/>
    </row>
    <row r="96" spans="1:13">
      <c r="A96" s="53">
        <f t="shared" si="3"/>
        <v>1</v>
      </c>
      <c r="B96" s="505"/>
      <c r="C96" s="180"/>
      <c r="D96" s="495"/>
      <c r="E96" s="515"/>
      <c r="F96" s="177">
        <f t="shared" si="2"/>
        <v>0</v>
      </c>
      <c r="G96" t="str">
        <f>IF(IFERROR(IF(Str_TypeDonneesCpt3=Cpt_Index,Tab_Compteur_3[[#This Row],[Index]]-E95,Tab_Compteur_3[[#This Row],[Quantité]])/Tab_Compteur_3[[#This Row],[Delta Jour]],"")&lt;0,"",IFERROR(IF(Str_TypeDonneesCpt3=Cpt_Index,Tab_Compteur_3[[#This Row],[Index]]-E95,Tab_Compteur_3[[#This Row],[Quantité]])/Tab_Compteur_3[[#This Row],[Delta Jour]],""))</f>
        <v/>
      </c>
      <c r="H96" s="177" t="str">
        <f>IFERROR(Tab_Compteur_3[[#This Row],[Montant]]/Tab_Compteur_3[[#This Row],[Delta Jour]],"")</f>
        <v/>
      </c>
      <c r="I96" s="188" t="str">
        <f>IF(SUM(Tab_Compteur_3[[#This Row],[Quantité]],Tab_Compteur_3[[#This Row],[Index]])&lt;=0,"",G96)</f>
        <v/>
      </c>
      <c r="J96" s="185"/>
      <c r="K96" s="36"/>
      <c r="L96" s="36"/>
      <c r="M96" s="36"/>
    </row>
    <row r="97" spans="1:13">
      <c r="A97" s="53">
        <f t="shared" si="3"/>
        <v>1</v>
      </c>
      <c r="B97" s="505"/>
      <c r="C97" s="180"/>
      <c r="D97" s="495"/>
      <c r="E97" s="515"/>
      <c r="F97" s="177">
        <f t="shared" si="2"/>
        <v>0</v>
      </c>
      <c r="G97" t="str">
        <f>IF(IFERROR(IF(Str_TypeDonneesCpt3=Cpt_Index,Tab_Compteur_3[[#This Row],[Index]]-E96,Tab_Compteur_3[[#This Row],[Quantité]])/Tab_Compteur_3[[#This Row],[Delta Jour]],"")&lt;0,"",IFERROR(IF(Str_TypeDonneesCpt3=Cpt_Index,Tab_Compteur_3[[#This Row],[Index]]-E96,Tab_Compteur_3[[#This Row],[Quantité]])/Tab_Compteur_3[[#This Row],[Delta Jour]],""))</f>
        <v/>
      </c>
      <c r="H97" s="177" t="str">
        <f>IFERROR(Tab_Compteur_3[[#This Row],[Montant]]/Tab_Compteur_3[[#This Row],[Delta Jour]],"")</f>
        <v/>
      </c>
      <c r="I97" s="188" t="str">
        <f>IF(SUM(Tab_Compteur_3[[#This Row],[Quantité]],Tab_Compteur_3[[#This Row],[Index]])&lt;=0,"",G97)</f>
        <v/>
      </c>
      <c r="J97" s="185"/>
      <c r="K97" s="36"/>
      <c r="L97" s="36"/>
      <c r="M97" s="36"/>
    </row>
    <row r="98" spans="1:13">
      <c r="A98" s="53">
        <f t="shared" si="3"/>
        <v>1</v>
      </c>
      <c r="B98" s="505"/>
      <c r="C98" s="180"/>
      <c r="D98" s="495"/>
      <c r="E98" s="515"/>
      <c r="F98" s="177">
        <f t="shared" si="2"/>
        <v>0</v>
      </c>
      <c r="G98" t="str">
        <f>IF(IFERROR(IF(Str_TypeDonneesCpt3=Cpt_Index,Tab_Compteur_3[[#This Row],[Index]]-E97,Tab_Compteur_3[[#This Row],[Quantité]])/Tab_Compteur_3[[#This Row],[Delta Jour]],"")&lt;0,"",IFERROR(IF(Str_TypeDonneesCpt3=Cpt_Index,Tab_Compteur_3[[#This Row],[Index]]-E97,Tab_Compteur_3[[#This Row],[Quantité]])/Tab_Compteur_3[[#This Row],[Delta Jour]],""))</f>
        <v/>
      </c>
      <c r="H98" s="177" t="str">
        <f>IFERROR(Tab_Compteur_3[[#This Row],[Montant]]/Tab_Compteur_3[[#This Row],[Delta Jour]],"")</f>
        <v/>
      </c>
      <c r="I98" s="188" t="str">
        <f>IF(SUM(Tab_Compteur_3[[#This Row],[Quantité]],Tab_Compteur_3[[#This Row],[Index]])&lt;=0,"",G98)</f>
        <v/>
      </c>
      <c r="J98" s="185"/>
      <c r="K98" s="36"/>
      <c r="L98" s="36"/>
      <c r="M98" s="36"/>
    </row>
    <row r="99" spans="1:13">
      <c r="A99" s="53">
        <f t="shared" si="3"/>
        <v>1</v>
      </c>
      <c r="B99" s="505"/>
      <c r="C99" s="180"/>
      <c r="D99" s="495"/>
      <c r="E99" s="515"/>
      <c r="F99" s="177">
        <f t="shared" si="2"/>
        <v>0</v>
      </c>
      <c r="G99" t="str">
        <f>IF(IFERROR(IF(Str_TypeDonneesCpt3=Cpt_Index,Tab_Compteur_3[[#This Row],[Index]]-E98,Tab_Compteur_3[[#This Row],[Quantité]])/Tab_Compteur_3[[#This Row],[Delta Jour]],"")&lt;0,"",IFERROR(IF(Str_TypeDonneesCpt3=Cpt_Index,Tab_Compteur_3[[#This Row],[Index]]-E98,Tab_Compteur_3[[#This Row],[Quantité]])/Tab_Compteur_3[[#This Row],[Delta Jour]],""))</f>
        <v/>
      </c>
      <c r="H99" s="177" t="str">
        <f>IFERROR(Tab_Compteur_3[[#This Row],[Montant]]/Tab_Compteur_3[[#This Row],[Delta Jour]],"")</f>
        <v/>
      </c>
      <c r="I99" s="188" t="str">
        <f>IF(SUM(Tab_Compteur_3[[#This Row],[Quantité]],Tab_Compteur_3[[#This Row],[Index]])&lt;=0,"",G99)</f>
        <v/>
      </c>
      <c r="J99" s="185"/>
      <c r="K99" s="36"/>
      <c r="L99" s="36"/>
      <c r="M99" s="36"/>
    </row>
    <row r="100" spans="1:13">
      <c r="A100" s="53">
        <f t="shared" si="3"/>
        <v>1</v>
      </c>
      <c r="B100" s="505"/>
      <c r="C100" s="180"/>
      <c r="D100" s="495"/>
      <c r="E100" s="515"/>
      <c r="F100" s="177">
        <f t="shared" si="2"/>
        <v>0</v>
      </c>
      <c r="G100" t="str">
        <f>IF(IFERROR(IF(Str_TypeDonneesCpt3=Cpt_Index,Tab_Compteur_3[[#This Row],[Index]]-E99,Tab_Compteur_3[[#This Row],[Quantité]])/Tab_Compteur_3[[#This Row],[Delta Jour]],"")&lt;0,"",IFERROR(IF(Str_TypeDonneesCpt3=Cpt_Index,Tab_Compteur_3[[#This Row],[Index]]-E99,Tab_Compteur_3[[#This Row],[Quantité]])/Tab_Compteur_3[[#This Row],[Delta Jour]],""))</f>
        <v/>
      </c>
      <c r="H100" s="177" t="str">
        <f>IFERROR(Tab_Compteur_3[[#This Row],[Montant]]/Tab_Compteur_3[[#This Row],[Delta Jour]],"")</f>
        <v/>
      </c>
      <c r="I100" s="188" t="str">
        <f>IF(SUM(Tab_Compteur_3[[#This Row],[Quantité]],Tab_Compteur_3[[#This Row],[Index]])&lt;=0,"",G100)</f>
        <v/>
      </c>
      <c r="J100" s="185"/>
      <c r="K100" s="36"/>
      <c r="L100" s="36"/>
      <c r="M100" s="36"/>
    </row>
    <row r="101" spans="1:13">
      <c r="A101" s="53">
        <f t="shared" si="3"/>
        <v>1</v>
      </c>
      <c r="B101" s="505"/>
      <c r="C101" s="180"/>
      <c r="D101" s="495"/>
      <c r="E101" s="515"/>
      <c r="F101" s="177">
        <f t="shared" si="2"/>
        <v>0</v>
      </c>
      <c r="G101" t="str">
        <f>IF(IFERROR(IF(Str_TypeDonneesCpt3=Cpt_Index,Tab_Compteur_3[[#This Row],[Index]]-E100,Tab_Compteur_3[[#This Row],[Quantité]])/Tab_Compteur_3[[#This Row],[Delta Jour]],"")&lt;0,"",IFERROR(IF(Str_TypeDonneesCpt3=Cpt_Index,Tab_Compteur_3[[#This Row],[Index]]-E100,Tab_Compteur_3[[#This Row],[Quantité]])/Tab_Compteur_3[[#This Row],[Delta Jour]],""))</f>
        <v/>
      </c>
      <c r="H101" s="177" t="str">
        <f>IFERROR(Tab_Compteur_3[[#This Row],[Montant]]/Tab_Compteur_3[[#This Row],[Delta Jour]],"")</f>
        <v/>
      </c>
      <c r="I101" s="188" t="str">
        <f>IF(SUM(Tab_Compteur_3[[#This Row],[Quantité]],Tab_Compteur_3[[#This Row],[Index]])&lt;=0,"",G101)</f>
        <v/>
      </c>
      <c r="J101" s="185"/>
      <c r="K101" s="36"/>
      <c r="L101" s="36"/>
      <c r="M101" s="36"/>
    </row>
    <row r="102" spans="1:13">
      <c r="A102" s="53">
        <f t="shared" si="3"/>
        <v>1</v>
      </c>
      <c r="B102" s="505"/>
      <c r="C102" s="180"/>
      <c r="D102" s="495"/>
      <c r="E102" s="515"/>
      <c r="F102" s="177">
        <f t="shared" si="2"/>
        <v>0</v>
      </c>
      <c r="G102" t="str">
        <f>IF(IFERROR(IF(Str_TypeDonneesCpt3=Cpt_Index,Tab_Compteur_3[[#This Row],[Index]]-E101,Tab_Compteur_3[[#This Row],[Quantité]])/Tab_Compteur_3[[#This Row],[Delta Jour]],"")&lt;0,"",IFERROR(IF(Str_TypeDonneesCpt3=Cpt_Index,Tab_Compteur_3[[#This Row],[Index]]-E101,Tab_Compteur_3[[#This Row],[Quantité]])/Tab_Compteur_3[[#This Row],[Delta Jour]],""))</f>
        <v/>
      </c>
      <c r="H102" s="177" t="str">
        <f>IFERROR(Tab_Compteur_3[[#This Row],[Montant]]/Tab_Compteur_3[[#This Row],[Delta Jour]],"")</f>
        <v/>
      </c>
      <c r="I102" s="188" t="str">
        <f>IF(SUM(Tab_Compteur_3[[#This Row],[Quantité]],Tab_Compteur_3[[#This Row],[Index]])&lt;=0,"",G102)</f>
        <v/>
      </c>
      <c r="J102" s="185"/>
      <c r="K102" s="36"/>
      <c r="L102" s="36"/>
      <c r="M102" s="36"/>
    </row>
    <row r="103" spans="1:13">
      <c r="A103" s="53">
        <f t="shared" si="3"/>
        <v>1</v>
      </c>
      <c r="B103" s="505"/>
      <c r="C103" s="180"/>
      <c r="D103" s="495"/>
      <c r="E103" s="515"/>
      <c r="F103" s="177">
        <f t="shared" si="2"/>
        <v>0</v>
      </c>
      <c r="G103" t="str">
        <f>IF(IFERROR(IF(Str_TypeDonneesCpt3=Cpt_Index,Tab_Compteur_3[[#This Row],[Index]]-E102,Tab_Compteur_3[[#This Row],[Quantité]])/Tab_Compteur_3[[#This Row],[Delta Jour]],"")&lt;0,"",IFERROR(IF(Str_TypeDonneesCpt3=Cpt_Index,Tab_Compteur_3[[#This Row],[Index]]-E102,Tab_Compteur_3[[#This Row],[Quantité]])/Tab_Compteur_3[[#This Row],[Delta Jour]],""))</f>
        <v/>
      </c>
      <c r="H103" s="177" t="str">
        <f>IFERROR(Tab_Compteur_3[[#This Row],[Montant]]/Tab_Compteur_3[[#This Row],[Delta Jour]],"")</f>
        <v/>
      </c>
      <c r="I103" s="188" t="str">
        <f>IF(SUM(Tab_Compteur_3[[#This Row],[Quantité]],Tab_Compteur_3[[#This Row],[Index]])&lt;=0,"",G103)</f>
        <v/>
      </c>
      <c r="J103" s="185"/>
      <c r="K103" s="36"/>
      <c r="L103" s="36"/>
      <c r="M103" s="36"/>
    </row>
    <row r="104" spans="1:13">
      <c r="A104" s="53">
        <f t="shared" si="3"/>
        <v>1</v>
      </c>
      <c r="B104" s="505"/>
      <c r="C104" s="180"/>
      <c r="D104" s="495"/>
      <c r="E104" s="515"/>
      <c r="F104" s="177">
        <f t="shared" si="2"/>
        <v>0</v>
      </c>
      <c r="G104" t="str">
        <f>IF(IFERROR(IF(Str_TypeDonneesCpt3=Cpt_Index,Tab_Compteur_3[[#This Row],[Index]]-E103,Tab_Compteur_3[[#This Row],[Quantité]])/Tab_Compteur_3[[#This Row],[Delta Jour]],"")&lt;0,"",IFERROR(IF(Str_TypeDonneesCpt3=Cpt_Index,Tab_Compteur_3[[#This Row],[Index]]-E103,Tab_Compteur_3[[#This Row],[Quantité]])/Tab_Compteur_3[[#This Row],[Delta Jour]],""))</f>
        <v/>
      </c>
      <c r="H104" s="177" t="str">
        <f>IFERROR(Tab_Compteur_3[[#This Row],[Montant]]/Tab_Compteur_3[[#This Row],[Delta Jour]],"")</f>
        <v/>
      </c>
      <c r="I104" s="188" t="str">
        <f>IF(SUM(Tab_Compteur_3[[#This Row],[Quantité]],Tab_Compteur_3[[#This Row],[Index]])&lt;=0,"",G104)</f>
        <v/>
      </c>
      <c r="J104" s="185"/>
      <c r="K104" s="36"/>
      <c r="L104" s="36"/>
      <c r="M104" s="36"/>
    </row>
    <row r="105" spans="1:13">
      <c r="A105" s="53">
        <f t="shared" si="3"/>
        <v>1</v>
      </c>
      <c r="B105" s="505"/>
      <c r="C105" s="180"/>
      <c r="D105" s="495"/>
      <c r="E105" s="515"/>
      <c r="F105" s="177">
        <f t="shared" si="2"/>
        <v>0</v>
      </c>
      <c r="G105" t="str">
        <f>IF(IFERROR(IF(Str_TypeDonneesCpt3=Cpt_Index,Tab_Compteur_3[[#This Row],[Index]]-E104,Tab_Compteur_3[[#This Row],[Quantité]])/Tab_Compteur_3[[#This Row],[Delta Jour]],"")&lt;0,"",IFERROR(IF(Str_TypeDonneesCpt3=Cpt_Index,Tab_Compteur_3[[#This Row],[Index]]-E104,Tab_Compteur_3[[#This Row],[Quantité]])/Tab_Compteur_3[[#This Row],[Delta Jour]],""))</f>
        <v/>
      </c>
      <c r="H105" s="177" t="str">
        <f>IFERROR(Tab_Compteur_3[[#This Row],[Montant]]/Tab_Compteur_3[[#This Row],[Delta Jour]],"")</f>
        <v/>
      </c>
      <c r="I105" s="188" t="str">
        <f>IF(SUM(Tab_Compteur_3[[#This Row],[Quantité]],Tab_Compteur_3[[#This Row],[Index]])&lt;=0,"",G105)</f>
        <v/>
      </c>
      <c r="J105" s="185"/>
      <c r="K105" s="36"/>
      <c r="L105" s="36"/>
      <c r="M105" s="36"/>
    </row>
    <row r="106" spans="1:13">
      <c r="A106" s="53">
        <f t="shared" si="3"/>
        <v>1</v>
      </c>
      <c r="B106" s="505"/>
      <c r="C106" s="180"/>
      <c r="D106" s="495"/>
      <c r="E106" s="515"/>
      <c r="F106" s="177">
        <f t="shared" si="2"/>
        <v>0</v>
      </c>
      <c r="G106" t="str">
        <f>IF(IFERROR(IF(Str_TypeDonneesCpt3=Cpt_Index,Tab_Compteur_3[[#This Row],[Index]]-E105,Tab_Compteur_3[[#This Row],[Quantité]])/Tab_Compteur_3[[#This Row],[Delta Jour]],"")&lt;0,"",IFERROR(IF(Str_TypeDonneesCpt3=Cpt_Index,Tab_Compteur_3[[#This Row],[Index]]-E105,Tab_Compteur_3[[#This Row],[Quantité]])/Tab_Compteur_3[[#This Row],[Delta Jour]],""))</f>
        <v/>
      </c>
      <c r="H106" s="177" t="str">
        <f>IFERROR(Tab_Compteur_3[[#This Row],[Montant]]/Tab_Compteur_3[[#This Row],[Delta Jour]],"")</f>
        <v/>
      </c>
      <c r="I106" s="188" t="str">
        <f>IF(SUM(Tab_Compteur_3[[#This Row],[Quantité]],Tab_Compteur_3[[#This Row],[Index]])&lt;=0,"",G106)</f>
        <v/>
      </c>
      <c r="J106" s="185"/>
      <c r="K106" s="36"/>
      <c r="L106" s="36"/>
      <c r="M106" s="36"/>
    </row>
    <row r="107" spans="1:13">
      <c r="A107" s="53">
        <f t="shared" si="3"/>
        <v>1</v>
      </c>
      <c r="B107" s="505"/>
      <c r="C107" s="180"/>
      <c r="D107" s="495"/>
      <c r="E107" s="515"/>
      <c r="F107" s="177">
        <f t="shared" si="2"/>
        <v>0</v>
      </c>
      <c r="G107" t="str">
        <f>IF(IFERROR(IF(Str_TypeDonneesCpt3=Cpt_Index,Tab_Compteur_3[[#This Row],[Index]]-E106,Tab_Compteur_3[[#This Row],[Quantité]])/Tab_Compteur_3[[#This Row],[Delta Jour]],"")&lt;0,"",IFERROR(IF(Str_TypeDonneesCpt3=Cpt_Index,Tab_Compteur_3[[#This Row],[Index]]-E106,Tab_Compteur_3[[#This Row],[Quantité]])/Tab_Compteur_3[[#This Row],[Delta Jour]],""))</f>
        <v/>
      </c>
      <c r="H107" s="177" t="str">
        <f>IFERROR(Tab_Compteur_3[[#This Row],[Montant]]/Tab_Compteur_3[[#This Row],[Delta Jour]],"")</f>
        <v/>
      </c>
      <c r="I107" s="188" t="str">
        <f>IF(SUM(Tab_Compteur_3[[#This Row],[Quantité]],Tab_Compteur_3[[#This Row],[Index]])&lt;=0,"",G107)</f>
        <v/>
      </c>
      <c r="J107" s="185"/>
      <c r="K107" s="36"/>
      <c r="L107" s="36"/>
      <c r="M107" s="36"/>
    </row>
    <row r="108" spans="1:13">
      <c r="A108" s="53">
        <f t="shared" si="3"/>
        <v>1</v>
      </c>
      <c r="B108" s="505"/>
      <c r="C108" s="180"/>
      <c r="D108" s="495"/>
      <c r="E108" s="515"/>
      <c r="F108" s="177">
        <f t="shared" si="2"/>
        <v>0</v>
      </c>
      <c r="G108" t="str">
        <f>IF(IFERROR(IF(Str_TypeDonneesCpt3=Cpt_Index,Tab_Compteur_3[[#This Row],[Index]]-E107,Tab_Compteur_3[[#This Row],[Quantité]])/Tab_Compteur_3[[#This Row],[Delta Jour]],"")&lt;0,"",IFERROR(IF(Str_TypeDonneesCpt3=Cpt_Index,Tab_Compteur_3[[#This Row],[Index]]-E107,Tab_Compteur_3[[#This Row],[Quantité]])/Tab_Compteur_3[[#This Row],[Delta Jour]],""))</f>
        <v/>
      </c>
      <c r="H108" s="177" t="str">
        <f>IFERROR(Tab_Compteur_3[[#This Row],[Montant]]/Tab_Compteur_3[[#This Row],[Delta Jour]],"")</f>
        <v/>
      </c>
      <c r="I108" s="188" t="str">
        <f>IF(SUM(Tab_Compteur_3[[#This Row],[Quantité]],Tab_Compteur_3[[#This Row],[Index]])&lt;=0,"",G108)</f>
        <v/>
      </c>
      <c r="J108" s="185"/>
      <c r="K108" s="36"/>
      <c r="L108" s="36"/>
      <c r="M108" s="36"/>
    </row>
    <row r="109" spans="1:13">
      <c r="A109" s="53">
        <f t="shared" si="3"/>
        <v>1</v>
      </c>
      <c r="B109" s="505"/>
      <c r="C109" s="180"/>
      <c r="D109" s="495"/>
      <c r="E109" s="515"/>
      <c r="F109" s="177">
        <f t="shared" si="2"/>
        <v>0</v>
      </c>
      <c r="G109" t="str">
        <f>IF(IFERROR(IF(Str_TypeDonneesCpt3=Cpt_Index,Tab_Compteur_3[[#This Row],[Index]]-E108,Tab_Compteur_3[[#This Row],[Quantité]])/Tab_Compteur_3[[#This Row],[Delta Jour]],"")&lt;0,"",IFERROR(IF(Str_TypeDonneesCpt3=Cpt_Index,Tab_Compteur_3[[#This Row],[Index]]-E108,Tab_Compteur_3[[#This Row],[Quantité]])/Tab_Compteur_3[[#This Row],[Delta Jour]],""))</f>
        <v/>
      </c>
      <c r="H109" s="177" t="str">
        <f>IFERROR(Tab_Compteur_3[[#This Row],[Montant]]/Tab_Compteur_3[[#This Row],[Delta Jour]],"")</f>
        <v/>
      </c>
      <c r="I109" s="188" t="str">
        <f>IF(SUM(Tab_Compteur_3[[#This Row],[Quantité]],Tab_Compteur_3[[#This Row],[Index]])&lt;=0,"",G109)</f>
        <v/>
      </c>
      <c r="J109" s="185"/>
      <c r="K109" s="36"/>
      <c r="L109" s="36"/>
      <c r="M109" s="36"/>
    </row>
    <row r="110" spans="1:13">
      <c r="A110" s="53">
        <f t="shared" si="3"/>
        <v>1</v>
      </c>
      <c r="B110" s="505"/>
      <c r="C110" s="180"/>
      <c r="D110" s="495"/>
      <c r="E110" s="515"/>
      <c r="F110" s="177">
        <f t="shared" si="2"/>
        <v>0</v>
      </c>
      <c r="G110" t="str">
        <f>IF(IFERROR(IF(Str_TypeDonneesCpt3=Cpt_Index,Tab_Compteur_3[[#This Row],[Index]]-E109,Tab_Compteur_3[[#This Row],[Quantité]])/Tab_Compteur_3[[#This Row],[Delta Jour]],"")&lt;0,"",IFERROR(IF(Str_TypeDonneesCpt3=Cpt_Index,Tab_Compteur_3[[#This Row],[Index]]-E109,Tab_Compteur_3[[#This Row],[Quantité]])/Tab_Compteur_3[[#This Row],[Delta Jour]],""))</f>
        <v/>
      </c>
      <c r="H110" s="177" t="str">
        <f>IFERROR(Tab_Compteur_3[[#This Row],[Montant]]/Tab_Compteur_3[[#This Row],[Delta Jour]],"")</f>
        <v/>
      </c>
      <c r="I110" s="188" t="str">
        <f>IF(SUM(Tab_Compteur_3[[#This Row],[Quantité]],Tab_Compteur_3[[#This Row],[Index]])&lt;=0,"",G110)</f>
        <v/>
      </c>
      <c r="J110" s="185"/>
      <c r="K110" s="36"/>
      <c r="L110" s="36"/>
      <c r="M110" s="36"/>
    </row>
    <row r="111" spans="1:13">
      <c r="A111" s="53">
        <f t="shared" si="3"/>
        <v>1</v>
      </c>
      <c r="B111" s="505"/>
      <c r="C111" s="180"/>
      <c r="D111" s="495"/>
      <c r="E111" s="515"/>
      <c r="F111" s="177">
        <f t="shared" si="2"/>
        <v>0</v>
      </c>
      <c r="G111" t="str">
        <f>IF(IFERROR(IF(Str_TypeDonneesCpt3=Cpt_Index,Tab_Compteur_3[[#This Row],[Index]]-E110,Tab_Compteur_3[[#This Row],[Quantité]])/Tab_Compteur_3[[#This Row],[Delta Jour]],"")&lt;0,"",IFERROR(IF(Str_TypeDonneesCpt3=Cpt_Index,Tab_Compteur_3[[#This Row],[Index]]-E110,Tab_Compteur_3[[#This Row],[Quantité]])/Tab_Compteur_3[[#This Row],[Delta Jour]],""))</f>
        <v/>
      </c>
      <c r="H111" s="177" t="str">
        <f>IFERROR(Tab_Compteur_3[[#This Row],[Montant]]/Tab_Compteur_3[[#This Row],[Delta Jour]],"")</f>
        <v/>
      </c>
      <c r="I111" s="188" t="str">
        <f>IF(SUM(Tab_Compteur_3[[#This Row],[Quantité]],Tab_Compteur_3[[#This Row],[Index]])&lt;=0,"",G111)</f>
        <v/>
      </c>
      <c r="J111" s="185"/>
      <c r="K111" s="36"/>
      <c r="L111" s="36"/>
      <c r="M111" s="36"/>
    </row>
    <row r="112" spans="1:13">
      <c r="A112" s="53">
        <f t="shared" si="3"/>
        <v>1</v>
      </c>
      <c r="B112" s="505"/>
      <c r="C112" s="180"/>
      <c r="D112" s="495"/>
      <c r="E112" s="515"/>
      <c r="F112" s="177">
        <f t="shared" si="2"/>
        <v>0</v>
      </c>
      <c r="G112" t="str">
        <f>IF(IFERROR(IF(Str_TypeDonneesCpt3=Cpt_Index,Tab_Compteur_3[[#This Row],[Index]]-E111,Tab_Compteur_3[[#This Row],[Quantité]])/Tab_Compteur_3[[#This Row],[Delta Jour]],"")&lt;0,"",IFERROR(IF(Str_TypeDonneesCpt3=Cpt_Index,Tab_Compteur_3[[#This Row],[Index]]-E111,Tab_Compteur_3[[#This Row],[Quantité]])/Tab_Compteur_3[[#This Row],[Delta Jour]],""))</f>
        <v/>
      </c>
      <c r="H112" s="177" t="str">
        <f>IFERROR(Tab_Compteur_3[[#This Row],[Montant]]/Tab_Compteur_3[[#This Row],[Delta Jour]],"")</f>
        <v/>
      </c>
      <c r="I112" s="188" t="str">
        <f>IF(SUM(Tab_Compteur_3[[#This Row],[Quantité]],Tab_Compteur_3[[#This Row],[Index]])&lt;=0,"",G112)</f>
        <v/>
      </c>
      <c r="J112" s="185"/>
      <c r="K112" s="36"/>
      <c r="L112" s="36"/>
      <c r="M112" s="36"/>
    </row>
    <row r="113" spans="1:13">
      <c r="A113" s="53">
        <f t="shared" si="3"/>
        <v>1</v>
      </c>
      <c r="B113" s="505"/>
      <c r="C113" s="180"/>
      <c r="D113" s="495"/>
      <c r="E113" s="515"/>
      <c r="F113" s="177">
        <f t="shared" si="2"/>
        <v>0</v>
      </c>
      <c r="G113" t="str">
        <f>IF(IFERROR(IF(Str_TypeDonneesCpt3=Cpt_Index,Tab_Compteur_3[[#This Row],[Index]]-E112,Tab_Compteur_3[[#This Row],[Quantité]])/Tab_Compteur_3[[#This Row],[Delta Jour]],"")&lt;0,"",IFERROR(IF(Str_TypeDonneesCpt3=Cpt_Index,Tab_Compteur_3[[#This Row],[Index]]-E112,Tab_Compteur_3[[#This Row],[Quantité]])/Tab_Compteur_3[[#This Row],[Delta Jour]],""))</f>
        <v/>
      </c>
      <c r="H113" s="177" t="str">
        <f>IFERROR(Tab_Compteur_3[[#This Row],[Montant]]/Tab_Compteur_3[[#This Row],[Delta Jour]],"")</f>
        <v/>
      </c>
      <c r="I113" s="188" t="str">
        <f>IF(SUM(Tab_Compteur_3[[#This Row],[Quantité]],Tab_Compteur_3[[#This Row],[Index]])&lt;=0,"",G113)</f>
        <v/>
      </c>
      <c r="J113" s="185"/>
      <c r="K113" s="36"/>
      <c r="L113" s="36"/>
      <c r="M113" s="36"/>
    </row>
    <row r="114" spans="1:13">
      <c r="A114" s="53">
        <f t="shared" si="3"/>
        <v>1</v>
      </c>
      <c r="B114" s="505"/>
      <c r="C114" s="180"/>
      <c r="D114" s="495"/>
      <c r="E114" s="515"/>
      <c r="F114" s="177">
        <f t="shared" si="2"/>
        <v>0</v>
      </c>
      <c r="G114" t="str">
        <f>IF(IFERROR(IF(Str_TypeDonneesCpt3=Cpt_Index,Tab_Compteur_3[[#This Row],[Index]]-E113,Tab_Compteur_3[[#This Row],[Quantité]])/Tab_Compteur_3[[#This Row],[Delta Jour]],"")&lt;0,"",IFERROR(IF(Str_TypeDonneesCpt3=Cpt_Index,Tab_Compteur_3[[#This Row],[Index]]-E113,Tab_Compteur_3[[#This Row],[Quantité]])/Tab_Compteur_3[[#This Row],[Delta Jour]],""))</f>
        <v/>
      </c>
      <c r="H114" s="177" t="str">
        <f>IFERROR(Tab_Compteur_3[[#This Row],[Montant]]/Tab_Compteur_3[[#This Row],[Delta Jour]],"")</f>
        <v/>
      </c>
      <c r="I114" s="188" t="str">
        <f>IF(SUM(Tab_Compteur_3[[#This Row],[Quantité]],Tab_Compteur_3[[#This Row],[Index]])&lt;=0,"",G114)</f>
        <v/>
      </c>
      <c r="J114" s="185"/>
      <c r="K114" s="36"/>
      <c r="L114" s="36"/>
      <c r="M114" s="36"/>
    </row>
    <row r="115" spans="1:13">
      <c r="A115" s="53">
        <f t="shared" si="3"/>
        <v>1</v>
      </c>
      <c r="B115" s="505"/>
      <c r="C115" s="180"/>
      <c r="D115" s="495"/>
      <c r="E115" s="515"/>
      <c r="F115" s="177">
        <f t="shared" si="2"/>
        <v>0</v>
      </c>
      <c r="G115" t="str">
        <f>IF(IFERROR(IF(Str_TypeDonneesCpt3=Cpt_Index,Tab_Compteur_3[[#This Row],[Index]]-E114,Tab_Compteur_3[[#This Row],[Quantité]])/Tab_Compteur_3[[#This Row],[Delta Jour]],"")&lt;0,"",IFERROR(IF(Str_TypeDonneesCpt3=Cpt_Index,Tab_Compteur_3[[#This Row],[Index]]-E114,Tab_Compteur_3[[#This Row],[Quantité]])/Tab_Compteur_3[[#This Row],[Delta Jour]],""))</f>
        <v/>
      </c>
      <c r="H115" s="177" t="str">
        <f>IFERROR(Tab_Compteur_3[[#This Row],[Montant]]/Tab_Compteur_3[[#This Row],[Delta Jour]],"")</f>
        <v/>
      </c>
      <c r="I115" s="188" t="str">
        <f>IF(SUM(Tab_Compteur_3[[#This Row],[Quantité]],Tab_Compteur_3[[#This Row],[Index]])&lt;=0,"",G115)</f>
        <v/>
      </c>
      <c r="J115" s="185"/>
      <c r="K115" s="36"/>
      <c r="L115" s="36"/>
      <c r="M115" s="36"/>
    </row>
    <row r="116" spans="1:13">
      <c r="A116" s="53">
        <f t="shared" si="3"/>
        <v>1</v>
      </c>
      <c r="B116" s="505"/>
      <c r="C116" s="180"/>
      <c r="D116" s="495"/>
      <c r="E116" s="515"/>
      <c r="F116" s="177">
        <f t="shared" si="2"/>
        <v>0</v>
      </c>
      <c r="G116" t="str">
        <f>IF(IFERROR(IF(Str_TypeDonneesCpt3=Cpt_Index,Tab_Compteur_3[[#This Row],[Index]]-E115,Tab_Compteur_3[[#This Row],[Quantité]])/Tab_Compteur_3[[#This Row],[Delta Jour]],"")&lt;0,"",IFERROR(IF(Str_TypeDonneesCpt3=Cpt_Index,Tab_Compteur_3[[#This Row],[Index]]-E115,Tab_Compteur_3[[#This Row],[Quantité]])/Tab_Compteur_3[[#This Row],[Delta Jour]],""))</f>
        <v/>
      </c>
      <c r="H116" s="177" t="str">
        <f>IFERROR(Tab_Compteur_3[[#This Row],[Montant]]/Tab_Compteur_3[[#This Row],[Delta Jour]],"")</f>
        <v/>
      </c>
      <c r="I116" s="188" t="str">
        <f>IF(SUM(Tab_Compteur_3[[#This Row],[Quantité]],Tab_Compteur_3[[#This Row],[Index]])&lt;=0,"",G116)</f>
        <v/>
      </c>
      <c r="J116" s="185"/>
      <c r="K116" s="36"/>
      <c r="L116" s="36"/>
      <c r="M116" s="36"/>
    </row>
    <row r="117" spans="1:13">
      <c r="A117" s="53">
        <f t="shared" si="3"/>
        <v>1</v>
      </c>
      <c r="B117" s="505"/>
      <c r="C117" s="180"/>
      <c r="D117" s="495"/>
      <c r="E117" s="515"/>
      <c r="F117" s="177">
        <f t="shared" si="2"/>
        <v>0</v>
      </c>
      <c r="G117" t="str">
        <f>IF(IFERROR(IF(Str_TypeDonneesCpt3=Cpt_Index,Tab_Compteur_3[[#This Row],[Index]]-E116,Tab_Compteur_3[[#This Row],[Quantité]])/Tab_Compteur_3[[#This Row],[Delta Jour]],"")&lt;0,"",IFERROR(IF(Str_TypeDonneesCpt3=Cpt_Index,Tab_Compteur_3[[#This Row],[Index]]-E116,Tab_Compteur_3[[#This Row],[Quantité]])/Tab_Compteur_3[[#This Row],[Delta Jour]],""))</f>
        <v/>
      </c>
      <c r="H117" s="177" t="str">
        <f>IFERROR(Tab_Compteur_3[[#This Row],[Montant]]/Tab_Compteur_3[[#This Row],[Delta Jour]],"")</f>
        <v/>
      </c>
      <c r="I117" s="188" t="str">
        <f>IF(SUM(Tab_Compteur_3[[#This Row],[Quantité]],Tab_Compteur_3[[#This Row],[Index]])&lt;=0,"",G117)</f>
        <v/>
      </c>
      <c r="J117" s="185"/>
      <c r="K117" s="36"/>
      <c r="L117" s="36"/>
      <c r="M117" s="36"/>
    </row>
    <row r="118" spans="1:13">
      <c r="A118" s="53">
        <f t="shared" si="3"/>
        <v>1</v>
      </c>
      <c r="B118" s="505"/>
      <c r="C118" s="180"/>
      <c r="D118" s="495"/>
      <c r="E118" s="515"/>
      <c r="F118" s="177">
        <f t="shared" si="2"/>
        <v>0</v>
      </c>
      <c r="G118" t="str">
        <f>IF(IFERROR(IF(Str_TypeDonneesCpt3=Cpt_Index,Tab_Compteur_3[[#This Row],[Index]]-E117,Tab_Compteur_3[[#This Row],[Quantité]])/Tab_Compteur_3[[#This Row],[Delta Jour]],"")&lt;0,"",IFERROR(IF(Str_TypeDonneesCpt3=Cpt_Index,Tab_Compteur_3[[#This Row],[Index]]-E117,Tab_Compteur_3[[#This Row],[Quantité]])/Tab_Compteur_3[[#This Row],[Delta Jour]],""))</f>
        <v/>
      </c>
      <c r="H118" s="177" t="str">
        <f>IFERROR(Tab_Compteur_3[[#This Row],[Montant]]/Tab_Compteur_3[[#This Row],[Delta Jour]],"")</f>
        <v/>
      </c>
      <c r="I118" s="188" t="str">
        <f>IF(SUM(Tab_Compteur_3[[#This Row],[Quantité]],Tab_Compteur_3[[#This Row],[Index]])&lt;=0,"",G118)</f>
        <v/>
      </c>
      <c r="J118" s="185"/>
      <c r="K118" s="36"/>
      <c r="L118" s="36"/>
      <c r="M118" s="36"/>
    </row>
    <row r="119" spans="1:13">
      <c r="A119" s="53">
        <f t="shared" si="3"/>
        <v>1</v>
      </c>
      <c r="B119" s="505"/>
      <c r="C119" s="180"/>
      <c r="D119" s="495"/>
      <c r="E119" s="515"/>
      <c r="F119" s="177">
        <f t="shared" si="2"/>
        <v>0</v>
      </c>
      <c r="G119" t="str">
        <f>IF(IFERROR(IF(Str_TypeDonneesCpt3=Cpt_Index,Tab_Compteur_3[[#This Row],[Index]]-E118,Tab_Compteur_3[[#This Row],[Quantité]])/Tab_Compteur_3[[#This Row],[Delta Jour]],"")&lt;0,"",IFERROR(IF(Str_TypeDonneesCpt3=Cpt_Index,Tab_Compteur_3[[#This Row],[Index]]-E118,Tab_Compteur_3[[#This Row],[Quantité]])/Tab_Compteur_3[[#This Row],[Delta Jour]],""))</f>
        <v/>
      </c>
      <c r="H119" s="177" t="str">
        <f>IFERROR(Tab_Compteur_3[[#This Row],[Montant]]/Tab_Compteur_3[[#This Row],[Delta Jour]],"")</f>
        <v/>
      </c>
      <c r="I119" s="188" t="str">
        <f>IF(SUM(Tab_Compteur_3[[#This Row],[Quantité]],Tab_Compteur_3[[#This Row],[Index]])&lt;=0,"",G119)</f>
        <v/>
      </c>
      <c r="J119" s="185"/>
      <c r="K119" s="36"/>
      <c r="L119" s="36"/>
      <c r="M119" s="36"/>
    </row>
    <row r="120" spans="1:13">
      <c r="A120" s="53">
        <f t="shared" si="3"/>
        <v>1</v>
      </c>
      <c r="B120" s="505"/>
      <c r="C120" s="180"/>
      <c r="D120" s="495"/>
      <c r="E120" s="515"/>
      <c r="F120" s="177">
        <f t="shared" si="2"/>
        <v>0</v>
      </c>
      <c r="G120" t="str">
        <f>IF(IFERROR(IF(Str_TypeDonneesCpt3=Cpt_Index,Tab_Compteur_3[[#This Row],[Index]]-E119,Tab_Compteur_3[[#This Row],[Quantité]])/Tab_Compteur_3[[#This Row],[Delta Jour]],"")&lt;0,"",IFERROR(IF(Str_TypeDonneesCpt3=Cpt_Index,Tab_Compteur_3[[#This Row],[Index]]-E119,Tab_Compteur_3[[#This Row],[Quantité]])/Tab_Compteur_3[[#This Row],[Delta Jour]],""))</f>
        <v/>
      </c>
      <c r="H120" s="177" t="str">
        <f>IFERROR(Tab_Compteur_3[[#This Row],[Montant]]/Tab_Compteur_3[[#This Row],[Delta Jour]],"")</f>
        <v/>
      </c>
      <c r="I120" s="188" t="str">
        <f>IF(SUM(Tab_Compteur_3[[#This Row],[Quantité]],Tab_Compteur_3[[#This Row],[Index]])&lt;=0,"",G120)</f>
        <v/>
      </c>
      <c r="J120" s="185"/>
      <c r="K120" s="36"/>
      <c r="L120" s="36"/>
      <c r="M120" s="36"/>
    </row>
    <row r="121" spans="1:13">
      <c r="A121" s="53">
        <f t="shared" si="3"/>
        <v>1</v>
      </c>
      <c r="B121" s="505"/>
      <c r="C121" s="180"/>
      <c r="D121" s="495"/>
      <c r="E121" s="515"/>
      <c r="F121" s="177">
        <f t="shared" si="2"/>
        <v>0</v>
      </c>
      <c r="G121" t="str">
        <f>IF(IFERROR(IF(Str_TypeDonneesCpt3=Cpt_Index,Tab_Compteur_3[[#This Row],[Index]]-E120,Tab_Compteur_3[[#This Row],[Quantité]])/Tab_Compteur_3[[#This Row],[Delta Jour]],"")&lt;0,"",IFERROR(IF(Str_TypeDonneesCpt3=Cpt_Index,Tab_Compteur_3[[#This Row],[Index]]-E120,Tab_Compteur_3[[#This Row],[Quantité]])/Tab_Compteur_3[[#This Row],[Delta Jour]],""))</f>
        <v/>
      </c>
      <c r="H121" s="177" t="str">
        <f>IFERROR(Tab_Compteur_3[[#This Row],[Montant]]/Tab_Compteur_3[[#This Row],[Delta Jour]],"")</f>
        <v/>
      </c>
      <c r="I121" s="188" t="str">
        <f>IF(SUM(Tab_Compteur_3[[#This Row],[Quantité]],Tab_Compteur_3[[#This Row],[Index]])&lt;=0,"",G121)</f>
        <v/>
      </c>
      <c r="J121" s="185"/>
      <c r="K121" s="36"/>
      <c r="L121" s="36"/>
      <c r="M121" s="36"/>
    </row>
    <row r="122" spans="1:13">
      <c r="A122" s="53">
        <f t="shared" si="3"/>
        <v>1</v>
      </c>
      <c r="B122" s="505"/>
      <c r="C122" s="180"/>
      <c r="D122" s="495"/>
      <c r="E122" s="515"/>
      <c r="F122" s="177">
        <f t="shared" si="2"/>
        <v>0</v>
      </c>
      <c r="G122" t="str">
        <f>IF(IFERROR(IF(Str_TypeDonneesCpt3=Cpt_Index,Tab_Compteur_3[[#This Row],[Index]]-E121,Tab_Compteur_3[[#This Row],[Quantité]])/Tab_Compteur_3[[#This Row],[Delta Jour]],"")&lt;0,"",IFERROR(IF(Str_TypeDonneesCpt3=Cpt_Index,Tab_Compteur_3[[#This Row],[Index]]-E121,Tab_Compteur_3[[#This Row],[Quantité]])/Tab_Compteur_3[[#This Row],[Delta Jour]],""))</f>
        <v/>
      </c>
      <c r="H122" s="177" t="str">
        <f>IFERROR(Tab_Compteur_3[[#This Row],[Montant]]/Tab_Compteur_3[[#This Row],[Delta Jour]],"")</f>
        <v/>
      </c>
      <c r="I122" s="188" t="str">
        <f>IF(SUM(Tab_Compteur_3[[#This Row],[Quantité]],Tab_Compteur_3[[#This Row],[Index]])&lt;=0,"",G122)</f>
        <v/>
      </c>
      <c r="J122" s="185"/>
      <c r="K122" s="36"/>
      <c r="L122" s="36"/>
      <c r="M122" s="36"/>
    </row>
    <row r="123" spans="1:13">
      <c r="A123" s="53">
        <f t="shared" si="3"/>
        <v>1</v>
      </c>
      <c r="B123" s="505"/>
      <c r="C123" s="180"/>
      <c r="D123" s="495"/>
      <c r="E123" s="515"/>
      <c r="F123" s="177">
        <f t="shared" si="2"/>
        <v>0</v>
      </c>
      <c r="G123" t="str">
        <f>IF(IFERROR(IF(Str_TypeDonneesCpt3=Cpt_Index,Tab_Compteur_3[[#This Row],[Index]]-E122,Tab_Compteur_3[[#This Row],[Quantité]])/Tab_Compteur_3[[#This Row],[Delta Jour]],"")&lt;0,"",IFERROR(IF(Str_TypeDonneesCpt3=Cpt_Index,Tab_Compteur_3[[#This Row],[Index]]-E122,Tab_Compteur_3[[#This Row],[Quantité]])/Tab_Compteur_3[[#This Row],[Delta Jour]],""))</f>
        <v/>
      </c>
      <c r="H123" s="177" t="str">
        <f>IFERROR(Tab_Compteur_3[[#This Row],[Montant]]/Tab_Compteur_3[[#This Row],[Delta Jour]],"")</f>
        <v/>
      </c>
      <c r="I123" s="188" t="str">
        <f>IF(SUM(Tab_Compteur_3[[#This Row],[Quantité]],Tab_Compteur_3[[#This Row],[Index]])&lt;=0,"",G123)</f>
        <v/>
      </c>
      <c r="J123" s="185"/>
      <c r="K123" s="36"/>
      <c r="L123" s="36"/>
      <c r="M123" s="36"/>
    </row>
    <row r="124" spans="1:13">
      <c r="A124" s="53">
        <f t="shared" si="3"/>
        <v>1</v>
      </c>
      <c r="B124" s="505"/>
      <c r="C124" s="180"/>
      <c r="D124" s="495"/>
      <c r="E124" s="515"/>
      <c r="F124" s="177">
        <f t="shared" si="2"/>
        <v>0</v>
      </c>
      <c r="G124" t="str">
        <f>IF(IFERROR(IF(Str_TypeDonneesCpt3=Cpt_Index,Tab_Compteur_3[[#This Row],[Index]]-E123,Tab_Compteur_3[[#This Row],[Quantité]])/Tab_Compteur_3[[#This Row],[Delta Jour]],"")&lt;0,"",IFERROR(IF(Str_TypeDonneesCpt3=Cpt_Index,Tab_Compteur_3[[#This Row],[Index]]-E123,Tab_Compteur_3[[#This Row],[Quantité]])/Tab_Compteur_3[[#This Row],[Delta Jour]],""))</f>
        <v/>
      </c>
      <c r="H124" s="177" t="str">
        <f>IFERROR(Tab_Compteur_3[[#This Row],[Montant]]/Tab_Compteur_3[[#This Row],[Delta Jour]],"")</f>
        <v/>
      </c>
      <c r="I124" s="188" t="str">
        <f>IF(SUM(Tab_Compteur_3[[#This Row],[Quantité]],Tab_Compteur_3[[#This Row],[Index]])&lt;=0,"",G124)</f>
        <v/>
      </c>
      <c r="J124" s="185"/>
      <c r="K124" s="36"/>
      <c r="L124" s="36"/>
      <c r="M124" s="36"/>
    </row>
    <row r="125" spans="1:13">
      <c r="A125" s="53">
        <f t="shared" si="3"/>
        <v>1</v>
      </c>
      <c r="B125" s="505"/>
      <c r="C125" s="180"/>
      <c r="D125" s="495"/>
      <c r="E125" s="515"/>
      <c r="F125" s="177">
        <f t="shared" si="2"/>
        <v>0</v>
      </c>
      <c r="G125" t="str">
        <f>IF(IFERROR(IF(Str_TypeDonneesCpt3=Cpt_Index,Tab_Compteur_3[[#This Row],[Index]]-E124,Tab_Compteur_3[[#This Row],[Quantité]])/Tab_Compteur_3[[#This Row],[Delta Jour]],"")&lt;0,"",IFERROR(IF(Str_TypeDonneesCpt3=Cpt_Index,Tab_Compteur_3[[#This Row],[Index]]-E124,Tab_Compteur_3[[#This Row],[Quantité]])/Tab_Compteur_3[[#This Row],[Delta Jour]],""))</f>
        <v/>
      </c>
      <c r="H125" s="177" t="str">
        <f>IFERROR(Tab_Compteur_3[[#This Row],[Montant]]/Tab_Compteur_3[[#This Row],[Delta Jour]],"")</f>
        <v/>
      </c>
      <c r="I125" s="188" t="str">
        <f>IF(SUM(Tab_Compteur_3[[#This Row],[Quantité]],Tab_Compteur_3[[#This Row],[Index]])&lt;=0,"",G125)</f>
        <v/>
      </c>
      <c r="J125" s="185"/>
      <c r="K125" s="36"/>
      <c r="L125" s="36"/>
      <c r="M125" s="36"/>
    </row>
    <row r="126" spans="1:13">
      <c r="A126" s="53">
        <f t="shared" si="3"/>
        <v>1</v>
      </c>
      <c r="B126" s="505"/>
      <c r="C126" s="180"/>
      <c r="D126" s="495"/>
      <c r="E126" s="515"/>
      <c r="F126" s="177">
        <f t="shared" si="2"/>
        <v>0</v>
      </c>
      <c r="G126" t="str">
        <f>IF(IFERROR(IF(Str_TypeDonneesCpt3=Cpt_Index,Tab_Compteur_3[[#This Row],[Index]]-E125,Tab_Compteur_3[[#This Row],[Quantité]])/Tab_Compteur_3[[#This Row],[Delta Jour]],"")&lt;0,"",IFERROR(IF(Str_TypeDonneesCpt3=Cpt_Index,Tab_Compteur_3[[#This Row],[Index]]-E125,Tab_Compteur_3[[#This Row],[Quantité]])/Tab_Compteur_3[[#This Row],[Delta Jour]],""))</f>
        <v/>
      </c>
      <c r="H126" s="177" t="str">
        <f>IFERROR(Tab_Compteur_3[[#This Row],[Montant]]/Tab_Compteur_3[[#This Row],[Delta Jour]],"")</f>
        <v/>
      </c>
      <c r="I126" s="188" t="str">
        <f>IF(SUM(Tab_Compteur_3[[#This Row],[Quantité]],Tab_Compteur_3[[#This Row],[Index]])&lt;=0,"",G126)</f>
        <v/>
      </c>
      <c r="J126" s="185"/>
      <c r="K126" s="36"/>
      <c r="L126" s="36"/>
      <c r="M126" s="36"/>
    </row>
    <row r="127" spans="1:13">
      <c r="A127" s="53">
        <f t="shared" si="3"/>
        <v>1</v>
      </c>
      <c r="B127" s="505"/>
      <c r="C127" s="180"/>
      <c r="D127" s="495"/>
      <c r="E127" s="515"/>
      <c r="F127" s="177">
        <f t="shared" si="2"/>
        <v>0</v>
      </c>
      <c r="G127" t="str">
        <f>IF(IFERROR(IF(Str_TypeDonneesCpt3=Cpt_Index,Tab_Compteur_3[[#This Row],[Index]]-E126,Tab_Compteur_3[[#This Row],[Quantité]])/Tab_Compteur_3[[#This Row],[Delta Jour]],"")&lt;0,"",IFERROR(IF(Str_TypeDonneesCpt3=Cpt_Index,Tab_Compteur_3[[#This Row],[Index]]-E126,Tab_Compteur_3[[#This Row],[Quantité]])/Tab_Compteur_3[[#This Row],[Delta Jour]],""))</f>
        <v/>
      </c>
      <c r="H127" s="177" t="str">
        <f>IFERROR(Tab_Compteur_3[[#This Row],[Montant]]/Tab_Compteur_3[[#This Row],[Delta Jour]],"")</f>
        <v/>
      </c>
      <c r="I127" s="188" t="str">
        <f>IF(SUM(Tab_Compteur_3[[#This Row],[Quantité]],Tab_Compteur_3[[#This Row],[Index]])&lt;=0,"",G127)</f>
        <v/>
      </c>
      <c r="J127" s="185"/>
      <c r="K127" s="36"/>
      <c r="L127" s="36"/>
      <c r="M127" s="36"/>
    </row>
    <row r="128" spans="1:13">
      <c r="A128" s="53">
        <f t="shared" si="3"/>
        <v>1</v>
      </c>
      <c r="B128" s="505"/>
      <c r="C128" s="180"/>
      <c r="D128" s="495"/>
      <c r="E128" s="515"/>
      <c r="F128" s="177">
        <f t="shared" si="2"/>
        <v>0</v>
      </c>
      <c r="G128" t="str">
        <f>IF(IFERROR(IF(Str_TypeDonneesCpt3=Cpt_Index,Tab_Compteur_3[[#This Row],[Index]]-E127,Tab_Compteur_3[[#This Row],[Quantité]])/Tab_Compteur_3[[#This Row],[Delta Jour]],"")&lt;0,"",IFERROR(IF(Str_TypeDonneesCpt3=Cpt_Index,Tab_Compteur_3[[#This Row],[Index]]-E127,Tab_Compteur_3[[#This Row],[Quantité]])/Tab_Compteur_3[[#This Row],[Delta Jour]],""))</f>
        <v/>
      </c>
      <c r="H128" s="177" t="str">
        <f>IFERROR(Tab_Compteur_3[[#This Row],[Montant]]/Tab_Compteur_3[[#This Row],[Delta Jour]],"")</f>
        <v/>
      </c>
      <c r="I128" s="188" t="str">
        <f>IF(SUM(Tab_Compteur_3[[#This Row],[Quantité]],Tab_Compteur_3[[#This Row],[Index]])&lt;=0,"",G128)</f>
        <v/>
      </c>
      <c r="J128" s="185"/>
      <c r="K128" s="36"/>
      <c r="L128" s="36"/>
      <c r="M128" s="36"/>
    </row>
    <row r="129" spans="1:13">
      <c r="A129" s="53">
        <f t="shared" si="3"/>
        <v>1</v>
      </c>
      <c r="B129" s="505"/>
      <c r="C129" s="180"/>
      <c r="D129" s="495"/>
      <c r="E129" s="515"/>
      <c r="F129" s="177">
        <f t="shared" si="2"/>
        <v>0</v>
      </c>
      <c r="G129" t="str">
        <f>IF(IFERROR(IF(Str_TypeDonneesCpt3=Cpt_Index,Tab_Compteur_3[[#This Row],[Index]]-E128,Tab_Compteur_3[[#This Row],[Quantité]])/Tab_Compteur_3[[#This Row],[Delta Jour]],"")&lt;0,"",IFERROR(IF(Str_TypeDonneesCpt3=Cpt_Index,Tab_Compteur_3[[#This Row],[Index]]-E128,Tab_Compteur_3[[#This Row],[Quantité]])/Tab_Compteur_3[[#This Row],[Delta Jour]],""))</f>
        <v/>
      </c>
      <c r="H129" s="177" t="str">
        <f>IFERROR(Tab_Compteur_3[[#This Row],[Montant]]/Tab_Compteur_3[[#This Row],[Delta Jour]],"")</f>
        <v/>
      </c>
      <c r="I129" s="188" t="str">
        <f>IF(SUM(Tab_Compteur_3[[#This Row],[Quantité]],Tab_Compteur_3[[#This Row],[Index]])&lt;=0,"",G129)</f>
        <v/>
      </c>
      <c r="J129" s="185"/>
      <c r="K129" s="36"/>
      <c r="L129" s="36"/>
      <c r="M129" s="36"/>
    </row>
    <row r="130" spans="1:13">
      <c r="A130" s="53">
        <f t="shared" si="3"/>
        <v>1</v>
      </c>
      <c r="B130" s="505"/>
      <c r="C130" s="180"/>
      <c r="D130" s="495"/>
      <c r="E130" s="515"/>
      <c r="F130" s="177">
        <f t="shared" si="2"/>
        <v>0</v>
      </c>
      <c r="G130" t="str">
        <f>IF(IFERROR(IF(Str_TypeDonneesCpt3=Cpt_Index,Tab_Compteur_3[[#This Row],[Index]]-E129,Tab_Compteur_3[[#This Row],[Quantité]])/Tab_Compteur_3[[#This Row],[Delta Jour]],"")&lt;0,"",IFERROR(IF(Str_TypeDonneesCpt3=Cpt_Index,Tab_Compteur_3[[#This Row],[Index]]-E129,Tab_Compteur_3[[#This Row],[Quantité]])/Tab_Compteur_3[[#This Row],[Delta Jour]],""))</f>
        <v/>
      </c>
      <c r="H130" s="177" t="str">
        <f>IFERROR(Tab_Compteur_3[[#This Row],[Montant]]/Tab_Compteur_3[[#This Row],[Delta Jour]],"")</f>
        <v/>
      </c>
      <c r="I130" s="188" t="str">
        <f>IF(SUM(Tab_Compteur_3[[#This Row],[Quantité]],Tab_Compteur_3[[#This Row],[Index]])&lt;=0,"",G130)</f>
        <v/>
      </c>
      <c r="J130" s="185"/>
      <c r="K130" s="36"/>
      <c r="L130" s="36"/>
      <c r="M130" s="36"/>
    </row>
    <row r="131" spans="1:13">
      <c r="A131" s="53">
        <f t="shared" si="3"/>
        <v>1</v>
      </c>
      <c r="B131" s="505"/>
      <c r="C131" s="180"/>
      <c r="D131" s="495"/>
      <c r="E131" s="515"/>
      <c r="F131" s="177">
        <f t="shared" ref="F131:F194" si="4">IFERROR(B131-A131+1,"")</f>
        <v>0</v>
      </c>
      <c r="G131" t="str">
        <f>IF(IFERROR(IF(Str_TypeDonneesCpt3=Cpt_Index,Tab_Compteur_3[[#This Row],[Index]]-E130,Tab_Compteur_3[[#This Row],[Quantité]])/Tab_Compteur_3[[#This Row],[Delta Jour]],"")&lt;0,"",IFERROR(IF(Str_TypeDonneesCpt3=Cpt_Index,Tab_Compteur_3[[#This Row],[Index]]-E130,Tab_Compteur_3[[#This Row],[Quantité]])/Tab_Compteur_3[[#This Row],[Delta Jour]],""))</f>
        <v/>
      </c>
      <c r="H131" s="177" t="str">
        <f>IFERROR(Tab_Compteur_3[[#This Row],[Montant]]/Tab_Compteur_3[[#This Row],[Delta Jour]],"")</f>
        <v/>
      </c>
      <c r="I131" s="188" t="str">
        <f>IF(SUM(Tab_Compteur_3[[#This Row],[Quantité]],Tab_Compteur_3[[#This Row],[Index]])&lt;=0,"",G131)</f>
        <v/>
      </c>
      <c r="J131" s="185"/>
      <c r="K131" s="36"/>
      <c r="L131" s="36"/>
      <c r="M131" s="36"/>
    </row>
    <row r="132" spans="1:13">
      <c r="A132" s="53">
        <f t="shared" si="3"/>
        <v>1</v>
      </c>
      <c r="B132" s="505"/>
      <c r="C132" s="180"/>
      <c r="D132" s="495"/>
      <c r="E132" s="515"/>
      <c r="F132" s="177">
        <f t="shared" si="4"/>
        <v>0</v>
      </c>
      <c r="G132" t="str">
        <f>IF(IFERROR(IF(Str_TypeDonneesCpt3=Cpt_Index,Tab_Compteur_3[[#This Row],[Index]]-E131,Tab_Compteur_3[[#This Row],[Quantité]])/Tab_Compteur_3[[#This Row],[Delta Jour]],"")&lt;0,"",IFERROR(IF(Str_TypeDonneesCpt3=Cpt_Index,Tab_Compteur_3[[#This Row],[Index]]-E131,Tab_Compteur_3[[#This Row],[Quantité]])/Tab_Compteur_3[[#This Row],[Delta Jour]],""))</f>
        <v/>
      </c>
      <c r="H132" s="177" t="str">
        <f>IFERROR(Tab_Compteur_3[[#This Row],[Montant]]/Tab_Compteur_3[[#This Row],[Delta Jour]],"")</f>
        <v/>
      </c>
      <c r="I132" s="188" t="str">
        <f>IF(SUM(Tab_Compteur_3[[#This Row],[Quantité]],Tab_Compteur_3[[#This Row],[Index]])&lt;=0,"",G132)</f>
        <v/>
      </c>
      <c r="J132" s="185"/>
      <c r="K132" s="36"/>
      <c r="L132" s="36"/>
      <c r="M132" s="36"/>
    </row>
    <row r="133" spans="1:13">
      <c r="A133" s="53">
        <f t="shared" si="3"/>
        <v>1</v>
      </c>
      <c r="B133" s="505"/>
      <c r="C133" s="180"/>
      <c r="D133" s="495"/>
      <c r="E133" s="515"/>
      <c r="F133" s="177">
        <f t="shared" si="4"/>
        <v>0</v>
      </c>
      <c r="G133" t="str">
        <f>IF(IFERROR(IF(Str_TypeDonneesCpt3=Cpt_Index,Tab_Compteur_3[[#This Row],[Index]]-E132,Tab_Compteur_3[[#This Row],[Quantité]])/Tab_Compteur_3[[#This Row],[Delta Jour]],"")&lt;0,"",IFERROR(IF(Str_TypeDonneesCpt3=Cpt_Index,Tab_Compteur_3[[#This Row],[Index]]-E132,Tab_Compteur_3[[#This Row],[Quantité]])/Tab_Compteur_3[[#This Row],[Delta Jour]],""))</f>
        <v/>
      </c>
      <c r="H133" s="177" t="str">
        <f>IFERROR(Tab_Compteur_3[[#This Row],[Montant]]/Tab_Compteur_3[[#This Row],[Delta Jour]],"")</f>
        <v/>
      </c>
      <c r="I133" s="188" t="str">
        <f>IF(SUM(Tab_Compteur_3[[#This Row],[Quantité]],Tab_Compteur_3[[#This Row],[Index]])&lt;=0,"",G133)</f>
        <v/>
      </c>
      <c r="J133" s="185"/>
      <c r="K133" s="36"/>
      <c r="L133" s="36"/>
      <c r="M133" s="36"/>
    </row>
    <row r="134" spans="1:13">
      <c r="A134" s="53">
        <f t="shared" ref="A134:A197" si="5">IFERROR(B133+1,0)</f>
        <v>1</v>
      </c>
      <c r="B134" s="505"/>
      <c r="C134" s="180"/>
      <c r="D134" s="495"/>
      <c r="E134" s="515"/>
      <c r="F134" s="177">
        <f t="shared" si="4"/>
        <v>0</v>
      </c>
      <c r="G134" t="str">
        <f>IF(IFERROR(IF(Str_TypeDonneesCpt3=Cpt_Index,Tab_Compteur_3[[#This Row],[Index]]-E133,Tab_Compteur_3[[#This Row],[Quantité]])/Tab_Compteur_3[[#This Row],[Delta Jour]],"")&lt;0,"",IFERROR(IF(Str_TypeDonneesCpt3=Cpt_Index,Tab_Compteur_3[[#This Row],[Index]]-E133,Tab_Compteur_3[[#This Row],[Quantité]])/Tab_Compteur_3[[#This Row],[Delta Jour]],""))</f>
        <v/>
      </c>
      <c r="H134" s="177" t="str">
        <f>IFERROR(Tab_Compteur_3[[#This Row],[Montant]]/Tab_Compteur_3[[#This Row],[Delta Jour]],"")</f>
        <v/>
      </c>
      <c r="I134" s="188" t="str">
        <f>IF(SUM(Tab_Compteur_3[[#This Row],[Quantité]],Tab_Compteur_3[[#This Row],[Index]])&lt;=0,"",G134)</f>
        <v/>
      </c>
      <c r="J134" s="185"/>
      <c r="K134" s="36"/>
      <c r="L134" s="36"/>
      <c r="M134" s="36"/>
    </row>
    <row r="135" spans="1:13">
      <c r="A135" s="53">
        <f t="shared" si="5"/>
        <v>1</v>
      </c>
      <c r="B135" s="505"/>
      <c r="C135" s="180"/>
      <c r="D135" s="495"/>
      <c r="E135" s="515"/>
      <c r="F135" s="177">
        <f t="shared" si="4"/>
        <v>0</v>
      </c>
      <c r="G135" t="str">
        <f>IF(IFERROR(IF(Str_TypeDonneesCpt3=Cpt_Index,Tab_Compteur_3[[#This Row],[Index]]-E134,Tab_Compteur_3[[#This Row],[Quantité]])/Tab_Compteur_3[[#This Row],[Delta Jour]],"")&lt;0,"",IFERROR(IF(Str_TypeDonneesCpt3=Cpt_Index,Tab_Compteur_3[[#This Row],[Index]]-E134,Tab_Compteur_3[[#This Row],[Quantité]])/Tab_Compteur_3[[#This Row],[Delta Jour]],""))</f>
        <v/>
      </c>
      <c r="H135" s="177" t="str">
        <f>IFERROR(Tab_Compteur_3[[#This Row],[Montant]]/Tab_Compteur_3[[#This Row],[Delta Jour]],"")</f>
        <v/>
      </c>
      <c r="I135" s="188" t="str">
        <f>IF(SUM(Tab_Compteur_3[[#This Row],[Quantité]],Tab_Compteur_3[[#This Row],[Index]])&lt;=0,"",G135)</f>
        <v/>
      </c>
      <c r="J135" s="185"/>
      <c r="K135" s="36"/>
      <c r="L135" s="36"/>
      <c r="M135" s="36"/>
    </row>
    <row r="136" spans="1:13">
      <c r="A136" s="53">
        <f t="shared" si="5"/>
        <v>1</v>
      </c>
      <c r="B136" s="505"/>
      <c r="C136" s="180"/>
      <c r="D136" s="495"/>
      <c r="E136" s="515"/>
      <c r="F136" s="177">
        <f t="shared" si="4"/>
        <v>0</v>
      </c>
      <c r="G136" t="str">
        <f>IF(IFERROR(IF(Str_TypeDonneesCpt3=Cpt_Index,Tab_Compteur_3[[#This Row],[Index]]-E135,Tab_Compteur_3[[#This Row],[Quantité]])/Tab_Compteur_3[[#This Row],[Delta Jour]],"")&lt;0,"",IFERROR(IF(Str_TypeDonneesCpt3=Cpt_Index,Tab_Compteur_3[[#This Row],[Index]]-E135,Tab_Compteur_3[[#This Row],[Quantité]])/Tab_Compteur_3[[#This Row],[Delta Jour]],""))</f>
        <v/>
      </c>
      <c r="H136" s="177" t="str">
        <f>IFERROR(Tab_Compteur_3[[#This Row],[Montant]]/Tab_Compteur_3[[#This Row],[Delta Jour]],"")</f>
        <v/>
      </c>
      <c r="I136" s="188" t="str">
        <f>IF(SUM(Tab_Compteur_3[[#This Row],[Quantité]],Tab_Compteur_3[[#This Row],[Index]])&lt;=0,"",G136)</f>
        <v/>
      </c>
      <c r="J136" s="185"/>
      <c r="K136" s="36"/>
      <c r="L136" s="36"/>
      <c r="M136" s="36"/>
    </row>
    <row r="137" spans="1:13">
      <c r="A137" s="53">
        <f t="shared" si="5"/>
        <v>1</v>
      </c>
      <c r="B137" s="505"/>
      <c r="C137" s="180"/>
      <c r="D137" s="495"/>
      <c r="E137" s="515"/>
      <c r="F137" s="177">
        <f t="shared" si="4"/>
        <v>0</v>
      </c>
      <c r="G137" t="str">
        <f>IF(IFERROR(IF(Str_TypeDonneesCpt3=Cpt_Index,Tab_Compteur_3[[#This Row],[Index]]-E136,Tab_Compteur_3[[#This Row],[Quantité]])/Tab_Compteur_3[[#This Row],[Delta Jour]],"")&lt;0,"",IFERROR(IF(Str_TypeDonneesCpt3=Cpt_Index,Tab_Compteur_3[[#This Row],[Index]]-E136,Tab_Compteur_3[[#This Row],[Quantité]])/Tab_Compteur_3[[#This Row],[Delta Jour]],""))</f>
        <v/>
      </c>
      <c r="H137" s="177" t="str">
        <f>IFERROR(Tab_Compteur_3[[#This Row],[Montant]]/Tab_Compteur_3[[#This Row],[Delta Jour]],"")</f>
        <v/>
      </c>
      <c r="I137" s="188" t="str">
        <f>IF(SUM(Tab_Compteur_3[[#This Row],[Quantité]],Tab_Compteur_3[[#This Row],[Index]])&lt;=0,"",G137)</f>
        <v/>
      </c>
      <c r="J137" s="185"/>
      <c r="K137" s="36"/>
      <c r="L137" s="36"/>
      <c r="M137" s="36"/>
    </row>
    <row r="138" spans="1:13">
      <c r="A138" s="53">
        <f t="shared" si="5"/>
        <v>1</v>
      </c>
      <c r="B138" s="505"/>
      <c r="C138" s="180"/>
      <c r="D138" s="495"/>
      <c r="E138" s="515"/>
      <c r="F138" s="177">
        <f t="shared" si="4"/>
        <v>0</v>
      </c>
      <c r="G138" t="str">
        <f>IF(IFERROR(IF(Str_TypeDonneesCpt3=Cpt_Index,Tab_Compteur_3[[#This Row],[Index]]-E137,Tab_Compteur_3[[#This Row],[Quantité]])/Tab_Compteur_3[[#This Row],[Delta Jour]],"")&lt;0,"",IFERROR(IF(Str_TypeDonneesCpt3=Cpt_Index,Tab_Compteur_3[[#This Row],[Index]]-E137,Tab_Compteur_3[[#This Row],[Quantité]])/Tab_Compteur_3[[#This Row],[Delta Jour]],""))</f>
        <v/>
      </c>
      <c r="H138" s="177" t="str">
        <f>IFERROR(Tab_Compteur_3[[#This Row],[Montant]]/Tab_Compteur_3[[#This Row],[Delta Jour]],"")</f>
        <v/>
      </c>
      <c r="I138" s="188" t="str">
        <f>IF(SUM(Tab_Compteur_3[[#This Row],[Quantité]],Tab_Compteur_3[[#This Row],[Index]])&lt;=0,"",G138)</f>
        <v/>
      </c>
      <c r="J138" s="185"/>
      <c r="K138" s="36"/>
      <c r="L138" s="36"/>
      <c r="M138" s="36"/>
    </row>
    <row r="139" spans="1:13">
      <c r="A139" s="53">
        <f t="shared" si="5"/>
        <v>1</v>
      </c>
      <c r="B139" s="505"/>
      <c r="C139" s="180"/>
      <c r="D139" s="495"/>
      <c r="E139" s="515"/>
      <c r="F139" s="177">
        <f t="shared" si="4"/>
        <v>0</v>
      </c>
      <c r="G139" t="str">
        <f>IF(IFERROR(IF(Str_TypeDonneesCpt3=Cpt_Index,Tab_Compteur_3[[#This Row],[Index]]-E138,Tab_Compteur_3[[#This Row],[Quantité]])/Tab_Compteur_3[[#This Row],[Delta Jour]],"")&lt;0,"",IFERROR(IF(Str_TypeDonneesCpt3=Cpt_Index,Tab_Compteur_3[[#This Row],[Index]]-E138,Tab_Compteur_3[[#This Row],[Quantité]])/Tab_Compteur_3[[#This Row],[Delta Jour]],""))</f>
        <v/>
      </c>
      <c r="H139" s="177" t="str">
        <f>IFERROR(Tab_Compteur_3[[#This Row],[Montant]]/Tab_Compteur_3[[#This Row],[Delta Jour]],"")</f>
        <v/>
      </c>
      <c r="I139" s="188" t="str">
        <f>IF(SUM(Tab_Compteur_3[[#This Row],[Quantité]],Tab_Compteur_3[[#This Row],[Index]])&lt;=0,"",G139)</f>
        <v/>
      </c>
      <c r="J139" s="185"/>
      <c r="K139" s="36"/>
      <c r="L139" s="36"/>
      <c r="M139" s="36"/>
    </row>
    <row r="140" spans="1:13">
      <c r="A140" s="53">
        <f t="shared" si="5"/>
        <v>1</v>
      </c>
      <c r="B140" s="505"/>
      <c r="C140" s="180"/>
      <c r="D140" s="495"/>
      <c r="E140" s="515"/>
      <c r="F140" s="177">
        <f t="shared" si="4"/>
        <v>0</v>
      </c>
      <c r="G140" t="str">
        <f>IF(IFERROR(IF(Str_TypeDonneesCpt3=Cpt_Index,Tab_Compteur_3[[#This Row],[Index]]-E139,Tab_Compteur_3[[#This Row],[Quantité]])/Tab_Compteur_3[[#This Row],[Delta Jour]],"")&lt;0,"",IFERROR(IF(Str_TypeDonneesCpt3=Cpt_Index,Tab_Compteur_3[[#This Row],[Index]]-E139,Tab_Compteur_3[[#This Row],[Quantité]])/Tab_Compteur_3[[#This Row],[Delta Jour]],""))</f>
        <v/>
      </c>
      <c r="H140" s="177" t="str">
        <f>IFERROR(Tab_Compteur_3[[#This Row],[Montant]]/Tab_Compteur_3[[#This Row],[Delta Jour]],"")</f>
        <v/>
      </c>
      <c r="I140" s="188" t="str">
        <f>IF(SUM(Tab_Compteur_3[[#This Row],[Quantité]],Tab_Compteur_3[[#This Row],[Index]])&lt;=0,"",G140)</f>
        <v/>
      </c>
      <c r="J140" s="185"/>
      <c r="K140" s="36"/>
      <c r="L140" s="36"/>
      <c r="M140" s="36"/>
    </row>
    <row r="141" spans="1:13">
      <c r="A141" s="53">
        <f t="shared" si="5"/>
        <v>1</v>
      </c>
      <c r="B141" s="505"/>
      <c r="C141" s="180"/>
      <c r="D141" s="495"/>
      <c r="E141" s="515"/>
      <c r="F141" s="177">
        <f t="shared" si="4"/>
        <v>0</v>
      </c>
      <c r="G141" t="str">
        <f>IF(IFERROR(IF(Str_TypeDonneesCpt3=Cpt_Index,Tab_Compteur_3[[#This Row],[Index]]-E140,Tab_Compteur_3[[#This Row],[Quantité]])/Tab_Compteur_3[[#This Row],[Delta Jour]],"")&lt;0,"",IFERROR(IF(Str_TypeDonneesCpt3=Cpt_Index,Tab_Compteur_3[[#This Row],[Index]]-E140,Tab_Compteur_3[[#This Row],[Quantité]])/Tab_Compteur_3[[#This Row],[Delta Jour]],""))</f>
        <v/>
      </c>
      <c r="H141" s="177" t="str">
        <f>IFERROR(Tab_Compteur_3[[#This Row],[Montant]]/Tab_Compteur_3[[#This Row],[Delta Jour]],"")</f>
        <v/>
      </c>
      <c r="I141" s="188" t="str">
        <f>IF(SUM(Tab_Compteur_3[[#This Row],[Quantité]],Tab_Compteur_3[[#This Row],[Index]])&lt;=0,"",G141)</f>
        <v/>
      </c>
      <c r="J141" s="185"/>
      <c r="K141" s="36"/>
      <c r="L141" s="36"/>
      <c r="M141" s="36"/>
    </row>
    <row r="142" spans="1:13">
      <c r="A142" s="53">
        <f t="shared" si="5"/>
        <v>1</v>
      </c>
      <c r="B142" s="505"/>
      <c r="C142" s="180"/>
      <c r="D142" s="495"/>
      <c r="E142" s="515"/>
      <c r="F142" s="177">
        <f t="shared" si="4"/>
        <v>0</v>
      </c>
      <c r="G142" t="str">
        <f>IF(IFERROR(IF(Str_TypeDonneesCpt3=Cpt_Index,Tab_Compteur_3[[#This Row],[Index]]-E141,Tab_Compteur_3[[#This Row],[Quantité]])/Tab_Compteur_3[[#This Row],[Delta Jour]],"")&lt;0,"",IFERROR(IF(Str_TypeDonneesCpt3=Cpt_Index,Tab_Compteur_3[[#This Row],[Index]]-E141,Tab_Compteur_3[[#This Row],[Quantité]])/Tab_Compteur_3[[#This Row],[Delta Jour]],""))</f>
        <v/>
      </c>
      <c r="H142" s="177" t="str">
        <f>IFERROR(Tab_Compteur_3[[#This Row],[Montant]]/Tab_Compteur_3[[#This Row],[Delta Jour]],"")</f>
        <v/>
      </c>
      <c r="I142" s="188" t="str">
        <f>IF(SUM(Tab_Compteur_3[[#This Row],[Quantité]],Tab_Compteur_3[[#This Row],[Index]])&lt;=0,"",G142)</f>
        <v/>
      </c>
      <c r="J142" s="185"/>
      <c r="K142" s="36"/>
      <c r="L142" s="36"/>
      <c r="M142" s="36"/>
    </row>
    <row r="143" spans="1:13">
      <c r="A143" s="53">
        <f t="shared" si="5"/>
        <v>1</v>
      </c>
      <c r="B143" s="505"/>
      <c r="C143" s="180"/>
      <c r="D143" s="495"/>
      <c r="E143" s="515"/>
      <c r="F143" s="177">
        <f t="shared" si="4"/>
        <v>0</v>
      </c>
      <c r="G143" t="str">
        <f>IF(IFERROR(IF(Str_TypeDonneesCpt3=Cpt_Index,Tab_Compteur_3[[#This Row],[Index]]-E142,Tab_Compteur_3[[#This Row],[Quantité]])/Tab_Compteur_3[[#This Row],[Delta Jour]],"")&lt;0,"",IFERROR(IF(Str_TypeDonneesCpt3=Cpt_Index,Tab_Compteur_3[[#This Row],[Index]]-E142,Tab_Compteur_3[[#This Row],[Quantité]])/Tab_Compteur_3[[#This Row],[Delta Jour]],""))</f>
        <v/>
      </c>
      <c r="H143" s="177" t="str">
        <f>IFERROR(Tab_Compteur_3[[#This Row],[Montant]]/Tab_Compteur_3[[#This Row],[Delta Jour]],"")</f>
        <v/>
      </c>
      <c r="I143" s="188" t="str">
        <f>IF(SUM(Tab_Compteur_3[[#This Row],[Quantité]],Tab_Compteur_3[[#This Row],[Index]])&lt;=0,"",G143)</f>
        <v/>
      </c>
      <c r="J143" s="185"/>
      <c r="K143" s="36"/>
      <c r="L143" s="36"/>
      <c r="M143" s="36"/>
    </row>
    <row r="144" spans="1:13">
      <c r="A144" s="53">
        <f t="shared" si="5"/>
        <v>1</v>
      </c>
      <c r="B144" s="505"/>
      <c r="C144" s="180"/>
      <c r="D144" s="495"/>
      <c r="E144" s="515"/>
      <c r="F144" s="177">
        <f t="shared" si="4"/>
        <v>0</v>
      </c>
      <c r="G144" t="str">
        <f>IF(IFERROR(IF(Str_TypeDonneesCpt3=Cpt_Index,Tab_Compteur_3[[#This Row],[Index]]-E143,Tab_Compteur_3[[#This Row],[Quantité]])/Tab_Compteur_3[[#This Row],[Delta Jour]],"")&lt;0,"",IFERROR(IF(Str_TypeDonneesCpt3=Cpt_Index,Tab_Compteur_3[[#This Row],[Index]]-E143,Tab_Compteur_3[[#This Row],[Quantité]])/Tab_Compteur_3[[#This Row],[Delta Jour]],""))</f>
        <v/>
      </c>
      <c r="H144" s="177" t="str">
        <f>IFERROR(Tab_Compteur_3[[#This Row],[Montant]]/Tab_Compteur_3[[#This Row],[Delta Jour]],"")</f>
        <v/>
      </c>
      <c r="I144" s="188" t="str">
        <f>IF(SUM(Tab_Compteur_3[[#This Row],[Quantité]],Tab_Compteur_3[[#This Row],[Index]])&lt;=0,"",G144)</f>
        <v/>
      </c>
      <c r="J144" s="185"/>
      <c r="K144" s="36"/>
      <c r="L144" s="36"/>
      <c r="M144" s="36"/>
    </row>
    <row r="145" spans="1:13">
      <c r="A145" s="53">
        <f t="shared" si="5"/>
        <v>1</v>
      </c>
      <c r="B145" s="505"/>
      <c r="C145" s="180"/>
      <c r="D145" s="495"/>
      <c r="E145" s="515"/>
      <c r="F145" s="177">
        <f t="shared" si="4"/>
        <v>0</v>
      </c>
      <c r="G145" t="str">
        <f>IF(IFERROR(IF(Str_TypeDonneesCpt3=Cpt_Index,Tab_Compteur_3[[#This Row],[Index]]-E144,Tab_Compteur_3[[#This Row],[Quantité]])/Tab_Compteur_3[[#This Row],[Delta Jour]],"")&lt;0,"",IFERROR(IF(Str_TypeDonneesCpt3=Cpt_Index,Tab_Compteur_3[[#This Row],[Index]]-E144,Tab_Compteur_3[[#This Row],[Quantité]])/Tab_Compteur_3[[#This Row],[Delta Jour]],""))</f>
        <v/>
      </c>
      <c r="H145" s="177" t="str">
        <f>IFERROR(Tab_Compteur_3[[#This Row],[Montant]]/Tab_Compteur_3[[#This Row],[Delta Jour]],"")</f>
        <v/>
      </c>
      <c r="I145" s="188" t="str">
        <f>IF(SUM(Tab_Compteur_3[[#This Row],[Quantité]],Tab_Compteur_3[[#This Row],[Index]])&lt;=0,"",G145)</f>
        <v/>
      </c>
      <c r="J145" s="185"/>
      <c r="K145" s="36"/>
      <c r="L145" s="36"/>
      <c r="M145" s="36"/>
    </row>
    <row r="146" spans="1:13">
      <c r="A146" s="53">
        <f t="shared" si="5"/>
        <v>1</v>
      </c>
      <c r="B146" s="505"/>
      <c r="C146" s="180"/>
      <c r="D146" s="495"/>
      <c r="E146" s="515"/>
      <c r="F146" s="177">
        <f t="shared" si="4"/>
        <v>0</v>
      </c>
      <c r="G146" t="str">
        <f>IF(IFERROR(IF(Str_TypeDonneesCpt3=Cpt_Index,Tab_Compteur_3[[#This Row],[Index]]-E145,Tab_Compteur_3[[#This Row],[Quantité]])/Tab_Compteur_3[[#This Row],[Delta Jour]],"")&lt;0,"",IFERROR(IF(Str_TypeDonneesCpt3=Cpt_Index,Tab_Compteur_3[[#This Row],[Index]]-E145,Tab_Compteur_3[[#This Row],[Quantité]])/Tab_Compteur_3[[#This Row],[Delta Jour]],""))</f>
        <v/>
      </c>
      <c r="H146" s="177" t="str">
        <f>IFERROR(Tab_Compteur_3[[#This Row],[Montant]]/Tab_Compteur_3[[#This Row],[Delta Jour]],"")</f>
        <v/>
      </c>
      <c r="I146" s="188" t="str">
        <f>IF(SUM(Tab_Compteur_3[[#This Row],[Quantité]],Tab_Compteur_3[[#This Row],[Index]])&lt;=0,"",G146)</f>
        <v/>
      </c>
      <c r="J146" s="185"/>
      <c r="K146" s="36"/>
      <c r="L146" s="36"/>
      <c r="M146" s="36"/>
    </row>
    <row r="147" spans="1:13">
      <c r="A147" s="53">
        <f t="shared" si="5"/>
        <v>1</v>
      </c>
      <c r="B147" s="505"/>
      <c r="C147" s="180"/>
      <c r="D147" s="495"/>
      <c r="E147" s="515"/>
      <c r="F147" s="177">
        <f t="shared" si="4"/>
        <v>0</v>
      </c>
      <c r="G147" t="str">
        <f>IF(IFERROR(IF(Str_TypeDonneesCpt3=Cpt_Index,Tab_Compteur_3[[#This Row],[Index]]-E146,Tab_Compteur_3[[#This Row],[Quantité]])/Tab_Compteur_3[[#This Row],[Delta Jour]],"")&lt;0,"",IFERROR(IF(Str_TypeDonneesCpt3=Cpt_Index,Tab_Compteur_3[[#This Row],[Index]]-E146,Tab_Compteur_3[[#This Row],[Quantité]])/Tab_Compteur_3[[#This Row],[Delta Jour]],""))</f>
        <v/>
      </c>
      <c r="H147" s="177" t="str">
        <f>IFERROR(Tab_Compteur_3[[#This Row],[Montant]]/Tab_Compteur_3[[#This Row],[Delta Jour]],"")</f>
        <v/>
      </c>
      <c r="I147" s="188" t="str">
        <f>IF(SUM(Tab_Compteur_3[[#This Row],[Quantité]],Tab_Compteur_3[[#This Row],[Index]])&lt;=0,"",G147)</f>
        <v/>
      </c>
      <c r="J147" s="185"/>
      <c r="K147" s="36"/>
      <c r="L147" s="36"/>
      <c r="M147" s="36"/>
    </row>
    <row r="148" spans="1:13">
      <c r="A148" s="53">
        <f t="shared" si="5"/>
        <v>1</v>
      </c>
      <c r="B148" s="505"/>
      <c r="C148" s="178"/>
      <c r="D148" s="495"/>
      <c r="E148" s="515"/>
      <c r="F148" s="177">
        <f t="shared" si="4"/>
        <v>0</v>
      </c>
      <c r="G148" t="str">
        <f>IF(IFERROR(IF(Str_TypeDonneesCpt3=Cpt_Index,Tab_Compteur_3[[#This Row],[Index]]-E147,Tab_Compteur_3[[#This Row],[Quantité]])/Tab_Compteur_3[[#This Row],[Delta Jour]],"")&lt;0,"",IFERROR(IF(Str_TypeDonneesCpt3=Cpt_Index,Tab_Compteur_3[[#This Row],[Index]]-E147,Tab_Compteur_3[[#This Row],[Quantité]])/Tab_Compteur_3[[#This Row],[Delta Jour]],""))</f>
        <v/>
      </c>
      <c r="H148" s="177" t="str">
        <f>IFERROR(Tab_Compteur_3[[#This Row],[Montant]]/Tab_Compteur_3[[#This Row],[Delta Jour]],"")</f>
        <v/>
      </c>
      <c r="I148" s="188" t="str">
        <f>IF(SUM(Tab_Compteur_3[[#This Row],[Quantité]],Tab_Compteur_3[[#This Row],[Index]])&lt;=0,"",G148)</f>
        <v/>
      </c>
      <c r="J148" s="185"/>
      <c r="K148" s="36"/>
      <c r="L148" s="36"/>
      <c r="M148" s="36"/>
    </row>
    <row r="149" spans="1:13">
      <c r="A149" s="53">
        <f t="shared" si="5"/>
        <v>1</v>
      </c>
      <c r="B149" s="505"/>
      <c r="C149" s="178"/>
      <c r="D149" s="495"/>
      <c r="E149" s="515"/>
      <c r="F149" s="177">
        <f t="shared" si="4"/>
        <v>0</v>
      </c>
      <c r="G149" t="str">
        <f>IF(IFERROR(IF(Str_TypeDonneesCpt3=Cpt_Index,Tab_Compteur_3[[#This Row],[Index]]-E148,Tab_Compteur_3[[#This Row],[Quantité]])/Tab_Compteur_3[[#This Row],[Delta Jour]],"")&lt;0,"",IFERROR(IF(Str_TypeDonneesCpt3=Cpt_Index,Tab_Compteur_3[[#This Row],[Index]]-E148,Tab_Compteur_3[[#This Row],[Quantité]])/Tab_Compteur_3[[#This Row],[Delta Jour]],""))</f>
        <v/>
      </c>
      <c r="H149" s="177" t="str">
        <f>IFERROR(Tab_Compteur_3[[#This Row],[Montant]]/Tab_Compteur_3[[#This Row],[Delta Jour]],"")</f>
        <v/>
      </c>
      <c r="I149" s="188" t="str">
        <f>IF(SUM(Tab_Compteur_3[[#This Row],[Quantité]],Tab_Compteur_3[[#This Row],[Index]])&lt;=0,"",G149)</f>
        <v/>
      </c>
      <c r="J149" s="185"/>
      <c r="K149" s="36"/>
      <c r="L149" s="36"/>
      <c r="M149" s="36"/>
    </row>
    <row r="150" spans="1:13">
      <c r="A150" s="53">
        <f t="shared" si="5"/>
        <v>1</v>
      </c>
      <c r="B150" s="505"/>
      <c r="C150" s="178"/>
      <c r="D150" s="495"/>
      <c r="E150" s="515"/>
      <c r="F150" s="177">
        <f t="shared" si="4"/>
        <v>0</v>
      </c>
      <c r="G150" t="str">
        <f>IF(IFERROR(IF(Str_TypeDonneesCpt3=Cpt_Index,Tab_Compteur_3[[#This Row],[Index]]-E149,Tab_Compteur_3[[#This Row],[Quantité]])/Tab_Compteur_3[[#This Row],[Delta Jour]],"")&lt;0,"",IFERROR(IF(Str_TypeDonneesCpt3=Cpt_Index,Tab_Compteur_3[[#This Row],[Index]]-E149,Tab_Compteur_3[[#This Row],[Quantité]])/Tab_Compteur_3[[#This Row],[Delta Jour]],""))</f>
        <v/>
      </c>
      <c r="H150" s="177" t="str">
        <f>IFERROR(Tab_Compteur_3[[#This Row],[Montant]]/Tab_Compteur_3[[#This Row],[Delta Jour]],"")</f>
        <v/>
      </c>
      <c r="I150" s="188" t="str">
        <f>IF(SUM(Tab_Compteur_3[[#This Row],[Quantité]],Tab_Compteur_3[[#This Row],[Index]])&lt;=0,"",G150)</f>
        <v/>
      </c>
      <c r="J150" s="185"/>
      <c r="K150" s="36"/>
      <c r="L150" s="36"/>
      <c r="M150" s="36"/>
    </row>
    <row r="151" spans="1:13">
      <c r="A151" s="53">
        <f t="shared" si="5"/>
        <v>1</v>
      </c>
      <c r="B151" s="505"/>
      <c r="C151" s="178"/>
      <c r="D151" s="495"/>
      <c r="E151" s="515"/>
      <c r="F151" s="177">
        <f t="shared" si="4"/>
        <v>0</v>
      </c>
      <c r="G151" t="str">
        <f>IF(IFERROR(IF(Str_TypeDonneesCpt3=Cpt_Index,Tab_Compteur_3[[#This Row],[Index]]-E150,Tab_Compteur_3[[#This Row],[Quantité]])/Tab_Compteur_3[[#This Row],[Delta Jour]],"")&lt;0,"",IFERROR(IF(Str_TypeDonneesCpt3=Cpt_Index,Tab_Compteur_3[[#This Row],[Index]]-E150,Tab_Compteur_3[[#This Row],[Quantité]])/Tab_Compteur_3[[#This Row],[Delta Jour]],""))</f>
        <v/>
      </c>
      <c r="H151" s="177" t="str">
        <f>IFERROR(Tab_Compteur_3[[#This Row],[Montant]]/Tab_Compteur_3[[#This Row],[Delta Jour]],"")</f>
        <v/>
      </c>
      <c r="I151" s="188" t="str">
        <f>IF(SUM(Tab_Compteur_3[[#This Row],[Quantité]],Tab_Compteur_3[[#This Row],[Index]])&lt;=0,"",G151)</f>
        <v/>
      </c>
      <c r="J151" s="185"/>
      <c r="K151" s="36"/>
      <c r="L151" s="36"/>
      <c r="M151" s="36"/>
    </row>
    <row r="152" spans="1:13">
      <c r="A152" s="53">
        <f t="shared" si="5"/>
        <v>1</v>
      </c>
      <c r="B152" s="505"/>
      <c r="C152" s="178"/>
      <c r="D152" s="495"/>
      <c r="E152" s="515"/>
      <c r="F152" s="177">
        <f t="shared" si="4"/>
        <v>0</v>
      </c>
      <c r="G152" t="str">
        <f>IF(IFERROR(IF(Str_TypeDonneesCpt3=Cpt_Index,Tab_Compteur_3[[#This Row],[Index]]-E151,Tab_Compteur_3[[#This Row],[Quantité]])/Tab_Compteur_3[[#This Row],[Delta Jour]],"")&lt;0,"",IFERROR(IF(Str_TypeDonneesCpt3=Cpt_Index,Tab_Compteur_3[[#This Row],[Index]]-E151,Tab_Compteur_3[[#This Row],[Quantité]])/Tab_Compteur_3[[#This Row],[Delta Jour]],""))</f>
        <v/>
      </c>
      <c r="H152" s="177" t="str">
        <f>IFERROR(Tab_Compteur_3[[#This Row],[Montant]]/Tab_Compteur_3[[#This Row],[Delta Jour]],"")</f>
        <v/>
      </c>
      <c r="I152" s="188" t="str">
        <f>IF(SUM(Tab_Compteur_3[[#This Row],[Quantité]],Tab_Compteur_3[[#This Row],[Index]])&lt;=0,"",G152)</f>
        <v/>
      </c>
      <c r="J152" s="185"/>
      <c r="K152" s="36"/>
      <c r="L152" s="36"/>
      <c r="M152" s="36"/>
    </row>
    <row r="153" spans="1:13">
      <c r="A153" s="53">
        <f t="shared" si="5"/>
        <v>1</v>
      </c>
      <c r="B153" s="505"/>
      <c r="C153" s="178"/>
      <c r="D153" s="495"/>
      <c r="E153" s="515"/>
      <c r="F153" s="177">
        <f t="shared" si="4"/>
        <v>0</v>
      </c>
      <c r="G153" t="str">
        <f>IF(IFERROR(IF(Str_TypeDonneesCpt3=Cpt_Index,Tab_Compteur_3[[#This Row],[Index]]-E152,Tab_Compteur_3[[#This Row],[Quantité]])/Tab_Compteur_3[[#This Row],[Delta Jour]],"")&lt;0,"",IFERROR(IF(Str_TypeDonneesCpt3=Cpt_Index,Tab_Compteur_3[[#This Row],[Index]]-E152,Tab_Compteur_3[[#This Row],[Quantité]])/Tab_Compteur_3[[#This Row],[Delta Jour]],""))</f>
        <v/>
      </c>
      <c r="H153" s="177" t="str">
        <f>IFERROR(Tab_Compteur_3[[#This Row],[Montant]]/Tab_Compteur_3[[#This Row],[Delta Jour]],"")</f>
        <v/>
      </c>
      <c r="I153" s="188" t="str">
        <f>IF(SUM(Tab_Compteur_3[[#This Row],[Quantité]],Tab_Compteur_3[[#This Row],[Index]])&lt;=0,"",G153)</f>
        <v/>
      </c>
      <c r="J153" s="185"/>
      <c r="K153" s="36"/>
      <c r="L153" s="36"/>
      <c r="M153" s="36"/>
    </row>
    <row r="154" spans="1:13">
      <c r="A154" s="53">
        <f t="shared" si="5"/>
        <v>1</v>
      </c>
      <c r="B154" s="505"/>
      <c r="C154" s="178"/>
      <c r="D154" s="495"/>
      <c r="E154" s="515"/>
      <c r="F154" s="177">
        <f t="shared" si="4"/>
        <v>0</v>
      </c>
      <c r="G154" t="str">
        <f>IF(IFERROR(IF(Str_TypeDonneesCpt3=Cpt_Index,Tab_Compteur_3[[#This Row],[Index]]-E153,Tab_Compteur_3[[#This Row],[Quantité]])/Tab_Compteur_3[[#This Row],[Delta Jour]],"")&lt;0,"",IFERROR(IF(Str_TypeDonneesCpt3=Cpt_Index,Tab_Compteur_3[[#This Row],[Index]]-E153,Tab_Compteur_3[[#This Row],[Quantité]])/Tab_Compteur_3[[#This Row],[Delta Jour]],""))</f>
        <v/>
      </c>
      <c r="H154" s="177" t="str">
        <f>IFERROR(Tab_Compteur_3[[#This Row],[Montant]]/Tab_Compteur_3[[#This Row],[Delta Jour]],"")</f>
        <v/>
      </c>
      <c r="I154" s="188" t="str">
        <f>IF(SUM(Tab_Compteur_3[[#This Row],[Quantité]],Tab_Compteur_3[[#This Row],[Index]])&lt;=0,"",G154)</f>
        <v/>
      </c>
      <c r="J154" s="185"/>
      <c r="K154" s="36"/>
      <c r="L154" s="36"/>
      <c r="M154" s="36"/>
    </row>
    <row r="155" spans="1:13">
      <c r="A155" s="53">
        <f t="shared" si="5"/>
        <v>1</v>
      </c>
      <c r="B155" s="505"/>
      <c r="C155" s="178"/>
      <c r="D155" s="495"/>
      <c r="E155" s="515"/>
      <c r="F155" s="177">
        <f t="shared" si="4"/>
        <v>0</v>
      </c>
      <c r="G155" t="str">
        <f>IF(IFERROR(IF(Str_TypeDonneesCpt3=Cpt_Index,Tab_Compteur_3[[#This Row],[Index]]-E154,Tab_Compteur_3[[#This Row],[Quantité]])/Tab_Compteur_3[[#This Row],[Delta Jour]],"")&lt;0,"",IFERROR(IF(Str_TypeDonneesCpt3=Cpt_Index,Tab_Compteur_3[[#This Row],[Index]]-E154,Tab_Compteur_3[[#This Row],[Quantité]])/Tab_Compteur_3[[#This Row],[Delta Jour]],""))</f>
        <v/>
      </c>
      <c r="H155" s="177" t="str">
        <f>IFERROR(Tab_Compteur_3[[#This Row],[Montant]]/Tab_Compteur_3[[#This Row],[Delta Jour]],"")</f>
        <v/>
      </c>
      <c r="I155" s="188" t="str">
        <f>IF(SUM(Tab_Compteur_3[[#This Row],[Quantité]],Tab_Compteur_3[[#This Row],[Index]])&lt;=0,"",G155)</f>
        <v/>
      </c>
      <c r="J155" s="185"/>
      <c r="K155" s="36"/>
      <c r="L155" s="36"/>
      <c r="M155" s="36"/>
    </row>
    <row r="156" spans="1:13">
      <c r="A156" s="53">
        <f t="shared" si="5"/>
        <v>1</v>
      </c>
      <c r="B156" s="505"/>
      <c r="C156" s="178"/>
      <c r="D156" s="495"/>
      <c r="E156" s="515"/>
      <c r="F156" s="177">
        <f t="shared" si="4"/>
        <v>0</v>
      </c>
      <c r="G156" t="str">
        <f>IF(IFERROR(IF(Str_TypeDonneesCpt3=Cpt_Index,Tab_Compteur_3[[#This Row],[Index]]-E155,Tab_Compteur_3[[#This Row],[Quantité]])/Tab_Compteur_3[[#This Row],[Delta Jour]],"")&lt;0,"",IFERROR(IF(Str_TypeDonneesCpt3=Cpt_Index,Tab_Compteur_3[[#This Row],[Index]]-E155,Tab_Compteur_3[[#This Row],[Quantité]])/Tab_Compteur_3[[#This Row],[Delta Jour]],""))</f>
        <v/>
      </c>
      <c r="H156" s="177" t="str">
        <f>IFERROR(Tab_Compteur_3[[#This Row],[Montant]]/Tab_Compteur_3[[#This Row],[Delta Jour]],"")</f>
        <v/>
      </c>
      <c r="I156" s="188" t="str">
        <f>IF(SUM(Tab_Compteur_3[[#This Row],[Quantité]],Tab_Compteur_3[[#This Row],[Index]])&lt;=0,"",G156)</f>
        <v/>
      </c>
      <c r="J156" s="185"/>
      <c r="K156" s="36"/>
      <c r="L156" s="36"/>
      <c r="M156" s="36"/>
    </row>
    <row r="157" spans="1:13">
      <c r="A157" s="53">
        <f t="shared" si="5"/>
        <v>1</v>
      </c>
      <c r="B157" s="505"/>
      <c r="C157" s="178"/>
      <c r="D157" s="495"/>
      <c r="E157" s="515"/>
      <c r="F157" s="177">
        <f t="shared" si="4"/>
        <v>0</v>
      </c>
      <c r="G157" t="str">
        <f>IF(IFERROR(IF(Str_TypeDonneesCpt3=Cpt_Index,Tab_Compteur_3[[#This Row],[Index]]-E156,Tab_Compteur_3[[#This Row],[Quantité]])/Tab_Compteur_3[[#This Row],[Delta Jour]],"")&lt;0,"",IFERROR(IF(Str_TypeDonneesCpt3=Cpt_Index,Tab_Compteur_3[[#This Row],[Index]]-E156,Tab_Compteur_3[[#This Row],[Quantité]])/Tab_Compteur_3[[#This Row],[Delta Jour]],""))</f>
        <v/>
      </c>
      <c r="H157" s="177" t="str">
        <f>IFERROR(Tab_Compteur_3[[#This Row],[Montant]]/Tab_Compteur_3[[#This Row],[Delta Jour]],"")</f>
        <v/>
      </c>
      <c r="I157" s="188" t="str">
        <f>IF(SUM(Tab_Compteur_3[[#This Row],[Quantité]],Tab_Compteur_3[[#This Row],[Index]])&lt;=0,"",G157)</f>
        <v/>
      </c>
      <c r="J157" s="185"/>
      <c r="K157" s="36"/>
      <c r="L157" s="36"/>
      <c r="M157" s="36"/>
    </row>
    <row r="158" spans="1:13">
      <c r="A158" s="53">
        <f t="shared" si="5"/>
        <v>1</v>
      </c>
      <c r="B158" s="505"/>
      <c r="C158" s="178"/>
      <c r="D158" s="495"/>
      <c r="E158" s="515"/>
      <c r="F158" s="177">
        <f t="shared" si="4"/>
        <v>0</v>
      </c>
      <c r="G158" t="str">
        <f>IF(IFERROR(IF(Str_TypeDonneesCpt3=Cpt_Index,Tab_Compteur_3[[#This Row],[Index]]-E157,Tab_Compteur_3[[#This Row],[Quantité]])/Tab_Compteur_3[[#This Row],[Delta Jour]],"")&lt;0,"",IFERROR(IF(Str_TypeDonneesCpt3=Cpt_Index,Tab_Compteur_3[[#This Row],[Index]]-E157,Tab_Compteur_3[[#This Row],[Quantité]])/Tab_Compteur_3[[#This Row],[Delta Jour]],""))</f>
        <v/>
      </c>
      <c r="H158" s="177" t="str">
        <f>IFERROR(Tab_Compteur_3[[#This Row],[Montant]]/Tab_Compteur_3[[#This Row],[Delta Jour]],"")</f>
        <v/>
      </c>
      <c r="I158" s="188" t="str">
        <f>IF(SUM(Tab_Compteur_3[[#This Row],[Quantité]],Tab_Compteur_3[[#This Row],[Index]])&lt;=0,"",G158)</f>
        <v/>
      </c>
      <c r="J158" s="185"/>
      <c r="K158" s="36"/>
      <c r="L158" s="36"/>
      <c r="M158" s="36"/>
    </row>
    <row r="159" spans="1:13">
      <c r="A159" s="53">
        <f t="shared" si="5"/>
        <v>1</v>
      </c>
      <c r="B159" s="505"/>
      <c r="C159" s="178"/>
      <c r="D159" s="495"/>
      <c r="E159" s="515"/>
      <c r="F159" s="177">
        <f t="shared" si="4"/>
        <v>0</v>
      </c>
      <c r="G159" t="str">
        <f>IF(IFERROR(IF(Str_TypeDonneesCpt3=Cpt_Index,Tab_Compteur_3[[#This Row],[Index]]-E158,Tab_Compteur_3[[#This Row],[Quantité]])/Tab_Compteur_3[[#This Row],[Delta Jour]],"")&lt;0,"",IFERROR(IF(Str_TypeDonneesCpt3=Cpt_Index,Tab_Compteur_3[[#This Row],[Index]]-E158,Tab_Compteur_3[[#This Row],[Quantité]])/Tab_Compteur_3[[#This Row],[Delta Jour]],""))</f>
        <v/>
      </c>
      <c r="H159" s="177" t="str">
        <f>IFERROR(Tab_Compteur_3[[#This Row],[Montant]]/Tab_Compteur_3[[#This Row],[Delta Jour]],"")</f>
        <v/>
      </c>
      <c r="I159" s="188" t="str">
        <f>IF(SUM(Tab_Compteur_3[[#This Row],[Quantité]],Tab_Compteur_3[[#This Row],[Index]])&lt;=0,"",G159)</f>
        <v/>
      </c>
      <c r="J159" s="185"/>
      <c r="K159" s="36"/>
      <c r="L159" s="36"/>
      <c r="M159" s="36"/>
    </row>
    <row r="160" spans="1:13">
      <c r="A160" s="53">
        <f t="shared" si="5"/>
        <v>1</v>
      </c>
      <c r="B160" s="505"/>
      <c r="C160" s="506"/>
      <c r="D160" s="504"/>
      <c r="E160" s="515"/>
      <c r="F160" s="177">
        <f t="shared" si="4"/>
        <v>0</v>
      </c>
      <c r="G160" t="str">
        <f>IF(IFERROR(IF(Str_TypeDonneesCpt3=Cpt_Index,Tab_Compteur_3[[#This Row],[Index]]-E159,Tab_Compteur_3[[#This Row],[Quantité]])/Tab_Compteur_3[[#This Row],[Delta Jour]],"")&lt;0,"",IFERROR(IF(Str_TypeDonneesCpt3=Cpt_Index,Tab_Compteur_3[[#This Row],[Index]]-E159,Tab_Compteur_3[[#This Row],[Quantité]])/Tab_Compteur_3[[#This Row],[Delta Jour]],""))</f>
        <v/>
      </c>
      <c r="H160" s="177" t="str">
        <f>IFERROR(Tab_Compteur_3[[#This Row],[Montant]]/Tab_Compteur_3[[#This Row],[Delta Jour]],"")</f>
        <v/>
      </c>
      <c r="I160" s="188" t="str">
        <f>IF(SUM(Tab_Compteur_3[[#This Row],[Quantité]],Tab_Compteur_3[[#This Row],[Index]])&lt;=0,"",G160)</f>
        <v/>
      </c>
      <c r="J160" s="185"/>
      <c r="K160" s="36"/>
      <c r="L160" s="36"/>
      <c r="M160" s="36"/>
    </row>
    <row r="161" spans="1:13">
      <c r="A161" s="53">
        <f t="shared" si="5"/>
        <v>1</v>
      </c>
      <c r="B161" s="505"/>
      <c r="C161" s="506"/>
      <c r="D161" s="504"/>
      <c r="E161" s="515"/>
      <c r="F161" s="177">
        <f t="shared" si="4"/>
        <v>0</v>
      </c>
      <c r="G161" t="str">
        <f>IF(IFERROR(IF(Str_TypeDonneesCpt3=Cpt_Index,Tab_Compteur_3[[#This Row],[Index]]-E160,Tab_Compteur_3[[#This Row],[Quantité]])/Tab_Compteur_3[[#This Row],[Delta Jour]],"")&lt;0,"",IFERROR(IF(Str_TypeDonneesCpt3=Cpt_Index,Tab_Compteur_3[[#This Row],[Index]]-E160,Tab_Compteur_3[[#This Row],[Quantité]])/Tab_Compteur_3[[#This Row],[Delta Jour]],""))</f>
        <v/>
      </c>
      <c r="H161" s="177" t="str">
        <f>IFERROR(Tab_Compteur_3[[#This Row],[Montant]]/Tab_Compteur_3[[#This Row],[Delta Jour]],"")</f>
        <v/>
      </c>
      <c r="I161" s="188" t="str">
        <f>IF(SUM(Tab_Compteur_3[[#This Row],[Quantité]],Tab_Compteur_3[[#This Row],[Index]])&lt;=0,"",G161)</f>
        <v/>
      </c>
      <c r="J161" s="185"/>
      <c r="K161" s="36"/>
      <c r="L161" s="36"/>
      <c r="M161" s="36"/>
    </row>
    <row r="162" spans="1:13">
      <c r="A162" s="53">
        <f t="shared" si="5"/>
        <v>1</v>
      </c>
      <c r="B162" s="505"/>
      <c r="C162" s="506"/>
      <c r="D162" s="504"/>
      <c r="E162" s="515"/>
      <c r="F162" s="177">
        <f t="shared" si="4"/>
        <v>0</v>
      </c>
      <c r="G162" t="str">
        <f>IF(IFERROR(IF(Str_TypeDonneesCpt3=Cpt_Index,Tab_Compteur_3[[#This Row],[Index]]-E161,Tab_Compteur_3[[#This Row],[Quantité]])/Tab_Compteur_3[[#This Row],[Delta Jour]],"")&lt;0,"",IFERROR(IF(Str_TypeDonneesCpt3=Cpt_Index,Tab_Compteur_3[[#This Row],[Index]]-E161,Tab_Compteur_3[[#This Row],[Quantité]])/Tab_Compteur_3[[#This Row],[Delta Jour]],""))</f>
        <v/>
      </c>
      <c r="H162" s="177" t="str">
        <f>IFERROR(Tab_Compteur_3[[#This Row],[Montant]]/Tab_Compteur_3[[#This Row],[Delta Jour]],"")</f>
        <v/>
      </c>
      <c r="I162" s="188" t="str">
        <f>IF(SUM(Tab_Compteur_3[[#This Row],[Quantité]],Tab_Compteur_3[[#This Row],[Index]])&lt;=0,"",G162)</f>
        <v/>
      </c>
      <c r="J162" s="185"/>
      <c r="K162" s="36"/>
      <c r="L162" s="36"/>
      <c r="M162" s="36"/>
    </row>
    <row r="163" spans="1:13">
      <c r="A163" s="53">
        <f t="shared" si="5"/>
        <v>1</v>
      </c>
      <c r="B163" s="505"/>
      <c r="C163" s="506"/>
      <c r="D163" s="504"/>
      <c r="E163" s="515"/>
      <c r="F163" s="177">
        <f t="shared" si="4"/>
        <v>0</v>
      </c>
      <c r="G163" t="str">
        <f>IF(IFERROR(IF(Str_TypeDonneesCpt3=Cpt_Index,Tab_Compteur_3[[#This Row],[Index]]-E162,Tab_Compteur_3[[#This Row],[Quantité]])/Tab_Compteur_3[[#This Row],[Delta Jour]],"")&lt;0,"",IFERROR(IF(Str_TypeDonneesCpt3=Cpt_Index,Tab_Compteur_3[[#This Row],[Index]]-E162,Tab_Compteur_3[[#This Row],[Quantité]])/Tab_Compteur_3[[#This Row],[Delta Jour]],""))</f>
        <v/>
      </c>
      <c r="H163" s="177" t="str">
        <f>IFERROR(Tab_Compteur_3[[#This Row],[Montant]]/Tab_Compteur_3[[#This Row],[Delta Jour]],"")</f>
        <v/>
      </c>
      <c r="I163" s="188" t="str">
        <f>IF(SUM(Tab_Compteur_3[[#This Row],[Quantité]],Tab_Compteur_3[[#This Row],[Index]])&lt;=0,"",G163)</f>
        <v/>
      </c>
      <c r="J163" s="185"/>
      <c r="K163" s="36"/>
      <c r="L163" s="36"/>
      <c r="M163" s="36"/>
    </row>
    <row r="164" spans="1:13">
      <c r="A164" s="53">
        <f t="shared" si="5"/>
        <v>1</v>
      </c>
      <c r="B164" s="505"/>
      <c r="C164" s="506"/>
      <c r="D164" s="504"/>
      <c r="E164" s="515"/>
      <c r="F164" s="177">
        <f t="shared" si="4"/>
        <v>0</v>
      </c>
      <c r="G164" t="str">
        <f>IF(IFERROR(IF(Str_TypeDonneesCpt3=Cpt_Index,Tab_Compteur_3[[#This Row],[Index]]-E163,Tab_Compteur_3[[#This Row],[Quantité]])/Tab_Compteur_3[[#This Row],[Delta Jour]],"")&lt;0,"",IFERROR(IF(Str_TypeDonneesCpt3=Cpt_Index,Tab_Compteur_3[[#This Row],[Index]]-E163,Tab_Compteur_3[[#This Row],[Quantité]])/Tab_Compteur_3[[#This Row],[Delta Jour]],""))</f>
        <v/>
      </c>
      <c r="H164" s="177" t="str">
        <f>IFERROR(Tab_Compteur_3[[#This Row],[Montant]]/Tab_Compteur_3[[#This Row],[Delta Jour]],"")</f>
        <v/>
      </c>
      <c r="I164" s="188" t="str">
        <f>IF(SUM(Tab_Compteur_3[[#This Row],[Quantité]],Tab_Compteur_3[[#This Row],[Index]])&lt;=0,"",G164)</f>
        <v/>
      </c>
      <c r="J164" s="185"/>
      <c r="K164" s="36"/>
      <c r="L164" s="36"/>
      <c r="M164" s="36"/>
    </row>
    <row r="165" spans="1:13">
      <c r="A165" s="53">
        <f t="shared" si="5"/>
        <v>1</v>
      </c>
      <c r="B165" s="505"/>
      <c r="C165" s="506"/>
      <c r="D165" s="504"/>
      <c r="E165" s="515"/>
      <c r="F165" s="177">
        <f t="shared" si="4"/>
        <v>0</v>
      </c>
      <c r="G165" t="str">
        <f>IF(IFERROR(IF(Str_TypeDonneesCpt3=Cpt_Index,Tab_Compteur_3[[#This Row],[Index]]-E164,Tab_Compteur_3[[#This Row],[Quantité]])/Tab_Compteur_3[[#This Row],[Delta Jour]],"")&lt;0,"",IFERROR(IF(Str_TypeDonneesCpt3=Cpt_Index,Tab_Compteur_3[[#This Row],[Index]]-E164,Tab_Compteur_3[[#This Row],[Quantité]])/Tab_Compteur_3[[#This Row],[Delta Jour]],""))</f>
        <v/>
      </c>
      <c r="H165" s="177" t="str">
        <f>IFERROR(Tab_Compteur_3[[#This Row],[Montant]]/Tab_Compteur_3[[#This Row],[Delta Jour]],"")</f>
        <v/>
      </c>
      <c r="I165" s="188" t="str">
        <f>IF(SUM(Tab_Compteur_3[[#This Row],[Quantité]],Tab_Compteur_3[[#This Row],[Index]])&lt;=0,"",G165)</f>
        <v/>
      </c>
      <c r="J165" s="185"/>
      <c r="K165" s="36"/>
      <c r="L165" s="36"/>
      <c r="M165" s="36"/>
    </row>
    <row r="166" spans="1:13">
      <c r="A166" s="53">
        <f t="shared" si="5"/>
        <v>1</v>
      </c>
      <c r="B166" s="505"/>
      <c r="C166" s="506"/>
      <c r="D166" s="504"/>
      <c r="E166" s="515"/>
      <c r="F166" s="177">
        <f t="shared" si="4"/>
        <v>0</v>
      </c>
      <c r="G166" t="str">
        <f>IF(IFERROR(IF(Str_TypeDonneesCpt3=Cpt_Index,Tab_Compteur_3[[#This Row],[Index]]-E165,Tab_Compteur_3[[#This Row],[Quantité]])/Tab_Compteur_3[[#This Row],[Delta Jour]],"")&lt;0,"",IFERROR(IF(Str_TypeDonneesCpt3=Cpt_Index,Tab_Compteur_3[[#This Row],[Index]]-E165,Tab_Compteur_3[[#This Row],[Quantité]])/Tab_Compteur_3[[#This Row],[Delta Jour]],""))</f>
        <v/>
      </c>
      <c r="H166" s="177" t="str">
        <f>IFERROR(Tab_Compteur_3[[#This Row],[Montant]]/Tab_Compteur_3[[#This Row],[Delta Jour]],"")</f>
        <v/>
      </c>
      <c r="I166" s="188" t="str">
        <f>IF(SUM(Tab_Compteur_3[[#This Row],[Quantité]],Tab_Compteur_3[[#This Row],[Index]])&lt;=0,"",G166)</f>
        <v/>
      </c>
      <c r="J166" s="185"/>
      <c r="K166" s="36"/>
      <c r="L166" s="36"/>
      <c r="M166" s="36"/>
    </row>
    <row r="167" spans="1:13">
      <c r="A167" s="53">
        <f t="shared" si="5"/>
        <v>1</v>
      </c>
      <c r="B167" s="505"/>
      <c r="C167" s="506"/>
      <c r="D167" s="504"/>
      <c r="E167" s="515"/>
      <c r="F167" s="177">
        <f t="shared" si="4"/>
        <v>0</v>
      </c>
      <c r="G167" t="str">
        <f>IF(IFERROR(IF(Str_TypeDonneesCpt3=Cpt_Index,Tab_Compteur_3[[#This Row],[Index]]-E166,Tab_Compteur_3[[#This Row],[Quantité]])/Tab_Compteur_3[[#This Row],[Delta Jour]],"")&lt;0,"",IFERROR(IF(Str_TypeDonneesCpt3=Cpt_Index,Tab_Compteur_3[[#This Row],[Index]]-E166,Tab_Compteur_3[[#This Row],[Quantité]])/Tab_Compteur_3[[#This Row],[Delta Jour]],""))</f>
        <v/>
      </c>
      <c r="H167" s="177" t="str">
        <f>IFERROR(Tab_Compteur_3[[#This Row],[Montant]]/Tab_Compteur_3[[#This Row],[Delta Jour]],"")</f>
        <v/>
      </c>
      <c r="I167" s="188" t="str">
        <f>IF(SUM(Tab_Compteur_3[[#This Row],[Quantité]],Tab_Compteur_3[[#This Row],[Index]])&lt;=0,"",G167)</f>
        <v/>
      </c>
      <c r="J167" s="185"/>
      <c r="K167" s="36"/>
      <c r="L167" s="36"/>
      <c r="M167" s="36"/>
    </row>
    <row r="168" spans="1:13">
      <c r="A168" s="53">
        <f t="shared" si="5"/>
        <v>1</v>
      </c>
      <c r="B168" s="505"/>
      <c r="C168" s="506"/>
      <c r="D168" s="504"/>
      <c r="E168" s="515"/>
      <c r="F168" s="177">
        <f t="shared" si="4"/>
        <v>0</v>
      </c>
      <c r="G168" t="str">
        <f>IF(IFERROR(IF(Str_TypeDonneesCpt3=Cpt_Index,Tab_Compteur_3[[#This Row],[Index]]-E167,Tab_Compteur_3[[#This Row],[Quantité]])/Tab_Compteur_3[[#This Row],[Delta Jour]],"")&lt;0,"",IFERROR(IF(Str_TypeDonneesCpt3=Cpt_Index,Tab_Compteur_3[[#This Row],[Index]]-E167,Tab_Compteur_3[[#This Row],[Quantité]])/Tab_Compteur_3[[#This Row],[Delta Jour]],""))</f>
        <v/>
      </c>
      <c r="H168" s="177" t="str">
        <f>IFERROR(Tab_Compteur_3[[#This Row],[Montant]]/Tab_Compteur_3[[#This Row],[Delta Jour]],"")</f>
        <v/>
      </c>
      <c r="I168" s="188" t="str">
        <f>IF(SUM(Tab_Compteur_3[[#This Row],[Quantité]],Tab_Compteur_3[[#This Row],[Index]])&lt;=0,"",G168)</f>
        <v/>
      </c>
      <c r="J168" s="185"/>
      <c r="K168" s="36"/>
      <c r="L168" s="36"/>
      <c r="M168" s="36"/>
    </row>
    <row r="169" spans="1:13">
      <c r="A169" s="53">
        <f t="shared" si="5"/>
        <v>1</v>
      </c>
      <c r="B169" s="505"/>
      <c r="C169" s="506"/>
      <c r="D169" s="504"/>
      <c r="E169" s="515"/>
      <c r="F169" s="177">
        <f t="shared" si="4"/>
        <v>0</v>
      </c>
      <c r="G169" t="str">
        <f>IF(IFERROR(IF(Str_TypeDonneesCpt3=Cpt_Index,Tab_Compteur_3[[#This Row],[Index]]-E168,Tab_Compteur_3[[#This Row],[Quantité]])/Tab_Compteur_3[[#This Row],[Delta Jour]],"")&lt;0,"",IFERROR(IF(Str_TypeDonneesCpt3=Cpt_Index,Tab_Compteur_3[[#This Row],[Index]]-E168,Tab_Compteur_3[[#This Row],[Quantité]])/Tab_Compteur_3[[#This Row],[Delta Jour]],""))</f>
        <v/>
      </c>
      <c r="H169" s="177" t="str">
        <f>IFERROR(Tab_Compteur_3[[#This Row],[Montant]]/Tab_Compteur_3[[#This Row],[Delta Jour]],"")</f>
        <v/>
      </c>
      <c r="I169" s="188" t="str">
        <f>IF(SUM(Tab_Compteur_3[[#This Row],[Quantité]],Tab_Compteur_3[[#This Row],[Index]])&lt;=0,"",G169)</f>
        <v/>
      </c>
      <c r="J169" s="185"/>
      <c r="K169" s="36"/>
      <c r="L169" s="36"/>
      <c r="M169" s="36"/>
    </row>
    <row r="170" spans="1:13">
      <c r="A170" s="53">
        <f t="shared" si="5"/>
        <v>1</v>
      </c>
      <c r="B170" s="505"/>
      <c r="C170" s="506"/>
      <c r="D170" s="504"/>
      <c r="E170" s="515"/>
      <c r="F170" s="177">
        <f t="shared" si="4"/>
        <v>0</v>
      </c>
      <c r="G170" t="str">
        <f>IF(IFERROR(IF(Str_TypeDonneesCpt3=Cpt_Index,Tab_Compteur_3[[#This Row],[Index]]-E169,Tab_Compteur_3[[#This Row],[Quantité]])/Tab_Compteur_3[[#This Row],[Delta Jour]],"")&lt;0,"",IFERROR(IF(Str_TypeDonneesCpt3=Cpt_Index,Tab_Compteur_3[[#This Row],[Index]]-E169,Tab_Compteur_3[[#This Row],[Quantité]])/Tab_Compteur_3[[#This Row],[Delta Jour]],""))</f>
        <v/>
      </c>
      <c r="H170" s="177" t="str">
        <f>IFERROR(Tab_Compteur_3[[#This Row],[Montant]]/Tab_Compteur_3[[#This Row],[Delta Jour]],"")</f>
        <v/>
      </c>
      <c r="I170" s="188" t="str">
        <f>IF(SUM(Tab_Compteur_3[[#This Row],[Quantité]],Tab_Compteur_3[[#This Row],[Index]])&lt;=0,"",G170)</f>
        <v/>
      </c>
      <c r="J170" s="185"/>
      <c r="K170" s="36"/>
      <c r="L170" s="36"/>
      <c r="M170" s="36"/>
    </row>
    <row r="171" spans="1:13">
      <c r="A171" s="53">
        <f t="shared" si="5"/>
        <v>1</v>
      </c>
      <c r="B171" s="505"/>
      <c r="C171" s="506"/>
      <c r="D171" s="504"/>
      <c r="E171" s="515"/>
      <c r="F171" s="177">
        <f t="shared" si="4"/>
        <v>0</v>
      </c>
      <c r="G171" t="str">
        <f>IF(IFERROR(IF(Str_TypeDonneesCpt3=Cpt_Index,Tab_Compteur_3[[#This Row],[Index]]-E170,Tab_Compteur_3[[#This Row],[Quantité]])/Tab_Compteur_3[[#This Row],[Delta Jour]],"")&lt;0,"",IFERROR(IF(Str_TypeDonneesCpt3=Cpt_Index,Tab_Compteur_3[[#This Row],[Index]]-E170,Tab_Compteur_3[[#This Row],[Quantité]])/Tab_Compteur_3[[#This Row],[Delta Jour]],""))</f>
        <v/>
      </c>
      <c r="H171" s="177" t="str">
        <f>IFERROR(Tab_Compteur_3[[#This Row],[Montant]]/Tab_Compteur_3[[#This Row],[Delta Jour]],"")</f>
        <v/>
      </c>
      <c r="I171" s="188" t="str">
        <f>IF(SUM(Tab_Compteur_3[[#This Row],[Quantité]],Tab_Compteur_3[[#This Row],[Index]])&lt;=0,"",G171)</f>
        <v/>
      </c>
      <c r="J171" s="185"/>
      <c r="K171" s="36"/>
      <c r="L171" s="36"/>
      <c r="M171" s="36"/>
    </row>
    <row r="172" spans="1:13">
      <c r="A172" s="53">
        <f t="shared" si="5"/>
        <v>1</v>
      </c>
      <c r="B172" s="505"/>
      <c r="C172" s="506"/>
      <c r="D172" s="504"/>
      <c r="E172" s="515"/>
      <c r="F172" s="177">
        <f t="shared" si="4"/>
        <v>0</v>
      </c>
      <c r="G172" t="str">
        <f>IF(IFERROR(IF(Str_TypeDonneesCpt3=Cpt_Index,Tab_Compteur_3[[#This Row],[Index]]-E171,Tab_Compteur_3[[#This Row],[Quantité]])/Tab_Compteur_3[[#This Row],[Delta Jour]],"")&lt;0,"",IFERROR(IF(Str_TypeDonneesCpt3=Cpt_Index,Tab_Compteur_3[[#This Row],[Index]]-E171,Tab_Compteur_3[[#This Row],[Quantité]])/Tab_Compteur_3[[#This Row],[Delta Jour]],""))</f>
        <v/>
      </c>
      <c r="H172" s="177" t="str">
        <f>IFERROR(Tab_Compteur_3[[#This Row],[Montant]]/Tab_Compteur_3[[#This Row],[Delta Jour]],"")</f>
        <v/>
      </c>
      <c r="I172" s="188" t="str">
        <f>IF(SUM(Tab_Compteur_3[[#This Row],[Quantité]],Tab_Compteur_3[[#This Row],[Index]])&lt;=0,"",G172)</f>
        <v/>
      </c>
      <c r="J172" s="185"/>
      <c r="K172" s="36"/>
      <c r="L172" s="36"/>
      <c r="M172" s="36"/>
    </row>
    <row r="173" spans="1:13">
      <c r="A173" s="53">
        <f t="shared" si="5"/>
        <v>1</v>
      </c>
      <c r="B173" s="505"/>
      <c r="C173" s="506"/>
      <c r="D173" s="504"/>
      <c r="E173" s="515"/>
      <c r="F173" s="177">
        <f t="shared" si="4"/>
        <v>0</v>
      </c>
      <c r="G173" t="str">
        <f>IF(IFERROR(IF(Str_TypeDonneesCpt3=Cpt_Index,Tab_Compteur_3[[#This Row],[Index]]-E172,Tab_Compteur_3[[#This Row],[Quantité]])/Tab_Compteur_3[[#This Row],[Delta Jour]],"")&lt;0,"",IFERROR(IF(Str_TypeDonneesCpt3=Cpt_Index,Tab_Compteur_3[[#This Row],[Index]]-E172,Tab_Compteur_3[[#This Row],[Quantité]])/Tab_Compteur_3[[#This Row],[Delta Jour]],""))</f>
        <v/>
      </c>
      <c r="H173" s="177" t="str">
        <f>IFERROR(Tab_Compteur_3[[#This Row],[Montant]]/Tab_Compteur_3[[#This Row],[Delta Jour]],"")</f>
        <v/>
      </c>
      <c r="I173" s="188" t="str">
        <f>IF(SUM(Tab_Compteur_3[[#This Row],[Quantité]],Tab_Compteur_3[[#This Row],[Index]])&lt;=0,"",G173)</f>
        <v/>
      </c>
      <c r="J173" s="185"/>
      <c r="K173" s="36"/>
      <c r="L173" s="36"/>
      <c r="M173" s="36"/>
    </row>
    <row r="174" spans="1:13">
      <c r="A174" s="53">
        <f t="shared" si="5"/>
        <v>1</v>
      </c>
      <c r="B174" s="505"/>
      <c r="C174" s="506"/>
      <c r="D174" s="504"/>
      <c r="E174" s="515"/>
      <c r="F174" s="177">
        <f t="shared" si="4"/>
        <v>0</v>
      </c>
      <c r="G174" t="str">
        <f>IF(IFERROR(IF(Str_TypeDonneesCpt3=Cpt_Index,Tab_Compteur_3[[#This Row],[Index]]-E173,Tab_Compteur_3[[#This Row],[Quantité]])/Tab_Compteur_3[[#This Row],[Delta Jour]],"")&lt;0,"",IFERROR(IF(Str_TypeDonneesCpt3=Cpt_Index,Tab_Compteur_3[[#This Row],[Index]]-E173,Tab_Compteur_3[[#This Row],[Quantité]])/Tab_Compteur_3[[#This Row],[Delta Jour]],""))</f>
        <v/>
      </c>
      <c r="H174" s="177" t="str">
        <f>IFERROR(Tab_Compteur_3[[#This Row],[Montant]]/Tab_Compteur_3[[#This Row],[Delta Jour]],"")</f>
        <v/>
      </c>
      <c r="I174" s="188" t="str">
        <f>IF(SUM(Tab_Compteur_3[[#This Row],[Quantité]],Tab_Compteur_3[[#This Row],[Index]])&lt;=0,"",G174)</f>
        <v/>
      </c>
      <c r="J174" s="185"/>
      <c r="K174" s="36"/>
      <c r="L174" s="36"/>
      <c r="M174" s="36"/>
    </row>
    <row r="175" spans="1:13">
      <c r="A175" s="53">
        <f t="shared" si="5"/>
        <v>1</v>
      </c>
      <c r="B175" s="505"/>
      <c r="C175" s="506"/>
      <c r="D175" s="504"/>
      <c r="E175" s="515"/>
      <c r="F175" s="177">
        <f t="shared" si="4"/>
        <v>0</v>
      </c>
      <c r="G175" t="str">
        <f>IF(IFERROR(IF(Str_TypeDonneesCpt3=Cpt_Index,Tab_Compteur_3[[#This Row],[Index]]-E174,Tab_Compteur_3[[#This Row],[Quantité]])/Tab_Compteur_3[[#This Row],[Delta Jour]],"")&lt;0,"",IFERROR(IF(Str_TypeDonneesCpt3=Cpt_Index,Tab_Compteur_3[[#This Row],[Index]]-E174,Tab_Compteur_3[[#This Row],[Quantité]])/Tab_Compteur_3[[#This Row],[Delta Jour]],""))</f>
        <v/>
      </c>
      <c r="H175" s="177" t="str">
        <f>IFERROR(Tab_Compteur_3[[#This Row],[Montant]]/Tab_Compteur_3[[#This Row],[Delta Jour]],"")</f>
        <v/>
      </c>
      <c r="I175" s="188" t="str">
        <f>IF(SUM(Tab_Compteur_3[[#This Row],[Quantité]],Tab_Compteur_3[[#This Row],[Index]])&lt;=0,"",G175)</f>
        <v/>
      </c>
      <c r="J175" s="185"/>
      <c r="K175" s="36"/>
      <c r="L175" s="36"/>
      <c r="M175" s="36"/>
    </row>
    <row r="176" spans="1:13">
      <c r="A176" s="53">
        <f t="shared" si="5"/>
        <v>1</v>
      </c>
      <c r="B176" s="505"/>
      <c r="C176" s="506"/>
      <c r="D176" s="504"/>
      <c r="E176" s="515"/>
      <c r="F176" s="177">
        <f t="shared" si="4"/>
        <v>0</v>
      </c>
      <c r="G176" t="str">
        <f>IF(IFERROR(IF(Str_TypeDonneesCpt3=Cpt_Index,Tab_Compteur_3[[#This Row],[Index]]-E175,Tab_Compteur_3[[#This Row],[Quantité]])/Tab_Compteur_3[[#This Row],[Delta Jour]],"")&lt;0,"",IFERROR(IF(Str_TypeDonneesCpt3=Cpt_Index,Tab_Compteur_3[[#This Row],[Index]]-E175,Tab_Compteur_3[[#This Row],[Quantité]])/Tab_Compteur_3[[#This Row],[Delta Jour]],""))</f>
        <v/>
      </c>
      <c r="H176" s="177" t="str">
        <f>IFERROR(Tab_Compteur_3[[#This Row],[Montant]]/Tab_Compteur_3[[#This Row],[Delta Jour]],"")</f>
        <v/>
      </c>
      <c r="I176" s="188" t="str">
        <f>IF(SUM(Tab_Compteur_3[[#This Row],[Quantité]],Tab_Compteur_3[[#This Row],[Index]])&lt;=0,"",G176)</f>
        <v/>
      </c>
      <c r="J176" s="185"/>
      <c r="K176" s="36"/>
      <c r="L176" s="36"/>
      <c r="M176" s="36"/>
    </row>
    <row r="177" spans="1:13">
      <c r="A177" s="53">
        <f t="shared" si="5"/>
        <v>1</v>
      </c>
      <c r="B177" s="505"/>
      <c r="C177" s="506"/>
      <c r="D177" s="504"/>
      <c r="E177" s="515"/>
      <c r="F177" s="177">
        <f t="shared" si="4"/>
        <v>0</v>
      </c>
      <c r="G177" t="str">
        <f>IF(IFERROR(IF(Str_TypeDonneesCpt3=Cpt_Index,Tab_Compteur_3[[#This Row],[Index]]-E176,Tab_Compteur_3[[#This Row],[Quantité]])/Tab_Compteur_3[[#This Row],[Delta Jour]],"")&lt;0,"",IFERROR(IF(Str_TypeDonneesCpt3=Cpt_Index,Tab_Compteur_3[[#This Row],[Index]]-E176,Tab_Compteur_3[[#This Row],[Quantité]])/Tab_Compteur_3[[#This Row],[Delta Jour]],""))</f>
        <v/>
      </c>
      <c r="H177" s="177" t="str">
        <f>IFERROR(Tab_Compteur_3[[#This Row],[Montant]]/Tab_Compteur_3[[#This Row],[Delta Jour]],"")</f>
        <v/>
      </c>
      <c r="I177" s="188" t="str">
        <f>IF(SUM(Tab_Compteur_3[[#This Row],[Quantité]],Tab_Compteur_3[[#This Row],[Index]])&lt;=0,"",G177)</f>
        <v/>
      </c>
      <c r="J177" s="185"/>
      <c r="K177" s="36"/>
      <c r="L177" s="36"/>
      <c r="M177" s="36"/>
    </row>
    <row r="178" spans="1:13">
      <c r="A178" s="53">
        <f t="shared" si="5"/>
        <v>1</v>
      </c>
      <c r="B178" s="505"/>
      <c r="C178" s="506"/>
      <c r="D178" s="504"/>
      <c r="E178" s="515"/>
      <c r="F178" s="177">
        <f t="shared" si="4"/>
        <v>0</v>
      </c>
      <c r="G178" t="str">
        <f>IF(IFERROR(IF(Str_TypeDonneesCpt3=Cpt_Index,Tab_Compteur_3[[#This Row],[Index]]-E177,Tab_Compteur_3[[#This Row],[Quantité]])/Tab_Compteur_3[[#This Row],[Delta Jour]],"")&lt;0,"",IFERROR(IF(Str_TypeDonneesCpt3=Cpt_Index,Tab_Compteur_3[[#This Row],[Index]]-E177,Tab_Compteur_3[[#This Row],[Quantité]])/Tab_Compteur_3[[#This Row],[Delta Jour]],""))</f>
        <v/>
      </c>
      <c r="H178" s="177" t="str">
        <f>IFERROR(Tab_Compteur_3[[#This Row],[Montant]]/Tab_Compteur_3[[#This Row],[Delta Jour]],"")</f>
        <v/>
      </c>
      <c r="I178" s="188" t="str">
        <f>IF(SUM(Tab_Compteur_3[[#This Row],[Quantité]],Tab_Compteur_3[[#This Row],[Index]])&lt;=0,"",G178)</f>
        <v/>
      </c>
      <c r="J178" s="185"/>
      <c r="K178" s="36"/>
      <c r="L178" s="36"/>
      <c r="M178" s="36"/>
    </row>
    <row r="179" spans="1:13">
      <c r="A179" s="53">
        <f t="shared" si="5"/>
        <v>1</v>
      </c>
      <c r="B179" s="505"/>
      <c r="C179" s="506"/>
      <c r="D179" s="504"/>
      <c r="E179" s="515"/>
      <c r="F179" s="177">
        <f t="shared" si="4"/>
        <v>0</v>
      </c>
      <c r="G179" t="str">
        <f>IF(IFERROR(IF(Str_TypeDonneesCpt3=Cpt_Index,Tab_Compteur_3[[#This Row],[Index]]-E178,Tab_Compteur_3[[#This Row],[Quantité]])/Tab_Compteur_3[[#This Row],[Delta Jour]],"")&lt;0,"",IFERROR(IF(Str_TypeDonneesCpt3=Cpt_Index,Tab_Compteur_3[[#This Row],[Index]]-E178,Tab_Compteur_3[[#This Row],[Quantité]])/Tab_Compteur_3[[#This Row],[Delta Jour]],""))</f>
        <v/>
      </c>
      <c r="H179" s="177" t="str">
        <f>IFERROR(Tab_Compteur_3[[#This Row],[Montant]]/Tab_Compteur_3[[#This Row],[Delta Jour]],"")</f>
        <v/>
      </c>
      <c r="I179" s="188" t="str">
        <f>IF(SUM(Tab_Compteur_3[[#This Row],[Quantité]],Tab_Compteur_3[[#This Row],[Index]])&lt;=0,"",G179)</f>
        <v/>
      </c>
      <c r="J179" s="185"/>
      <c r="K179" s="36"/>
      <c r="L179" s="36"/>
      <c r="M179" s="36"/>
    </row>
    <row r="180" spans="1:13">
      <c r="A180" s="53">
        <f t="shared" si="5"/>
        <v>1</v>
      </c>
      <c r="B180" s="505"/>
      <c r="C180" s="506"/>
      <c r="D180" s="504"/>
      <c r="E180" s="515"/>
      <c r="F180" s="177">
        <f t="shared" si="4"/>
        <v>0</v>
      </c>
      <c r="G180" t="str">
        <f>IF(IFERROR(IF(Str_TypeDonneesCpt3=Cpt_Index,Tab_Compteur_3[[#This Row],[Index]]-E179,Tab_Compteur_3[[#This Row],[Quantité]])/Tab_Compteur_3[[#This Row],[Delta Jour]],"")&lt;0,"",IFERROR(IF(Str_TypeDonneesCpt3=Cpt_Index,Tab_Compteur_3[[#This Row],[Index]]-E179,Tab_Compteur_3[[#This Row],[Quantité]])/Tab_Compteur_3[[#This Row],[Delta Jour]],""))</f>
        <v/>
      </c>
      <c r="H180" s="177" t="str">
        <f>IFERROR(Tab_Compteur_3[[#This Row],[Montant]]/Tab_Compteur_3[[#This Row],[Delta Jour]],"")</f>
        <v/>
      </c>
      <c r="I180" s="188" t="str">
        <f>IF(SUM(Tab_Compteur_3[[#This Row],[Quantité]],Tab_Compteur_3[[#This Row],[Index]])&lt;=0,"",G180)</f>
        <v/>
      </c>
      <c r="J180" s="185"/>
      <c r="K180" s="36"/>
      <c r="L180" s="36"/>
      <c r="M180" s="36"/>
    </row>
    <row r="181" spans="1:13">
      <c r="A181" s="53">
        <f t="shared" si="5"/>
        <v>1</v>
      </c>
      <c r="B181" s="505"/>
      <c r="C181" s="506"/>
      <c r="D181" s="504"/>
      <c r="E181" s="515"/>
      <c r="F181" s="177">
        <f t="shared" si="4"/>
        <v>0</v>
      </c>
      <c r="G181" t="str">
        <f>IF(IFERROR(IF(Str_TypeDonneesCpt3=Cpt_Index,Tab_Compteur_3[[#This Row],[Index]]-E180,Tab_Compteur_3[[#This Row],[Quantité]])/Tab_Compteur_3[[#This Row],[Delta Jour]],"")&lt;0,"",IFERROR(IF(Str_TypeDonneesCpt3=Cpt_Index,Tab_Compteur_3[[#This Row],[Index]]-E180,Tab_Compteur_3[[#This Row],[Quantité]])/Tab_Compteur_3[[#This Row],[Delta Jour]],""))</f>
        <v/>
      </c>
      <c r="H181" s="177" t="str">
        <f>IFERROR(Tab_Compteur_3[[#This Row],[Montant]]/Tab_Compteur_3[[#This Row],[Delta Jour]],"")</f>
        <v/>
      </c>
      <c r="I181" s="188" t="str">
        <f>IF(SUM(Tab_Compteur_3[[#This Row],[Quantité]],Tab_Compteur_3[[#This Row],[Index]])&lt;=0,"",G181)</f>
        <v/>
      </c>
      <c r="J181" s="185"/>
      <c r="K181" s="36"/>
      <c r="L181" s="36"/>
      <c r="M181" s="36"/>
    </row>
    <row r="182" spans="1:13">
      <c r="A182" s="53">
        <f t="shared" si="5"/>
        <v>1</v>
      </c>
      <c r="B182" s="505"/>
      <c r="C182" s="506"/>
      <c r="D182" s="504"/>
      <c r="E182" s="515"/>
      <c r="F182" s="177">
        <f t="shared" si="4"/>
        <v>0</v>
      </c>
      <c r="G182" t="str">
        <f>IF(IFERROR(IF(Str_TypeDonneesCpt3=Cpt_Index,Tab_Compteur_3[[#This Row],[Index]]-E181,Tab_Compteur_3[[#This Row],[Quantité]])/Tab_Compteur_3[[#This Row],[Delta Jour]],"")&lt;0,"",IFERROR(IF(Str_TypeDonneesCpt3=Cpt_Index,Tab_Compteur_3[[#This Row],[Index]]-E181,Tab_Compteur_3[[#This Row],[Quantité]])/Tab_Compteur_3[[#This Row],[Delta Jour]],""))</f>
        <v/>
      </c>
      <c r="H182" s="177" t="str">
        <f>IFERROR(Tab_Compteur_3[[#This Row],[Montant]]/Tab_Compteur_3[[#This Row],[Delta Jour]],"")</f>
        <v/>
      </c>
      <c r="I182" s="188" t="str">
        <f>IF(SUM(Tab_Compteur_3[[#This Row],[Quantité]],Tab_Compteur_3[[#This Row],[Index]])&lt;=0,"",G182)</f>
        <v/>
      </c>
      <c r="J182" s="185"/>
      <c r="K182" s="36"/>
      <c r="L182" s="36"/>
      <c r="M182" s="36"/>
    </row>
    <row r="183" spans="1:13">
      <c r="A183" s="53">
        <f t="shared" si="5"/>
        <v>1</v>
      </c>
      <c r="B183" s="505"/>
      <c r="C183" s="506"/>
      <c r="D183" s="504"/>
      <c r="E183" s="515"/>
      <c r="F183" s="177">
        <f t="shared" si="4"/>
        <v>0</v>
      </c>
      <c r="G183" t="str">
        <f>IF(IFERROR(IF(Str_TypeDonneesCpt3=Cpt_Index,Tab_Compteur_3[[#This Row],[Index]]-E182,Tab_Compteur_3[[#This Row],[Quantité]])/Tab_Compteur_3[[#This Row],[Delta Jour]],"")&lt;0,"",IFERROR(IF(Str_TypeDonneesCpt3=Cpt_Index,Tab_Compteur_3[[#This Row],[Index]]-E182,Tab_Compteur_3[[#This Row],[Quantité]])/Tab_Compteur_3[[#This Row],[Delta Jour]],""))</f>
        <v/>
      </c>
      <c r="H183" s="177" t="str">
        <f>IFERROR(Tab_Compteur_3[[#This Row],[Montant]]/Tab_Compteur_3[[#This Row],[Delta Jour]],"")</f>
        <v/>
      </c>
      <c r="I183" s="188" t="str">
        <f>IF(SUM(Tab_Compteur_3[[#This Row],[Quantité]],Tab_Compteur_3[[#This Row],[Index]])&lt;=0,"",G183)</f>
        <v/>
      </c>
      <c r="J183" s="185"/>
      <c r="K183" s="36"/>
      <c r="L183" s="36"/>
      <c r="M183" s="36"/>
    </row>
    <row r="184" spans="1:13">
      <c r="A184" s="53">
        <f t="shared" si="5"/>
        <v>1</v>
      </c>
      <c r="B184" s="505"/>
      <c r="C184" s="506"/>
      <c r="D184" s="504"/>
      <c r="E184" s="515"/>
      <c r="F184" s="177">
        <f t="shared" si="4"/>
        <v>0</v>
      </c>
      <c r="G184" t="str">
        <f>IF(IFERROR(IF(Str_TypeDonneesCpt3=Cpt_Index,Tab_Compteur_3[[#This Row],[Index]]-E183,Tab_Compteur_3[[#This Row],[Quantité]])/Tab_Compteur_3[[#This Row],[Delta Jour]],"")&lt;0,"",IFERROR(IF(Str_TypeDonneesCpt3=Cpt_Index,Tab_Compteur_3[[#This Row],[Index]]-E183,Tab_Compteur_3[[#This Row],[Quantité]])/Tab_Compteur_3[[#This Row],[Delta Jour]],""))</f>
        <v/>
      </c>
      <c r="H184" s="177" t="str">
        <f>IFERROR(Tab_Compteur_3[[#This Row],[Montant]]/Tab_Compteur_3[[#This Row],[Delta Jour]],"")</f>
        <v/>
      </c>
      <c r="I184" s="188" t="str">
        <f>IF(SUM(Tab_Compteur_3[[#This Row],[Quantité]],Tab_Compteur_3[[#This Row],[Index]])&lt;=0,"",G184)</f>
        <v/>
      </c>
      <c r="J184" s="185"/>
      <c r="K184" s="36"/>
      <c r="L184" s="36"/>
      <c r="M184" s="36"/>
    </row>
    <row r="185" spans="1:13">
      <c r="A185" s="53">
        <f t="shared" si="5"/>
        <v>1</v>
      </c>
      <c r="B185" s="505"/>
      <c r="C185" s="506"/>
      <c r="D185" s="504"/>
      <c r="E185" s="515"/>
      <c r="F185" s="177">
        <f t="shared" si="4"/>
        <v>0</v>
      </c>
      <c r="G185" t="str">
        <f>IF(IFERROR(IF(Str_TypeDonneesCpt3=Cpt_Index,Tab_Compteur_3[[#This Row],[Index]]-E184,Tab_Compteur_3[[#This Row],[Quantité]])/Tab_Compteur_3[[#This Row],[Delta Jour]],"")&lt;0,"",IFERROR(IF(Str_TypeDonneesCpt3=Cpt_Index,Tab_Compteur_3[[#This Row],[Index]]-E184,Tab_Compteur_3[[#This Row],[Quantité]])/Tab_Compteur_3[[#This Row],[Delta Jour]],""))</f>
        <v/>
      </c>
      <c r="H185" s="177" t="str">
        <f>IFERROR(Tab_Compteur_3[[#This Row],[Montant]]/Tab_Compteur_3[[#This Row],[Delta Jour]],"")</f>
        <v/>
      </c>
      <c r="I185" s="188" t="str">
        <f>IF(SUM(Tab_Compteur_3[[#This Row],[Quantité]],Tab_Compteur_3[[#This Row],[Index]])&lt;=0,"",G185)</f>
        <v/>
      </c>
      <c r="J185" s="185"/>
      <c r="K185" s="36"/>
      <c r="L185" s="36"/>
      <c r="M185" s="36"/>
    </row>
    <row r="186" spans="1:13">
      <c r="A186" s="53">
        <f t="shared" si="5"/>
        <v>1</v>
      </c>
      <c r="B186" s="505"/>
      <c r="C186" s="506"/>
      <c r="D186" s="504"/>
      <c r="E186" s="515"/>
      <c r="F186" s="177">
        <f t="shared" si="4"/>
        <v>0</v>
      </c>
      <c r="G186" t="str">
        <f>IF(IFERROR(IF(Str_TypeDonneesCpt3=Cpt_Index,Tab_Compteur_3[[#This Row],[Index]]-E185,Tab_Compteur_3[[#This Row],[Quantité]])/Tab_Compteur_3[[#This Row],[Delta Jour]],"")&lt;0,"",IFERROR(IF(Str_TypeDonneesCpt3=Cpt_Index,Tab_Compteur_3[[#This Row],[Index]]-E185,Tab_Compteur_3[[#This Row],[Quantité]])/Tab_Compteur_3[[#This Row],[Delta Jour]],""))</f>
        <v/>
      </c>
      <c r="H186" s="177" t="str">
        <f>IFERROR(Tab_Compteur_3[[#This Row],[Montant]]/Tab_Compteur_3[[#This Row],[Delta Jour]],"")</f>
        <v/>
      </c>
      <c r="I186" s="188" t="str">
        <f>IF(SUM(Tab_Compteur_3[[#This Row],[Quantité]],Tab_Compteur_3[[#This Row],[Index]])&lt;=0,"",G186)</f>
        <v/>
      </c>
      <c r="J186" s="185"/>
      <c r="K186" s="36"/>
      <c r="L186" s="36"/>
      <c r="M186" s="36"/>
    </row>
    <row r="187" spans="1:13">
      <c r="A187" s="53">
        <f t="shared" si="5"/>
        <v>1</v>
      </c>
      <c r="B187" s="505"/>
      <c r="C187" s="506"/>
      <c r="D187" s="504"/>
      <c r="E187" s="515"/>
      <c r="F187" s="177">
        <f t="shared" si="4"/>
        <v>0</v>
      </c>
      <c r="G187" t="str">
        <f>IF(IFERROR(IF(Str_TypeDonneesCpt3=Cpt_Index,Tab_Compteur_3[[#This Row],[Index]]-E186,Tab_Compteur_3[[#This Row],[Quantité]])/Tab_Compteur_3[[#This Row],[Delta Jour]],"")&lt;0,"",IFERROR(IF(Str_TypeDonneesCpt3=Cpt_Index,Tab_Compteur_3[[#This Row],[Index]]-E186,Tab_Compteur_3[[#This Row],[Quantité]])/Tab_Compteur_3[[#This Row],[Delta Jour]],""))</f>
        <v/>
      </c>
      <c r="H187" s="177" t="str">
        <f>IFERROR(Tab_Compteur_3[[#This Row],[Montant]]/Tab_Compteur_3[[#This Row],[Delta Jour]],"")</f>
        <v/>
      </c>
      <c r="I187" s="188" t="str">
        <f>IF(SUM(Tab_Compteur_3[[#This Row],[Quantité]],Tab_Compteur_3[[#This Row],[Index]])&lt;=0,"",G187)</f>
        <v/>
      </c>
      <c r="J187" s="185"/>
      <c r="K187" s="36"/>
      <c r="L187" s="36"/>
      <c r="M187" s="36"/>
    </row>
    <row r="188" spans="1:13">
      <c r="A188" s="53">
        <f t="shared" si="5"/>
        <v>1</v>
      </c>
      <c r="B188" s="505"/>
      <c r="C188" s="506"/>
      <c r="D188" s="504"/>
      <c r="E188" s="515"/>
      <c r="F188" s="177">
        <f t="shared" si="4"/>
        <v>0</v>
      </c>
      <c r="G188" t="str">
        <f>IF(IFERROR(IF(Str_TypeDonneesCpt3=Cpt_Index,Tab_Compteur_3[[#This Row],[Index]]-E187,Tab_Compteur_3[[#This Row],[Quantité]])/Tab_Compteur_3[[#This Row],[Delta Jour]],"")&lt;0,"",IFERROR(IF(Str_TypeDonneesCpt3=Cpt_Index,Tab_Compteur_3[[#This Row],[Index]]-E187,Tab_Compteur_3[[#This Row],[Quantité]])/Tab_Compteur_3[[#This Row],[Delta Jour]],""))</f>
        <v/>
      </c>
      <c r="H188" s="177" t="str">
        <f>IFERROR(Tab_Compteur_3[[#This Row],[Montant]]/Tab_Compteur_3[[#This Row],[Delta Jour]],"")</f>
        <v/>
      </c>
      <c r="I188" s="188" t="str">
        <f>IF(SUM(Tab_Compteur_3[[#This Row],[Quantité]],Tab_Compteur_3[[#This Row],[Index]])&lt;=0,"",G188)</f>
        <v/>
      </c>
      <c r="J188" s="185"/>
      <c r="K188" s="36"/>
      <c r="L188" s="36"/>
      <c r="M188" s="36"/>
    </row>
    <row r="189" spans="1:13">
      <c r="A189" s="53">
        <f t="shared" si="5"/>
        <v>1</v>
      </c>
      <c r="B189" s="505"/>
      <c r="C189" s="506"/>
      <c r="D189" s="504"/>
      <c r="E189" s="515"/>
      <c r="F189" s="177">
        <f t="shared" si="4"/>
        <v>0</v>
      </c>
      <c r="G189" t="str">
        <f>IF(IFERROR(IF(Str_TypeDonneesCpt3=Cpt_Index,Tab_Compteur_3[[#This Row],[Index]]-E188,Tab_Compteur_3[[#This Row],[Quantité]])/Tab_Compteur_3[[#This Row],[Delta Jour]],"")&lt;0,"",IFERROR(IF(Str_TypeDonneesCpt3=Cpt_Index,Tab_Compteur_3[[#This Row],[Index]]-E188,Tab_Compteur_3[[#This Row],[Quantité]])/Tab_Compteur_3[[#This Row],[Delta Jour]],""))</f>
        <v/>
      </c>
      <c r="H189" s="177" t="str">
        <f>IFERROR(Tab_Compteur_3[[#This Row],[Montant]]/Tab_Compteur_3[[#This Row],[Delta Jour]],"")</f>
        <v/>
      </c>
      <c r="I189" s="188" t="str">
        <f>IF(SUM(Tab_Compteur_3[[#This Row],[Quantité]],Tab_Compteur_3[[#This Row],[Index]])&lt;=0,"",G189)</f>
        <v/>
      </c>
      <c r="J189" s="185"/>
      <c r="K189" s="36"/>
      <c r="L189" s="36"/>
      <c r="M189" s="36"/>
    </row>
    <row r="190" spans="1:13">
      <c r="A190" s="53">
        <f t="shared" si="5"/>
        <v>1</v>
      </c>
      <c r="B190" s="505"/>
      <c r="C190" s="506"/>
      <c r="D190" s="504"/>
      <c r="E190" s="515"/>
      <c r="F190" s="177">
        <f t="shared" si="4"/>
        <v>0</v>
      </c>
      <c r="G190" t="str">
        <f>IF(IFERROR(IF(Str_TypeDonneesCpt3=Cpt_Index,Tab_Compteur_3[[#This Row],[Index]]-E189,Tab_Compteur_3[[#This Row],[Quantité]])/Tab_Compteur_3[[#This Row],[Delta Jour]],"")&lt;0,"",IFERROR(IF(Str_TypeDonneesCpt3=Cpt_Index,Tab_Compteur_3[[#This Row],[Index]]-E189,Tab_Compteur_3[[#This Row],[Quantité]])/Tab_Compteur_3[[#This Row],[Delta Jour]],""))</f>
        <v/>
      </c>
      <c r="H190" s="177" t="str">
        <f>IFERROR(Tab_Compteur_3[[#This Row],[Montant]]/Tab_Compteur_3[[#This Row],[Delta Jour]],"")</f>
        <v/>
      </c>
      <c r="I190" s="188" t="str">
        <f>IF(SUM(Tab_Compteur_3[[#This Row],[Quantité]],Tab_Compteur_3[[#This Row],[Index]])&lt;=0,"",G190)</f>
        <v/>
      </c>
      <c r="J190" s="185"/>
      <c r="K190" s="36"/>
      <c r="L190" s="36"/>
      <c r="M190" s="36"/>
    </row>
    <row r="191" spans="1:13">
      <c r="A191" s="53">
        <f t="shared" si="5"/>
        <v>1</v>
      </c>
      <c r="B191" s="505"/>
      <c r="C191" s="506"/>
      <c r="D191" s="504"/>
      <c r="E191" s="515"/>
      <c r="F191" s="177">
        <f t="shared" si="4"/>
        <v>0</v>
      </c>
      <c r="G191" t="str">
        <f>IF(IFERROR(IF(Str_TypeDonneesCpt3=Cpt_Index,Tab_Compteur_3[[#This Row],[Index]]-E190,Tab_Compteur_3[[#This Row],[Quantité]])/Tab_Compteur_3[[#This Row],[Delta Jour]],"")&lt;0,"",IFERROR(IF(Str_TypeDonneesCpt3=Cpt_Index,Tab_Compteur_3[[#This Row],[Index]]-E190,Tab_Compteur_3[[#This Row],[Quantité]])/Tab_Compteur_3[[#This Row],[Delta Jour]],""))</f>
        <v/>
      </c>
      <c r="H191" s="177" t="str">
        <f>IFERROR(Tab_Compteur_3[[#This Row],[Montant]]/Tab_Compteur_3[[#This Row],[Delta Jour]],"")</f>
        <v/>
      </c>
      <c r="I191" s="188" t="str">
        <f>IF(SUM(Tab_Compteur_3[[#This Row],[Quantité]],Tab_Compteur_3[[#This Row],[Index]])&lt;=0,"",G191)</f>
        <v/>
      </c>
      <c r="J191" s="185"/>
      <c r="K191" s="36"/>
      <c r="L191" s="36"/>
      <c r="M191" s="36"/>
    </row>
    <row r="192" spans="1:13">
      <c r="A192" s="53">
        <f t="shared" si="5"/>
        <v>1</v>
      </c>
      <c r="B192" s="505"/>
      <c r="C192" s="506"/>
      <c r="D192" s="504"/>
      <c r="E192" s="515"/>
      <c r="F192" s="177">
        <f t="shared" si="4"/>
        <v>0</v>
      </c>
      <c r="G192" t="str">
        <f>IF(IFERROR(IF(Str_TypeDonneesCpt3=Cpt_Index,Tab_Compteur_3[[#This Row],[Index]]-E191,Tab_Compteur_3[[#This Row],[Quantité]])/Tab_Compteur_3[[#This Row],[Delta Jour]],"")&lt;0,"",IFERROR(IF(Str_TypeDonneesCpt3=Cpt_Index,Tab_Compteur_3[[#This Row],[Index]]-E191,Tab_Compteur_3[[#This Row],[Quantité]])/Tab_Compteur_3[[#This Row],[Delta Jour]],""))</f>
        <v/>
      </c>
      <c r="H192" s="177" t="str">
        <f>IFERROR(Tab_Compteur_3[[#This Row],[Montant]]/Tab_Compteur_3[[#This Row],[Delta Jour]],"")</f>
        <v/>
      </c>
      <c r="I192" s="188" t="str">
        <f>IF(SUM(Tab_Compteur_3[[#This Row],[Quantité]],Tab_Compteur_3[[#This Row],[Index]])&lt;=0,"",G192)</f>
        <v/>
      </c>
      <c r="J192" s="185"/>
      <c r="K192" s="36"/>
      <c r="L192" s="36"/>
      <c r="M192" s="36"/>
    </row>
    <row r="193" spans="1:13">
      <c r="A193" s="53">
        <f t="shared" si="5"/>
        <v>1</v>
      </c>
      <c r="B193" s="505"/>
      <c r="C193" s="506"/>
      <c r="D193" s="504"/>
      <c r="E193" s="515"/>
      <c r="F193" s="177">
        <f t="shared" si="4"/>
        <v>0</v>
      </c>
      <c r="G193" t="str">
        <f>IF(IFERROR(IF(Str_TypeDonneesCpt3=Cpt_Index,Tab_Compteur_3[[#This Row],[Index]]-E192,Tab_Compteur_3[[#This Row],[Quantité]])/Tab_Compteur_3[[#This Row],[Delta Jour]],"")&lt;0,"",IFERROR(IF(Str_TypeDonneesCpt3=Cpt_Index,Tab_Compteur_3[[#This Row],[Index]]-E192,Tab_Compteur_3[[#This Row],[Quantité]])/Tab_Compteur_3[[#This Row],[Delta Jour]],""))</f>
        <v/>
      </c>
      <c r="H193" s="177" t="str">
        <f>IFERROR(Tab_Compteur_3[[#This Row],[Montant]]/Tab_Compteur_3[[#This Row],[Delta Jour]],"")</f>
        <v/>
      </c>
      <c r="I193" s="188" t="str">
        <f>IF(SUM(Tab_Compteur_3[[#This Row],[Quantité]],Tab_Compteur_3[[#This Row],[Index]])&lt;=0,"",G193)</f>
        <v/>
      </c>
      <c r="J193" s="185"/>
      <c r="K193" s="36"/>
      <c r="L193" s="36"/>
      <c r="M193" s="36"/>
    </row>
    <row r="194" spans="1:13">
      <c r="A194" s="53">
        <f t="shared" si="5"/>
        <v>1</v>
      </c>
      <c r="B194" s="505"/>
      <c r="C194" s="506"/>
      <c r="D194" s="504"/>
      <c r="E194" s="515"/>
      <c r="F194" s="177">
        <f t="shared" si="4"/>
        <v>0</v>
      </c>
      <c r="G194" t="str">
        <f>IF(IFERROR(IF(Str_TypeDonneesCpt3=Cpt_Index,Tab_Compteur_3[[#This Row],[Index]]-E193,Tab_Compteur_3[[#This Row],[Quantité]])/Tab_Compteur_3[[#This Row],[Delta Jour]],"")&lt;0,"",IFERROR(IF(Str_TypeDonneesCpt3=Cpt_Index,Tab_Compteur_3[[#This Row],[Index]]-E193,Tab_Compteur_3[[#This Row],[Quantité]])/Tab_Compteur_3[[#This Row],[Delta Jour]],""))</f>
        <v/>
      </c>
      <c r="H194" s="177" t="str">
        <f>IFERROR(Tab_Compteur_3[[#This Row],[Montant]]/Tab_Compteur_3[[#This Row],[Delta Jour]],"")</f>
        <v/>
      </c>
      <c r="I194" s="188" t="str">
        <f>IF(SUM(Tab_Compteur_3[[#This Row],[Quantité]],Tab_Compteur_3[[#This Row],[Index]])&lt;=0,"",G194)</f>
        <v/>
      </c>
      <c r="J194" s="185"/>
      <c r="K194" s="36"/>
      <c r="L194" s="36"/>
      <c r="M194" s="36"/>
    </row>
    <row r="195" spans="1:13">
      <c r="A195" s="53">
        <f t="shared" si="5"/>
        <v>1</v>
      </c>
      <c r="B195" s="505"/>
      <c r="C195" s="506"/>
      <c r="D195" s="504"/>
      <c r="E195" s="515"/>
      <c r="F195" s="177">
        <f t="shared" ref="F195:F243" si="6">IFERROR(B195-A195+1,"")</f>
        <v>0</v>
      </c>
      <c r="G195" t="str">
        <f>IF(IFERROR(IF(Str_TypeDonneesCpt3=Cpt_Index,Tab_Compteur_3[[#This Row],[Index]]-E194,Tab_Compteur_3[[#This Row],[Quantité]])/Tab_Compteur_3[[#This Row],[Delta Jour]],"")&lt;0,"",IFERROR(IF(Str_TypeDonneesCpt3=Cpt_Index,Tab_Compteur_3[[#This Row],[Index]]-E194,Tab_Compteur_3[[#This Row],[Quantité]])/Tab_Compteur_3[[#This Row],[Delta Jour]],""))</f>
        <v/>
      </c>
      <c r="H195" s="177" t="str">
        <f>IFERROR(Tab_Compteur_3[[#This Row],[Montant]]/Tab_Compteur_3[[#This Row],[Delta Jour]],"")</f>
        <v/>
      </c>
      <c r="I195" s="188" t="str">
        <f>IF(SUM(Tab_Compteur_3[[#This Row],[Quantité]],Tab_Compteur_3[[#This Row],[Index]])&lt;=0,"",G195)</f>
        <v/>
      </c>
      <c r="J195" s="185"/>
      <c r="K195" s="36"/>
      <c r="L195" s="36"/>
      <c r="M195" s="36"/>
    </row>
    <row r="196" spans="1:13">
      <c r="A196" s="53">
        <f t="shared" si="5"/>
        <v>1</v>
      </c>
      <c r="B196" s="505"/>
      <c r="C196" s="506"/>
      <c r="D196" s="504"/>
      <c r="E196" s="515"/>
      <c r="F196" s="177">
        <f t="shared" si="6"/>
        <v>0</v>
      </c>
      <c r="G196" t="str">
        <f>IF(IFERROR(IF(Str_TypeDonneesCpt3=Cpt_Index,Tab_Compteur_3[[#This Row],[Index]]-E195,Tab_Compteur_3[[#This Row],[Quantité]])/Tab_Compteur_3[[#This Row],[Delta Jour]],"")&lt;0,"",IFERROR(IF(Str_TypeDonneesCpt3=Cpt_Index,Tab_Compteur_3[[#This Row],[Index]]-E195,Tab_Compteur_3[[#This Row],[Quantité]])/Tab_Compteur_3[[#This Row],[Delta Jour]],""))</f>
        <v/>
      </c>
      <c r="H196" s="177" t="str">
        <f>IFERROR(Tab_Compteur_3[[#This Row],[Montant]]/Tab_Compteur_3[[#This Row],[Delta Jour]],"")</f>
        <v/>
      </c>
      <c r="I196" s="188" t="str">
        <f>IF(SUM(Tab_Compteur_3[[#This Row],[Quantité]],Tab_Compteur_3[[#This Row],[Index]])&lt;=0,"",G196)</f>
        <v/>
      </c>
      <c r="J196" s="185"/>
      <c r="K196" s="36"/>
      <c r="L196" s="36"/>
      <c r="M196" s="36"/>
    </row>
    <row r="197" spans="1:13">
      <c r="A197" s="53">
        <f t="shared" si="5"/>
        <v>1</v>
      </c>
      <c r="B197" s="505"/>
      <c r="C197" s="506"/>
      <c r="D197" s="504"/>
      <c r="E197" s="515"/>
      <c r="F197" s="177">
        <f t="shared" si="6"/>
        <v>0</v>
      </c>
      <c r="G197" t="str">
        <f>IF(IFERROR(IF(Str_TypeDonneesCpt3=Cpt_Index,Tab_Compteur_3[[#This Row],[Index]]-E196,Tab_Compteur_3[[#This Row],[Quantité]])/Tab_Compteur_3[[#This Row],[Delta Jour]],"")&lt;0,"",IFERROR(IF(Str_TypeDonneesCpt3=Cpt_Index,Tab_Compteur_3[[#This Row],[Index]]-E196,Tab_Compteur_3[[#This Row],[Quantité]])/Tab_Compteur_3[[#This Row],[Delta Jour]],""))</f>
        <v/>
      </c>
      <c r="H197" s="177" t="str">
        <f>IFERROR(Tab_Compteur_3[[#This Row],[Montant]]/Tab_Compteur_3[[#This Row],[Delta Jour]],"")</f>
        <v/>
      </c>
      <c r="I197" s="188" t="str">
        <f>IF(SUM(Tab_Compteur_3[[#This Row],[Quantité]],Tab_Compteur_3[[#This Row],[Index]])&lt;=0,"",G197)</f>
        <v/>
      </c>
      <c r="J197" s="185"/>
      <c r="K197" s="36"/>
      <c r="L197" s="36"/>
      <c r="M197" s="36"/>
    </row>
    <row r="198" spans="1:13">
      <c r="A198" s="53">
        <f t="shared" ref="A198:A243" si="7">IFERROR(B197+1,0)</f>
        <v>1</v>
      </c>
      <c r="B198" s="505"/>
      <c r="C198" s="506"/>
      <c r="D198" s="504"/>
      <c r="E198" s="515"/>
      <c r="F198" s="177">
        <f t="shared" si="6"/>
        <v>0</v>
      </c>
      <c r="G198" t="str">
        <f>IF(IFERROR(IF(Str_TypeDonneesCpt3=Cpt_Index,Tab_Compteur_3[[#This Row],[Index]]-E197,Tab_Compteur_3[[#This Row],[Quantité]])/Tab_Compteur_3[[#This Row],[Delta Jour]],"")&lt;0,"",IFERROR(IF(Str_TypeDonneesCpt3=Cpt_Index,Tab_Compteur_3[[#This Row],[Index]]-E197,Tab_Compteur_3[[#This Row],[Quantité]])/Tab_Compteur_3[[#This Row],[Delta Jour]],""))</f>
        <v/>
      </c>
      <c r="H198" s="177" t="str">
        <f>IFERROR(Tab_Compteur_3[[#This Row],[Montant]]/Tab_Compteur_3[[#This Row],[Delta Jour]],"")</f>
        <v/>
      </c>
      <c r="I198" s="188" t="str">
        <f>IF(SUM(Tab_Compteur_3[[#This Row],[Quantité]],Tab_Compteur_3[[#This Row],[Index]])&lt;=0,"",G198)</f>
        <v/>
      </c>
      <c r="J198" s="185"/>
      <c r="K198" s="36"/>
      <c r="L198" s="36"/>
      <c r="M198" s="36"/>
    </row>
    <row r="199" spans="1:13">
      <c r="A199" s="53">
        <f t="shared" si="7"/>
        <v>1</v>
      </c>
      <c r="B199" s="505"/>
      <c r="C199" s="506"/>
      <c r="D199" s="504"/>
      <c r="E199" s="515"/>
      <c r="F199" s="177">
        <f t="shared" si="6"/>
        <v>0</v>
      </c>
      <c r="G199" t="str">
        <f>IF(IFERROR(IF(Str_TypeDonneesCpt3=Cpt_Index,Tab_Compteur_3[[#This Row],[Index]]-E198,Tab_Compteur_3[[#This Row],[Quantité]])/Tab_Compteur_3[[#This Row],[Delta Jour]],"")&lt;0,"",IFERROR(IF(Str_TypeDonneesCpt3=Cpt_Index,Tab_Compteur_3[[#This Row],[Index]]-E198,Tab_Compteur_3[[#This Row],[Quantité]])/Tab_Compteur_3[[#This Row],[Delta Jour]],""))</f>
        <v/>
      </c>
      <c r="H199" s="177" t="str">
        <f>IFERROR(Tab_Compteur_3[[#This Row],[Montant]]/Tab_Compteur_3[[#This Row],[Delta Jour]],"")</f>
        <v/>
      </c>
      <c r="I199" s="188" t="str">
        <f>IF(SUM(Tab_Compteur_3[[#This Row],[Quantité]],Tab_Compteur_3[[#This Row],[Index]])&lt;=0,"",G199)</f>
        <v/>
      </c>
      <c r="J199" s="185"/>
      <c r="K199" s="36"/>
      <c r="L199" s="36"/>
      <c r="M199" s="36"/>
    </row>
    <row r="200" spans="1:13">
      <c r="A200" s="53">
        <f t="shared" si="7"/>
        <v>1</v>
      </c>
      <c r="B200" s="505"/>
      <c r="C200" s="506"/>
      <c r="D200" s="504"/>
      <c r="E200" s="515"/>
      <c r="F200" s="177">
        <f t="shared" si="6"/>
        <v>0</v>
      </c>
      <c r="G200" t="str">
        <f>IF(IFERROR(IF(Str_TypeDonneesCpt3=Cpt_Index,Tab_Compteur_3[[#This Row],[Index]]-E199,Tab_Compteur_3[[#This Row],[Quantité]])/Tab_Compteur_3[[#This Row],[Delta Jour]],"")&lt;0,"",IFERROR(IF(Str_TypeDonneesCpt3=Cpt_Index,Tab_Compteur_3[[#This Row],[Index]]-E199,Tab_Compteur_3[[#This Row],[Quantité]])/Tab_Compteur_3[[#This Row],[Delta Jour]],""))</f>
        <v/>
      </c>
      <c r="H200" s="177" t="str">
        <f>IFERROR(Tab_Compteur_3[[#This Row],[Montant]]/Tab_Compteur_3[[#This Row],[Delta Jour]],"")</f>
        <v/>
      </c>
      <c r="I200" s="188" t="str">
        <f>IF(SUM(Tab_Compteur_3[[#This Row],[Quantité]],Tab_Compteur_3[[#This Row],[Index]])&lt;=0,"",G200)</f>
        <v/>
      </c>
      <c r="J200" s="185"/>
      <c r="K200" s="36"/>
      <c r="L200" s="36"/>
      <c r="M200" s="36"/>
    </row>
    <row r="201" spans="1:13">
      <c r="A201" s="53">
        <f t="shared" si="7"/>
        <v>1</v>
      </c>
      <c r="B201" s="505"/>
      <c r="C201" s="506"/>
      <c r="D201" s="504"/>
      <c r="E201" s="515"/>
      <c r="F201" s="177">
        <f t="shared" si="6"/>
        <v>0</v>
      </c>
      <c r="G201" t="str">
        <f>IF(IFERROR(IF(Str_TypeDonneesCpt3=Cpt_Index,Tab_Compteur_3[[#This Row],[Index]]-E200,Tab_Compteur_3[[#This Row],[Quantité]])/Tab_Compteur_3[[#This Row],[Delta Jour]],"")&lt;0,"",IFERROR(IF(Str_TypeDonneesCpt3=Cpt_Index,Tab_Compteur_3[[#This Row],[Index]]-E200,Tab_Compteur_3[[#This Row],[Quantité]])/Tab_Compteur_3[[#This Row],[Delta Jour]],""))</f>
        <v/>
      </c>
      <c r="H201" s="177" t="str">
        <f>IFERROR(Tab_Compteur_3[[#This Row],[Montant]]/Tab_Compteur_3[[#This Row],[Delta Jour]],"")</f>
        <v/>
      </c>
      <c r="I201" s="188" t="str">
        <f>IF(SUM(Tab_Compteur_3[[#This Row],[Quantité]],Tab_Compteur_3[[#This Row],[Index]])&lt;=0,"",G201)</f>
        <v/>
      </c>
      <c r="J201" s="185"/>
      <c r="K201" s="36"/>
      <c r="L201" s="36"/>
      <c r="M201" s="36"/>
    </row>
    <row r="202" spans="1:13">
      <c r="A202" s="53">
        <f t="shared" si="7"/>
        <v>1</v>
      </c>
      <c r="B202" s="505"/>
      <c r="C202" s="506"/>
      <c r="D202" s="504"/>
      <c r="E202" s="515"/>
      <c r="F202" s="177">
        <f t="shared" si="6"/>
        <v>0</v>
      </c>
      <c r="G202" t="str">
        <f>IF(IFERROR(IF(Str_TypeDonneesCpt3=Cpt_Index,Tab_Compteur_3[[#This Row],[Index]]-E201,Tab_Compteur_3[[#This Row],[Quantité]])/Tab_Compteur_3[[#This Row],[Delta Jour]],"")&lt;0,"",IFERROR(IF(Str_TypeDonneesCpt3=Cpt_Index,Tab_Compteur_3[[#This Row],[Index]]-E201,Tab_Compteur_3[[#This Row],[Quantité]])/Tab_Compteur_3[[#This Row],[Delta Jour]],""))</f>
        <v/>
      </c>
      <c r="H202" s="177" t="str">
        <f>IFERROR(Tab_Compteur_3[[#This Row],[Montant]]/Tab_Compteur_3[[#This Row],[Delta Jour]],"")</f>
        <v/>
      </c>
      <c r="I202" s="188" t="str">
        <f>IF(SUM(Tab_Compteur_3[[#This Row],[Quantité]],Tab_Compteur_3[[#This Row],[Index]])&lt;=0,"",G202)</f>
        <v/>
      </c>
      <c r="J202" s="185"/>
      <c r="K202" s="36"/>
      <c r="L202" s="36"/>
      <c r="M202" s="36"/>
    </row>
    <row r="203" spans="1:13">
      <c r="A203" s="53">
        <f t="shared" si="7"/>
        <v>1</v>
      </c>
      <c r="B203" s="505"/>
      <c r="C203" s="506"/>
      <c r="D203" s="504"/>
      <c r="E203" s="515"/>
      <c r="F203" s="177">
        <f t="shared" si="6"/>
        <v>0</v>
      </c>
      <c r="G203" t="str">
        <f>IF(IFERROR(IF(Str_TypeDonneesCpt3=Cpt_Index,Tab_Compteur_3[[#This Row],[Index]]-E202,Tab_Compteur_3[[#This Row],[Quantité]])/Tab_Compteur_3[[#This Row],[Delta Jour]],"")&lt;0,"",IFERROR(IF(Str_TypeDonneesCpt3=Cpt_Index,Tab_Compteur_3[[#This Row],[Index]]-E202,Tab_Compteur_3[[#This Row],[Quantité]])/Tab_Compteur_3[[#This Row],[Delta Jour]],""))</f>
        <v/>
      </c>
      <c r="H203" s="177" t="str">
        <f>IFERROR(Tab_Compteur_3[[#This Row],[Montant]]/Tab_Compteur_3[[#This Row],[Delta Jour]],"")</f>
        <v/>
      </c>
      <c r="I203" s="188" t="str">
        <f>IF(SUM(Tab_Compteur_3[[#This Row],[Quantité]],Tab_Compteur_3[[#This Row],[Index]])&lt;=0,"",G203)</f>
        <v/>
      </c>
      <c r="J203" s="185"/>
      <c r="K203" s="36"/>
      <c r="L203" s="36"/>
      <c r="M203" s="36"/>
    </row>
    <row r="204" spans="1:13">
      <c r="A204" s="53">
        <f t="shared" si="7"/>
        <v>1</v>
      </c>
      <c r="B204" s="505"/>
      <c r="C204" s="506"/>
      <c r="D204" s="504"/>
      <c r="E204" s="515"/>
      <c r="F204" s="177">
        <f t="shared" si="6"/>
        <v>0</v>
      </c>
      <c r="G204" t="str">
        <f>IF(IFERROR(IF(Str_TypeDonneesCpt3=Cpt_Index,Tab_Compteur_3[[#This Row],[Index]]-E203,Tab_Compteur_3[[#This Row],[Quantité]])/Tab_Compteur_3[[#This Row],[Delta Jour]],"")&lt;0,"",IFERROR(IF(Str_TypeDonneesCpt3=Cpt_Index,Tab_Compteur_3[[#This Row],[Index]]-E203,Tab_Compteur_3[[#This Row],[Quantité]])/Tab_Compteur_3[[#This Row],[Delta Jour]],""))</f>
        <v/>
      </c>
      <c r="H204" s="177" t="str">
        <f>IFERROR(Tab_Compteur_3[[#This Row],[Montant]]/Tab_Compteur_3[[#This Row],[Delta Jour]],"")</f>
        <v/>
      </c>
      <c r="I204" s="188" t="str">
        <f>IF(SUM(Tab_Compteur_3[[#This Row],[Quantité]],Tab_Compteur_3[[#This Row],[Index]])&lt;=0,"",G204)</f>
        <v/>
      </c>
      <c r="J204" s="185"/>
      <c r="K204" s="36"/>
      <c r="L204" s="36"/>
      <c r="M204" s="36"/>
    </row>
    <row r="205" spans="1:13">
      <c r="A205" s="53">
        <f t="shared" si="7"/>
        <v>1</v>
      </c>
      <c r="B205" s="505"/>
      <c r="C205" s="506"/>
      <c r="D205" s="504"/>
      <c r="E205" s="515"/>
      <c r="F205" s="177">
        <f t="shared" si="6"/>
        <v>0</v>
      </c>
      <c r="G205" t="str">
        <f>IF(IFERROR(IF(Str_TypeDonneesCpt3=Cpt_Index,Tab_Compteur_3[[#This Row],[Index]]-E204,Tab_Compteur_3[[#This Row],[Quantité]])/Tab_Compteur_3[[#This Row],[Delta Jour]],"")&lt;0,"",IFERROR(IF(Str_TypeDonneesCpt3=Cpt_Index,Tab_Compteur_3[[#This Row],[Index]]-E204,Tab_Compteur_3[[#This Row],[Quantité]])/Tab_Compteur_3[[#This Row],[Delta Jour]],""))</f>
        <v/>
      </c>
      <c r="H205" s="177" t="str">
        <f>IFERROR(Tab_Compteur_3[[#This Row],[Montant]]/Tab_Compteur_3[[#This Row],[Delta Jour]],"")</f>
        <v/>
      </c>
      <c r="I205" s="188" t="str">
        <f>IF(SUM(Tab_Compteur_3[[#This Row],[Quantité]],Tab_Compteur_3[[#This Row],[Index]])&lt;=0,"",G205)</f>
        <v/>
      </c>
      <c r="J205" s="185"/>
      <c r="K205" s="36"/>
      <c r="L205" s="36"/>
      <c r="M205" s="36"/>
    </row>
    <row r="206" spans="1:13">
      <c r="A206" s="53">
        <f t="shared" si="7"/>
        <v>1</v>
      </c>
      <c r="B206" s="505"/>
      <c r="C206" s="506"/>
      <c r="D206" s="504"/>
      <c r="E206" s="515"/>
      <c r="F206" s="177">
        <f t="shared" si="6"/>
        <v>0</v>
      </c>
      <c r="G206" t="str">
        <f>IF(IFERROR(IF(Str_TypeDonneesCpt3=Cpt_Index,Tab_Compteur_3[[#This Row],[Index]]-E205,Tab_Compteur_3[[#This Row],[Quantité]])/Tab_Compteur_3[[#This Row],[Delta Jour]],"")&lt;0,"",IFERROR(IF(Str_TypeDonneesCpt3=Cpt_Index,Tab_Compteur_3[[#This Row],[Index]]-E205,Tab_Compteur_3[[#This Row],[Quantité]])/Tab_Compteur_3[[#This Row],[Delta Jour]],""))</f>
        <v/>
      </c>
      <c r="H206" s="177" t="str">
        <f>IFERROR(Tab_Compteur_3[[#This Row],[Montant]]/Tab_Compteur_3[[#This Row],[Delta Jour]],"")</f>
        <v/>
      </c>
      <c r="I206" s="188" t="str">
        <f>IF(SUM(Tab_Compteur_3[[#This Row],[Quantité]],Tab_Compteur_3[[#This Row],[Index]])&lt;=0,"",G206)</f>
        <v/>
      </c>
      <c r="J206" s="185"/>
      <c r="K206" s="36"/>
      <c r="L206" s="36"/>
      <c r="M206" s="36"/>
    </row>
    <row r="207" spans="1:13">
      <c r="A207" s="53">
        <f t="shared" si="7"/>
        <v>1</v>
      </c>
      <c r="B207" s="505"/>
      <c r="C207" s="506"/>
      <c r="D207" s="504"/>
      <c r="E207" s="515"/>
      <c r="F207" s="177">
        <f t="shared" si="6"/>
        <v>0</v>
      </c>
      <c r="G207" t="str">
        <f>IF(IFERROR(IF(Str_TypeDonneesCpt3=Cpt_Index,Tab_Compteur_3[[#This Row],[Index]]-E206,Tab_Compteur_3[[#This Row],[Quantité]])/Tab_Compteur_3[[#This Row],[Delta Jour]],"")&lt;0,"",IFERROR(IF(Str_TypeDonneesCpt3=Cpt_Index,Tab_Compteur_3[[#This Row],[Index]]-E206,Tab_Compteur_3[[#This Row],[Quantité]])/Tab_Compteur_3[[#This Row],[Delta Jour]],""))</f>
        <v/>
      </c>
      <c r="H207" s="177" t="str">
        <f>IFERROR(Tab_Compteur_3[[#This Row],[Montant]]/Tab_Compteur_3[[#This Row],[Delta Jour]],"")</f>
        <v/>
      </c>
      <c r="I207" s="188" t="str">
        <f>IF(SUM(Tab_Compteur_3[[#This Row],[Quantité]],Tab_Compteur_3[[#This Row],[Index]])&lt;=0,"",G207)</f>
        <v/>
      </c>
      <c r="J207" s="185"/>
      <c r="K207" s="36"/>
      <c r="L207" s="36"/>
      <c r="M207" s="36"/>
    </row>
    <row r="208" spans="1:13">
      <c r="A208" s="53">
        <f t="shared" si="7"/>
        <v>1</v>
      </c>
      <c r="B208" s="505"/>
      <c r="C208" s="506"/>
      <c r="D208" s="504"/>
      <c r="E208" s="515"/>
      <c r="F208" s="177">
        <f t="shared" si="6"/>
        <v>0</v>
      </c>
      <c r="G208" t="str">
        <f>IF(IFERROR(IF(Str_TypeDonneesCpt3=Cpt_Index,Tab_Compteur_3[[#This Row],[Index]]-E207,Tab_Compteur_3[[#This Row],[Quantité]])/Tab_Compteur_3[[#This Row],[Delta Jour]],"")&lt;0,"",IFERROR(IF(Str_TypeDonneesCpt3=Cpt_Index,Tab_Compteur_3[[#This Row],[Index]]-E207,Tab_Compteur_3[[#This Row],[Quantité]])/Tab_Compteur_3[[#This Row],[Delta Jour]],""))</f>
        <v/>
      </c>
      <c r="H208" s="177" t="str">
        <f>IFERROR(Tab_Compteur_3[[#This Row],[Montant]]/Tab_Compteur_3[[#This Row],[Delta Jour]],"")</f>
        <v/>
      </c>
      <c r="I208" s="188" t="str">
        <f>IF(SUM(Tab_Compteur_3[[#This Row],[Quantité]],Tab_Compteur_3[[#This Row],[Index]])&lt;=0,"",G208)</f>
        <v/>
      </c>
      <c r="J208" s="185"/>
      <c r="K208" s="36"/>
      <c r="L208" s="36"/>
      <c r="M208" s="36"/>
    </row>
    <row r="209" spans="1:13">
      <c r="A209" s="53">
        <f t="shared" si="7"/>
        <v>1</v>
      </c>
      <c r="B209" s="505"/>
      <c r="C209" s="506"/>
      <c r="D209" s="504"/>
      <c r="E209" s="515"/>
      <c r="F209" s="177">
        <f t="shared" si="6"/>
        <v>0</v>
      </c>
      <c r="G209" t="str">
        <f>IF(IFERROR(IF(Str_TypeDonneesCpt3=Cpt_Index,Tab_Compteur_3[[#This Row],[Index]]-E208,Tab_Compteur_3[[#This Row],[Quantité]])/Tab_Compteur_3[[#This Row],[Delta Jour]],"")&lt;0,"",IFERROR(IF(Str_TypeDonneesCpt3=Cpt_Index,Tab_Compteur_3[[#This Row],[Index]]-E208,Tab_Compteur_3[[#This Row],[Quantité]])/Tab_Compteur_3[[#This Row],[Delta Jour]],""))</f>
        <v/>
      </c>
      <c r="H209" s="177" t="str">
        <f>IFERROR(Tab_Compteur_3[[#This Row],[Montant]]/Tab_Compteur_3[[#This Row],[Delta Jour]],"")</f>
        <v/>
      </c>
      <c r="I209" s="188" t="str">
        <f>IF(SUM(Tab_Compteur_3[[#This Row],[Quantité]],Tab_Compteur_3[[#This Row],[Index]])&lt;=0,"",G209)</f>
        <v/>
      </c>
      <c r="J209" s="185"/>
      <c r="K209" s="36"/>
      <c r="L209" s="36"/>
      <c r="M209" s="36"/>
    </row>
    <row r="210" spans="1:13">
      <c r="A210" s="53">
        <f t="shared" si="7"/>
        <v>1</v>
      </c>
      <c r="B210" s="505"/>
      <c r="C210" s="506"/>
      <c r="D210" s="504"/>
      <c r="E210" s="515"/>
      <c r="F210" s="177">
        <f t="shared" si="6"/>
        <v>0</v>
      </c>
      <c r="G210" t="str">
        <f>IF(IFERROR(IF(Str_TypeDonneesCpt3=Cpt_Index,Tab_Compteur_3[[#This Row],[Index]]-E209,Tab_Compteur_3[[#This Row],[Quantité]])/Tab_Compteur_3[[#This Row],[Delta Jour]],"")&lt;0,"",IFERROR(IF(Str_TypeDonneesCpt3=Cpt_Index,Tab_Compteur_3[[#This Row],[Index]]-E209,Tab_Compteur_3[[#This Row],[Quantité]])/Tab_Compteur_3[[#This Row],[Delta Jour]],""))</f>
        <v/>
      </c>
      <c r="H210" s="177" t="str">
        <f>IFERROR(Tab_Compteur_3[[#This Row],[Montant]]/Tab_Compteur_3[[#This Row],[Delta Jour]],"")</f>
        <v/>
      </c>
      <c r="I210" s="188" t="str">
        <f>IF(SUM(Tab_Compteur_3[[#This Row],[Quantité]],Tab_Compteur_3[[#This Row],[Index]])&lt;=0,"",G210)</f>
        <v/>
      </c>
      <c r="J210" s="185"/>
      <c r="K210" s="36"/>
      <c r="L210" s="36"/>
      <c r="M210" s="36"/>
    </row>
    <row r="211" spans="1:13">
      <c r="A211" s="53">
        <f t="shared" si="7"/>
        <v>1</v>
      </c>
      <c r="B211" s="505"/>
      <c r="C211" s="506"/>
      <c r="D211" s="504"/>
      <c r="E211" s="515"/>
      <c r="F211" s="177">
        <f t="shared" si="6"/>
        <v>0</v>
      </c>
      <c r="G211" t="str">
        <f>IF(IFERROR(IF(Str_TypeDonneesCpt3=Cpt_Index,Tab_Compteur_3[[#This Row],[Index]]-E210,Tab_Compteur_3[[#This Row],[Quantité]])/Tab_Compteur_3[[#This Row],[Delta Jour]],"")&lt;0,"",IFERROR(IF(Str_TypeDonneesCpt3=Cpt_Index,Tab_Compteur_3[[#This Row],[Index]]-E210,Tab_Compteur_3[[#This Row],[Quantité]])/Tab_Compteur_3[[#This Row],[Delta Jour]],""))</f>
        <v/>
      </c>
      <c r="H211" s="177" t="str">
        <f>IFERROR(Tab_Compteur_3[[#This Row],[Montant]]/Tab_Compteur_3[[#This Row],[Delta Jour]],"")</f>
        <v/>
      </c>
      <c r="I211" s="188" t="str">
        <f>IF(SUM(Tab_Compteur_3[[#This Row],[Quantité]],Tab_Compteur_3[[#This Row],[Index]])&lt;=0,"",G211)</f>
        <v/>
      </c>
      <c r="J211" s="185"/>
      <c r="K211" s="36"/>
      <c r="L211" s="36"/>
      <c r="M211" s="36"/>
    </row>
    <row r="212" spans="1:13">
      <c r="A212" s="53">
        <f t="shared" si="7"/>
        <v>1</v>
      </c>
      <c r="B212" s="505"/>
      <c r="C212" s="506"/>
      <c r="D212" s="504"/>
      <c r="E212" s="515"/>
      <c r="F212" s="177">
        <f t="shared" si="6"/>
        <v>0</v>
      </c>
      <c r="G212" t="str">
        <f>IF(IFERROR(IF(Str_TypeDonneesCpt3=Cpt_Index,Tab_Compteur_3[[#This Row],[Index]]-E211,Tab_Compteur_3[[#This Row],[Quantité]])/Tab_Compteur_3[[#This Row],[Delta Jour]],"")&lt;0,"",IFERROR(IF(Str_TypeDonneesCpt3=Cpt_Index,Tab_Compteur_3[[#This Row],[Index]]-E211,Tab_Compteur_3[[#This Row],[Quantité]])/Tab_Compteur_3[[#This Row],[Delta Jour]],""))</f>
        <v/>
      </c>
      <c r="H212" s="177" t="str">
        <f>IFERROR(Tab_Compteur_3[[#This Row],[Montant]]/Tab_Compteur_3[[#This Row],[Delta Jour]],"")</f>
        <v/>
      </c>
      <c r="I212" s="188" t="str">
        <f>IF(SUM(Tab_Compteur_3[[#This Row],[Quantité]],Tab_Compteur_3[[#This Row],[Index]])&lt;=0,"",G212)</f>
        <v/>
      </c>
      <c r="J212" s="185"/>
      <c r="K212" s="36"/>
      <c r="L212" s="36"/>
      <c r="M212" s="36"/>
    </row>
    <row r="213" spans="1:13">
      <c r="A213" s="53">
        <f t="shared" si="7"/>
        <v>1</v>
      </c>
      <c r="B213" s="505"/>
      <c r="C213" s="506"/>
      <c r="D213" s="504"/>
      <c r="E213" s="515"/>
      <c r="F213" s="177">
        <f t="shared" si="6"/>
        <v>0</v>
      </c>
      <c r="G213" t="str">
        <f>IF(IFERROR(IF(Str_TypeDonneesCpt3=Cpt_Index,Tab_Compteur_3[[#This Row],[Index]]-E212,Tab_Compteur_3[[#This Row],[Quantité]])/Tab_Compteur_3[[#This Row],[Delta Jour]],"")&lt;0,"",IFERROR(IF(Str_TypeDonneesCpt3=Cpt_Index,Tab_Compteur_3[[#This Row],[Index]]-E212,Tab_Compteur_3[[#This Row],[Quantité]])/Tab_Compteur_3[[#This Row],[Delta Jour]],""))</f>
        <v/>
      </c>
      <c r="H213" s="177" t="str">
        <f>IFERROR(Tab_Compteur_3[[#This Row],[Montant]]/Tab_Compteur_3[[#This Row],[Delta Jour]],"")</f>
        <v/>
      </c>
      <c r="I213" s="188" t="str">
        <f>IF(SUM(Tab_Compteur_3[[#This Row],[Quantité]],Tab_Compteur_3[[#This Row],[Index]])&lt;=0,"",G213)</f>
        <v/>
      </c>
      <c r="J213" s="185"/>
      <c r="K213" s="36"/>
      <c r="L213" s="36"/>
      <c r="M213" s="36"/>
    </row>
    <row r="214" spans="1:13">
      <c r="A214" s="53">
        <f t="shared" si="7"/>
        <v>1</v>
      </c>
      <c r="B214" s="505"/>
      <c r="C214" s="506"/>
      <c r="D214" s="504"/>
      <c r="E214" s="515"/>
      <c r="F214" s="177">
        <f t="shared" si="6"/>
        <v>0</v>
      </c>
      <c r="G214" t="str">
        <f>IF(IFERROR(IF(Str_TypeDonneesCpt3=Cpt_Index,Tab_Compteur_3[[#This Row],[Index]]-E213,Tab_Compteur_3[[#This Row],[Quantité]])/Tab_Compteur_3[[#This Row],[Delta Jour]],"")&lt;0,"",IFERROR(IF(Str_TypeDonneesCpt3=Cpt_Index,Tab_Compteur_3[[#This Row],[Index]]-E213,Tab_Compteur_3[[#This Row],[Quantité]])/Tab_Compteur_3[[#This Row],[Delta Jour]],""))</f>
        <v/>
      </c>
      <c r="H214" s="177" t="str">
        <f>IFERROR(Tab_Compteur_3[[#This Row],[Montant]]/Tab_Compteur_3[[#This Row],[Delta Jour]],"")</f>
        <v/>
      </c>
      <c r="I214" s="188" t="str">
        <f>IF(SUM(Tab_Compteur_3[[#This Row],[Quantité]],Tab_Compteur_3[[#This Row],[Index]])&lt;=0,"",G214)</f>
        <v/>
      </c>
      <c r="J214" s="185"/>
      <c r="K214" s="36"/>
      <c r="L214" s="36"/>
      <c r="M214" s="36"/>
    </row>
    <row r="215" spans="1:13">
      <c r="A215" s="53">
        <f t="shared" si="7"/>
        <v>1</v>
      </c>
      <c r="B215" s="505"/>
      <c r="C215" s="506"/>
      <c r="D215" s="504"/>
      <c r="E215" s="515"/>
      <c r="F215" s="177">
        <f t="shared" si="6"/>
        <v>0</v>
      </c>
      <c r="G215" t="str">
        <f>IF(IFERROR(IF(Str_TypeDonneesCpt3=Cpt_Index,Tab_Compteur_3[[#This Row],[Index]]-E214,Tab_Compteur_3[[#This Row],[Quantité]])/Tab_Compteur_3[[#This Row],[Delta Jour]],"")&lt;0,"",IFERROR(IF(Str_TypeDonneesCpt3=Cpt_Index,Tab_Compteur_3[[#This Row],[Index]]-E214,Tab_Compteur_3[[#This Row],[Quantité]])/Tab_Compteur_3[[#This Row],[Delta Jour]],""))</f>
        <v/>
      </c>
      <c r="H215" s="177" t="str">
        <f>IFERROR(Tab_Compteur_3[[#This Row],[Montant]]/Tab_Compteur_3[[#This Row],[Delta Jour]],"")</f>
        <v/>
      </c>
      <c r="I215" s="188" t="str">
        <f>IF(SUM(Tab_Compteur_3[[#This Row],[Quantité]],Tab_Compteur_3[[#This Row],[Index]])&lt;=0,"",G215)</f>
        <v/>
      </c>
      <c r="J215" s="185"/>
      <c r="K215" s="36"/>
      <c r="L215" s="36"/>
      <c r="M215" s="36"/>
    </row>
    <row r="216" spans="1:13">
      <c r="A216" s="53">
        <f t="shared" si="7"/>
        <v>1</v>
      </c>
      <c r="B216" s="505"/>
      <c r="C216" s="506"/>
      <c r="D216" s="504"/>
      <c r="E216" s="515"/>
      <c r="F216" s="177">
        <f t="shared" si="6"/>
        <v>0</v>
      </c>
      <c r="G216" t="str">
        <f>IF(IFERROR(IF(Str_TypeDonneesCpt3=Cpt_Index,Tab_Compteur_3[[#This Row],[Index]]-E215,Tab_Compteur_3[[#This Row],[Quantité]])/Tab_Compteur_3[[#This Row],[Delta Jour]],"")&lt;0,"",IFERROR(IF(Str_TypeDonneesCpt3=Cpt_Index,Tab_Compteur_3[[#This Row],[Index]]-E215,Tab_Compteur_3[[#This Row],[Quantité]])/Tab_Compteur_3[[#This Row],[Delta Jour]],""))</f>
        <v/>
      </c>
      <c r="H216" s="177" t="str">
        <f>IFERROR(Tab_Compteur_3[[#This Row],[Montant]]/Tab_Compteur_3[[#This Row],[Delta Jour]],"")</f>
        <v/>
      </c>
      <c r="I216" s="188" t="str">
        <f>IF(SUM(Tab_Compteur_3[[#This Row],[Quantité]],Tab_Compteur_3[[#This Row],[Index]])&lt;=0,"",G216)</f>
        <v/>
      </c>
      <c r="J216" s="185"/>
      <c r="K216" s="36"/>
      <c r="L216" s="36"/>
      <c r="M216" s="36"/>
    </row>
    <row r="217" spans="1:13">
      <c r="A217" s="53">
        <f t="shared" si="7"/>
        <v>1</v>
      </c>
      <c r="B217" s="505"/>
      <c r="C217" s="506"/>
      <c r="D217" s="504"/>
      <c r="E217" s="515"/>
      <c r="F217" s="177">
        <f t="shared" si="6"/>
        <v>0</v>
      </c>
      <c r="G217" t="str">
        <f>IF(IFERROR(IF(Str_TypeDonneesCpt3=Cpt_Index,Tab_Compteur_3[[#This Row],[Index]]-E216,Tab_Compteur_3[[#This Row],[Quantité]])/Tab_Compteur_3[[#This Row],[Delta Jour]],"")&lt;0,"",IFERROR(IF(Str_TypeDonneesCpt3=Cpt_Index,Tab_Compteur_3[[#This Row],[Index]]-E216,Tab_Compteur_3[[#This Row],[Quantité]])/Tab_Compteur_3[[#This Row],[Delta Jour]],""))</f>
        <v/>
      </c>
      <c r="H217" s="177" t="str">
        <f>IFERROR(Tab_Compteur_3[[#This Row],[Montant]]/Tab_Compteur_3[[#This Row],[Delta Jour]],"")</f>
        <v/>
      </c>
      <c r="I217" s="188" t="str">
        <f>IF(SUM(Tab_Compteur_3[[#This Row],[Quantité]],Tab_Compteur_3[[#This Row],[Index]])&lt;=0,"",G217)</f>
        <v/>
      </c>
      <c r="J217" s="185"/>
      <c r="K217" s="36"/>
      <c r="L217" s="36"/>
      <c r="M217" s="36"/>
    </row>
    <row r="218" spans="1:13">
      <c r="A218" s="53">
        <f t="shared" si="7"/>
        <v>1</v>
      </c>
      <c r="B218" s="505"/>
      <c r="C218" s="506"/>
      <c r="D218" s="504"/>
      <c r="E218" s="515"/>
      <c r="F218" s="177">
        <f t="shared" si="6"/>
        <v>0</v>
      </c>
      <c r="G218" t="str">
        <f>IF(IFERROR(IF(Str_TypeDonneesCpt3=Cpt_Index,Tab_Compteur_3[[#This Row],[Index]]-E217,Tab_Compteur_3[[#This Row],[Quantité]])/Tab_Compteur_3[[#This Row],[Delta Jour]],"")&lt;0,"",IFERROR(IF(Str_TypeDonneesCpt3=Cpt_Index,Tab_Compteur_3[[#This Row],[Index]]-E217,Tab_Compteur_3[[#This Row],[Quantité]])/Tab_Compteur_3[[#This Row],[Delta Jour]],""))</f>
        <v/>
      </c>
      <c r="H218" s="177" t="str">
        <f>IFERROR(Tab_Compteur_3[[#This Row],[Montant]]/Tab_Compteur_3[[#This Row],[Delta Jour]],"")</f>
        <v/>
      </c>
      <c r="I218" s="188" t="str">
        <f>IF(SUM(Tab_Compteur_3[[#This Row],[Quantité]],Tab_Compteur_3[[#This Row],[Index]])&lt;=0,"",G218)</f>
        <v/>
      </c>
      <c r="J218" s="185"/>
      <c r="K218" s="36"/>
      <c r="L218" s="36"/>
      <c r="M218" s="36"/>
    </row>
    <row r="219" spans="1:13">
      <c r="A219" s="53">
        <f t="shared" si="7"/>
        <v>1</v>
      </c>
      <c r="B219" s="505"/>
      <c r="C219" s="506"/>
      <c r="D219" s="504"/>
      <c r="E219" s="515"/>
      <c r="F219" s="177">
        <f t="shared" si="6"/>
        <v>0</v>
      </c>
      <c r="G219" t="str">
        <f>IF(IFERROR(IF(Str_TypeDonneesCpt3=Cpt_Index,Tab_Compteur_3[[#This Row],[Index]]-E218,Tab_Compteur_3[[#This Row],[Quantité]])/Tab_Compteur_3[[#This Row],[Delta Jour]],"")&lt;0,"",IFERROR(IF(Str_TypeDonneesCpt3=Cpt_Index,Tab_Compteur_3[[#This Row],[Index]]-E218,Tab_Compteur_3[[#This Row],[Quantité]])/Tab_Compteur_3[[#This Row],[Delta Jour]],""))</f>
        <v/>
      </c>
      <c r="H219" s="177" t="str">
        <f>IFERROR(Tab_Compteur_3[[#This Row],[Montant]]/Tab_Compteur_3[[#This Row],[Delta Jour]],"")</f>
        <v/>
      </c>
      <c r="I219" s="188" t="str">
        <f>IF(SUM(Tab_Compteur_3[[#This Row],[Quantité]],Tab_Compteur_3[[#This Row],[Index]])&lt;=0,"",G219)</f>
        <v/>
      </c>
      <c r="J219" s="185"/>
      <c r="K219" s="36"/>
      <c r="L219" s="36"/>
      <c r="M219" s="36"/>
    </row>
    <row r="220" spans="1:13">
      <c r="A220" s="53">
        <f t="shared" si="7"/>
        <v>1</v>
      </c>
      <c r="B220" s="505"/>
      <c r="C220" s="506"/>
      <c r="D220" s="504"/>
      <c r="E220" s="515"/>
      <c r="F220" s="177">
        <f t="shared" si="6"/>
        <v>0</v>
      </c>
      <c r="G220" t="str">
        <f>IF(IFERROR(IF(Str_TypeDonneesCpt3=Cpt_Index,Tab_Compteur_3[[#This Row],[Index]]-E219,Tab_Compteur_3[[#This Row],[Quantité]])/Tab_Compteur_3[[#This Row],[Delta Jour]],"")&lt;0,"",IFERROR(IF(Str_TypeDonneesCpt3=Cpt_Index,Tab_Compteur_3[[#This Row],[Index]]-E219,Tab_Compteur_3[[#This Row],[Quantité]])/Tab_Compteur_3[[#This Row],[Delta Jour]],""))</f>
        <v/>
      </c>
      <c r="H220" s="177" t="str">
        <f>IFERROR(Tab_Compteur_3[[#This Row],[Montant]]/Tab_Compteur_3[[#This Row],[Delta Jour]],"")</f>
        <v/>
      </c>
      <c r="I220" s="188" t="str">
        <f>IF(SUM(Tab_Compteur_3[[#This Row],[Quantité]],Tab_Compteur_3[[#This Row],[Index]])&lt;=0,"",G220)</f>
        <v/>
      </c>
      <c r="J220" s="185"/>
      <c r="K220" s="36"/>
      <c r="L220" s="36"/>
      <c r="M220" s="36"/>
    </row>
    <row r="221" spans="1:13">
      <c r="A221" s="53">
        <f t="shared" si="7"/>
        <v>1</v>
      </c>
      <c r="B221" s="505"/>
      <c r="C221" s="506"/>
      <c r="D221" s="504"/>
      <c r="E221" s="515"/>
      <c r="F221" s="177">
        <f t="shared" si="6"/>
        <v>0</v>
      </c>
      <c r="G221" t="str">
        <f>IF(IFERROR(IF(Str_TypeDonneesCpt3=Cpt_Index,Tab_Compteur_3[[#This Row],[Index]]-E220,Tab_Compteur_3[[#This Row],[Quantité]])/Tab_Compteur_3[[#This Row],[Delta Jour]],"")&lt;0,"",IFERROR(IF(Str_TypeDonneesCpt3=Cpt_Index,Tab_Compteur_3[[#This Row],[Index]]-E220,Tab_Compteur_3[[#This Row],[Quantité]])/Tab_Compteur_3[[#This Row],[Delta Jour]],""))</f>
        <v/>
      </c>
      <c r="H221" s="177" t="str">
        <f>IFERROR(Tab_Compteur_3[[#This Row],[Montant]]/Tab_Compteur_3[[#This Row],[Delta Jour]],"")</f>
        <v/>
      </c>
      <c r="I221" s="188" t="str">
        <f>IF(SUM(Tab_Compteur_3[[#This Row],[Quantité]],Tab_Compteur_3[[#This Row],[Index]])&lt;=0,"",G221)</f>
        <v/>
      </c>
      <c r="J221" s="185"/>
      <c r="K221" s="36"/>
      <c r="L221" s="36"/>
      <c r="M221" s="36"/>
    </row>
    <row r="222" spans="1:13">
      <c r="A222" s="53">
        <f t="shared" si="7"/>
        <v>1</v>
      </c>
      <c r="B222" s="505"/>
      <c r="C222" s="506"/>
      <c r="D222" s="504"/>
      <c r="E222" s="515"/>
      <c r="F222" s="177">
        <f t="shared" si="6"/>
        <v>0</v>
      </c>
      <c r="G222" t="str">
        <f>IF(IFERROR(IF(Str_TypeDonneesCpt3=Cpt_Index,Tab_Compteur_3[[#This Row],[Index]]-E221,Tab_Compteur_3[[#This Row],[Quantité]])/Tab_Compteur_3[[#This Row],[Delta Jour]],"")&lt;0,"",IFERROR(IF(Str_TypeDonneesCpt3=Cpt_Index,Tab_Compteur_3[[#This Row],[Index]]-E221,Tab_Compteur_3[[#This Row],[Quantité]])/Tab_Compteur_3[[#This Row],[Delta Jour]],""))</f>
        <v/>
      </c>
      <c r="H222" s="177" t="str">
        <f>IFERROR(Tab_Compteur_3[[#This Row],[Montant]]/Tab_Compteur_3[[#This Row],[Delta Jour]],"")</f>
        <v/>
      </c>
      <c r="I222" s="188" t="str">
        <f>IF(SUM(Tab_Compteur_3[[#This Row],[Quantité]],Tab_Compteur_3[[#This Row],[Index]])&lt;=0,"",G222)</f>
        <v/>
      </c>
      <c r="J222" s="185"/>
      <c r="K222" s="36"/>
      <c r="L222" s="36"/>
      <c r="M222" s="36"/>
    </row>
    <row r="223" spans="1:13">
      <c r="A223" s="53">
        <f t="shared" si="7"/>
        <v>1</v>
      </c>
      <c r="B223" s="505"/>
      <c r="C223" s="506"/>
      <c r="D223" s="504"/>
      <c r="E223" s="515"/>
      <c r="F223" s="177">
        <f t="shared" si="6"/>
        <v>0</v>
      </c>
      <c r="G223" t="str">
        <f>IF(IFERROR(IF(Str_TypeDonneesCpt3=Cpt_Index,Tab_Compteur_3[[#This Row],[Index]]-E222,Tab_Compteur_3[[#This Row],[Quantité]])/Tab_Compteur_3[[#This Row],[Delta Jour]],"")&lt;0,"",IFERROR(IF(Str_TypeDonneesCpt3=Cpt_Index,Tab_Compteur_3[[#This Row],[Index]]-E222,Tab_Compteur_3[[#This Row],[Quantité]])/Tab_Compteur_3[[#This Row],[Delta Jour]],""))</f>
        <v/>
      </c>
      <c r="H223" s="177" t="str">
        <f>IFERROR(Tab_Compteur_3[[#This Row],[Montant]]/Tab_Compteur_3[[#This Row],[Delta Jour]],"")</f>
        <v/>
      </c>
      <c r="I223" s="188" t="str">
        <f>IF(SUM(Tab_Compteur_3[[#This Row],[Quantité]],Tab_Compteur_3[[#This Row],[Index]])&lt;=0,"",G223)</f>
        <v/>
      </c>
      <c r="J223" s="185"/>
      <c r="K223" s="36"/>
      <c r="L223" s="36"/>
      <c r="M223" s="36"/>
    </row>
    <row r="224" spans="1:13">
      <c r="A224" s="53">
        <f t="shared" si="7"/>
        <v>1</v>
      </c>
      <c r="B224" s="505"/>
      <c r="C224" s="506"/>
      <c r="D224" s="504"/>
      <c r="E224" s="515"/>
      <c r="F224" s="177">
        <f t="shared" si="6"/>
        <v>0</v>
      </c>
      <c r="G224" t="str">
        <f>IF(IFERROR(IF(Str_TypeDonneesCpt3=Cpt_Index,Tab_Compteur_3[[#This Row],[Index]]-E223,Tab_Compteur_3[[#This Row],[Quantité]])/Tab_Compteur_3[[#This Row],[Delta Jour]],"")&lt;0,"",IFERROR(IF(Str_TypeDonneesCpt3=Cpt_Index,Tab_Compteur_3[[#This Row],[Index]]-E223,Tab_Compteur_3[[#This Row],[Quantité]])/Tab_Compteur_3[[#This Row],[Delta Jour]],""))</f>
        <v/>
      </c>
      <c r="H224" s="177" t="str">
        <f>IFERROR(Tab_Compteur_3[[#This Row],[Montant]]/Tab_Compteur_3[[#This Row],[Delta Jour]],"")</f>
        <v/>
      </c>
      <c r="I224" s="188" t="str">
        <f>IF(SUM(Tab_Compteur_3[[#This Row],[Quantité]],Tab_Compteur_3[[#This Row],[Index]])&lt;=0,"",G224)</f>
        <v/>
      </c>
      <c r="J224" s="185"/>
      <c r="K224" s="36"/>
      <c r="L224" s="36"/>
      <c r="M224" s="36"/>
    </row>
    <row r="225" spans="1:13">
      <c r="A225" s="53">
        <f t="shared" si="7"/>
        <v>1</v>
      </c>
      <c r="B225" s="505"/>
      <c r="C225" s="506"/>
      <c r="D225" s="504"/>
      <c r="E225" s="515"/>
      <c r="F225" s="177">
        <f t="shared" si="6"/>
        <v>0</v>
      </c>
      <c r="G225" t="str">
        <f>IF(IFERROR(IF(Str_TypeDonneesCpt3=Cpt_Index,Tab_Compteur_3[[#This Row],[Index]]-E224,Tab_Compteur_3[[#This Row],[Quantité]])/Tab_Compteur_3[[#This Row],[Delta Jour]],"")&lt;0,"",IFERROR(IF(Str_TypeDonneesCpt3=Cpt_Index,Tab_Compteur_3[[#This Row],[Index]]-E224,Tab_Compteur_3[[#This Row],[Quantité]])/Tab_Compteur_3[[#This Row],[Delta Jour]],""))</f>
        <v/>
      </c>
      <c r="H225" s="177" t="str">
        <f>IFERROR(Tab_Compteur_3[[#This Row],[Montant]]/Tab_Compteur_3[[#This Row],[Delta Jour]],"")</f>
        <v/>
      </c>
      <c r="I225" s="188" t="str">
        <f>IF(SUM(Tab_Compteur_3[[#This Row],[Quantité]],Tab_Compteur_3[[#This Row],[Index]])&lt;=0,"",G225)</f>
        <v/>
      </c>
      <c r="J225" s="185"/>
      <c r="K225" s="36"/>
      <c r="L225" s="36"/>
      <c r="M225" s="36"/>
    </row>
    <row r="226" spans="1:13">
      <c r="A226" s="53">
        <f t="shared" si="7"/>
        <v>1</v>
      </c>
      <c r="B226" s="505"/>
      <c r="C226" s="506"/>
      <c r="D226" s="504"/>
      <c r="E226" s="515"/>
      <c r="F226" s="177">
        <f t="shared" si="6"/>
        <v>0</v>
      </c>
      <c r="G226" t="str">
        <f>IF(IFERROR(IF(Str_TypeDonneesCpt3=Cpt_Index,Tab_Compteur_3[[#This Row],[Index]]-E225,Tab_Compteur_3[[#This Row],[Quantité]])/Tab_Compteur_3[[#This Row],[Delta Jour]],"")&lt;0,"",IFERROR(IF(Str_TypeDonneesCpt3=Cpt_Index,Tab_Compteur_3[[#This Row],[Index]]-E225,Tab_Compteur_3[[#This Row],[Quantité]])/Tab_Compteur_3[[#This Row],[Delta Jour]],""))</f>
        <v/>
      </c>
      <c r="H226" s="177" t="str">
        <f>IFERROR(Tab_Compteur_3[[#This Row],[Montant]]/Tab_Compteur_3[[#This Row],[Delta Jour]],"")</f>
        <v/>
      </c>
      <c r="I226" s="188" t="str">
        <f>IF(SUM(Tab_Compteur_3[[#This Row],[Quantité]],Tab_Compteur_3[[#This Row],[Index]])&lt;=0,"",G226)</f>
        <v/>
      </c>
      <c r="J226" s="185"/>
      <c r="K226" s="36"/>
      <c r="L226" s="36"/>
      <c r="M226" s="36"/>
    </row>
    <row r="227" spans="1:13">
      <c r="A227" s="53">
        <f t="shared" si="7"/>
        <v>1</v>
      </c>
      <c r="B227" s="505"/>
      <c r="C227" s="506"/>
      <c r="D227" s="504"/>
      <c r="E227" s="515"/>
      <c r="F227" s="177">
        <f t="shared" si="6"/>
        <v>0</v>
      </c>
      <c r="G227" t="str">
        <f>IF(IFERROR(IF(Str_TypeDonneesCpt3=Cpt_Index,Tab_Compteur_3[[#This Row],[Index]]-E226,Tab_Compteur_3[[#This Row],[Quantité]])/Tab_Compteur_3[[#This Row],[Delta Jour]],"")&lt;0,"",IFERROR(IF(Str_TypeDonneesCpt3=Cpt_Index,Tab_Compteur_3[[#This Row],[Index]]-E226,Tab_Compteur_3[[#This Row],[Quantité]])/Tab_Compteur_3[[#This Row],[Delta Jour]],""))</f>
        <v/>
      </c>
      <c r="H227" s="177" t="str">
        <f>IFERROR(Tab_Compteur_3[[#This Row],[Montant]]/Tab_Compteur_3[[#This Row],[Delta Jour]],"")</f>
        <v/>
      </c>
      <c r="I227" s="188" t="str">
        <f>IF(SUM(Tab_Compteur_3[[#This Row],[Quantité]],Tab_Compteur_3[[#This Row],[Index]])&lt;=0,"",G227)</f>
        <v/>
      </c>
      <c r="J227" s="185"/>
      <c r="K227" s="36"/>
      <c r="L227" s="36"/>
      <c r="M227" s="36"/>
    </row>
    <row r="228" spans="1:13">
      <c r="A228" s="53">
        <f t="shared" si="7"/>
        <v>1</v>
      </c>
      <c r="B228" s="505"/>
      <c r="C228" s="506"/>
      <c r="D228" s="504"/>
      <c r="E228" s="515"/>
      <c r="F228" s="177">
        <f t="shared" si="6"/>
        <v>0</v>
      </c>
      <c r="G228" t="str">
        <f>IF(IFERROR(IF(Str_TypeDonneesCpt3=Cpt_Index,Tab_Compteur_3[[#This Row],[Index]]-E227,Tab_Compteur_3[[#This Row],[Quantité]])/Tab_Compteur_3[[#This Row],[Delta Jour]],"")&lt;0,"",IFERROR(IF(Str_TypeDonneesCpt3=Cpt_Index,Tab_Compteur_3[[#This Row],[Index]]-E227,Tab_Compteur_3[[#This Row],[Quantité]])/Tab_Compteur_3[[#This Row],[Delta Jour]],""))</f>
        <v/>
      </c>
      <c r="H228" s="177" t="str">
        <f>IFERROR(Tab_Compteur_3[[#This Row],[Montant]]/Tab_Compteur_3[[#This Row],[Delta Jour]],"")</f>
        <v/>
      </c>
      <c r="I228" s="188" t="str">
        <f>IF(SUM(Tab_Compteur_3[[#This Row],[Quantité]],Tab_Compteur_3[[#This Row],[Index]])&lt;=0,"",G228)</f>
        <v/>
      </c>
      <c r="J228" s="185"/>
      <c r="K228" s="36"/>
      <c r="L228" s="36"/>
      <c r="M228" s="36"/>
    </row>
    <row r="229" spans="1:13">
      <c r="A229" s="53">
        <f t="shared" si="7"/>
        <v>1</v>
      </c>
      <c r="B229" s="505"/>
      <c r="C229" s="506"/>
      <c r="D229" s="504"/>
      <c r="E229" s="515"/>
      <c r="F229" s="177">
        <f t="shared" si="6"/>
        <v>0</v>
      </c>
      <c r="G229" t="str">
        <f>IF(IFERROR(IF(Str_TypeDonneesCpt3=Cpt_Index,Tab_Compteur_3[[#This Row],[Index]]-E228,Tab_Compteur_3[[#This Row],[Quantité]])/Tab_Compteur_3[[#This Row],[Delta Jour]],"")&lt;0,"",IFERROR(IF(Str_TypeDonneesCpt3=Cpt_Index,Tab_Compteur_3[[#This Row],[Index]]-E228,Tab_Compteur_3[[#This Row],[Quantité]])/Tab_Compteur_3[[#This Row],[Delta Jour]],""))</f>
        <v/>
      </c>
      <c r="H229" s="177" t="str">
        <f>IFERROR(Tab_Compteur_3[[#This Row],[Montant]]/Tab_Compteur_3[[#This Row],[Delta Jour]],"")</f>
        <v/>
      </c>
      <c r="I229" s="188" t="str">
        <f>IF(SUM(Tab_Compteur_3[[#This Row],[Quantité]],Tab_Compteur_3[[#This Row],[Index]])&lt;=0,"",G229)</f>
        <v/>
      </c>
      <c r="J229" s="185"/>
      <c r="K229" s="36"/>
      <c r="L229" s="36"/>
      <c r="M229" s="36"/>
    </row>
    <row r="230" spans="1:13">
      <c r="A230" s="53">
        <f t="shared" si="7"/>
        <v>1</v>
      </c>
      <c r="B230" s="505"/>
      <c r="C230" s="506"/>
      <c r="D230" s="504"/>
      <c r="E230" s="515"/>
      <c r="F230" s="177">
        <f t="shared" si="6"/>
        <v>0</v>
      </c>
      <c r="G230" t="str">
        <f>IF(IFERROR(IF(Str_TypeDonneesCpt3=Cpt_Index,Tab_Compteur_3[[#This Row],[Index]]-E229,Tab_Compteur_3[[#This Row],[Quantité]])/Tab_Compteur_3[[#This Row],[Delta Jour]],"")&lt;0,"",IFERROR(IF(Str_TypeDonneesCpt3=Cpt_Index,Tab_Compteur_3[[#This Row],[Index]]-E229,Tab_Compteur_3[[#This Row],[Quantité]])/Tab_Compteur_3[[#This Row],[Delta Jour]],""))</f>
        <v/>
      </c>
      <c r="H230" s="177" t="str">
        <f>IFERROR(Tab_Compteur_3[[#This Row],[Montant]]/Tab_Compteur_3[[#This Row],[Delta Jour]],"")</f>
        <v/>
      </c>
      <c r="I230" s="188" t="str">
        <f>IF(SUM(Tab_Compteur_3[[#This Row],[Quantité]],Tab_Compteur_3[[#This Row],[Index]])&lt;=0,"",G230)</f>
        <v/>
      </c>
      <c r="J230" s="185"/>
      <c r="K230" s="36"/>
      <c r="L230" s="36"/>
      <c r="M230" s="36"/>
    </row>
    <row r="231" spans="1:13">
      <c r="A231" s="53">
        <f t="shared" si="7"/>
        <v>1</v>
      </c>
      <c r="B231" s="505"/>
      <c r="C231" s="506"/>
      <c r="D231" s="504"/>
      <c r="E231" s="515"/>
      <c r="F231" s="177">
        <f t="shared" si="6"/>
        <v>0</v>
      </c>
      <c r="G231" t="str">
        <f>IF(IFERROR(IF(Str_TypeDonneesCpt3=Cpt_Index,Tab_Compteur_3[[#This Row],[Index]]-E230,Tab_Compteur_3[[#This Row],[Quantité]])/Tab_Compteur_3[[#This Row],[Delta Jour]],"")&lt;0,"",IFERROR(IF(Str_TypeDonneesCpt3=Cpt_Index,Tab_Compteur_3[[#This Row],[Index]]-E230,Tab_Compteur_3[[#This Row],[Quantité]])/Tab_Compteur_3[[#This Row],[Delta Jour]],""))</f>
        <v/>
      </c>
      <c r="H231" s="177" t="str">
        <f>IFERROR(Tab_Compteur_3[[#This Row],[Montant]]/Tab_Compteur_3[[#This Row],[Delta Jour]],"")</f>
        <v/>
      </c>
      <c r="I231" s="188" t="str">
        <f>IF(SUM(Tab_Compteur_3[[#This Row],[Quantité]],Tab_Compteur_3[[#This Row],[Index]])&lt;=0,"",G231)</f>
        <v/>
      </c>
      <c r="J231" s="185"/>
      <c r="K231" s="36"/>
      <c r="L231" s="36"/>
      <c r="M231" s="36"/>
    </row>
    <row r="232" spans="1:13">
      <c r="A232" s="53">
        <f t="shared" si="7"/>
        <v>1</v>
      </c>
      <c r="B232" s="505"/>
      <c r="C232" s="506"/>
      <c r="D232" s="504"/>
      <c r="E232" s="515"/>
      <c r="F232" s="177">
        <f t="shared" si="6"/>
        <v>0</v>
      </c>
      <c r="G232" t="str">
        <f>IF(IFERROR(IF(Str_TypeDonneesCpt3=Cpt_Index,Tab_Compteur_3[[#This Row],[Index]]-E231,Tab_Compteur_3[[#This Row],[Quantité]])/Tab_Compteur_3[[#This Row],[Delta Jour]],"")&lt;0,"",IFERROR(IF(Str_TypeDonneesCpt3=Cpt_Index,Tab_Compteur_3[[#This Row],[Index]]-E231,Tab_Compteur_3[[#This Row],[Quantité]])/Tab_Compteur_3[[#This Row],[Delta Jour]],""))</f>
        <v/>
      </c>
      <c r="H232" s="177" t="str">
        <f>IFERROR(Tab_Compteur_3[[#This Row],[Montant]]/Tab_Compteur_3[[#This Row],[Delta Jour]],"")</f>
        <v/>
      </c>
      <c r="I232" s="188" t="str">
        <f>IF(SUM(Tab_Compteur_3[[#This Row],[Quantité]],Tab_Compteur_3[[#This Row],[Index]])&lt;=0,"",G232)</f>
        <v/>
      </c>
      <c r="J232" s="185"/>
      <c r="K232" s="36"/>
      <c r="L232" s="36"/>
      <c r="M232" s="36"/>
    </row>
    <row r="233" spans="1:13">
      <c r="A233" s="53">
        <f t="shared" si="7"/>
        <v>1</v>
      </c>
      <c r="B233" s="505"/>
      <c r="C233" s="506"/>
      <c r="D233" s="504"/>
      <c r="E233" s="515"/>
      <c r="F233" s="177">
        <f t="shared" si="6"/>
        <v>0</v>
      </c>
      <c r="G233" t="str">
        <f>IF(IFERROR(IF(Str_TypeDonneesCpt3=Cpt_Index,Tab_Compteur_3[[#This Row],[Index]]-E232,Tab_Compteur_3[[#This Row],[Quantité]])/Tab_Compteur_3[[#This Row],[Delta Jour]],"")&lt;0,"",IFERROR(IF(Str_TypeDonneesCpt3=Cpt_Index,Tab_Compteur_3[[#This Row],[Index]]-E232,Tab_Compteur_3[[#This Row],[Quantité]])/Tab_Compteur_3[[#This Row],[Delta Jour]],""))</f>
        <v/>
      </c>
      <c r="H233" s="177" t="str">
        <f>IFERROR(Tab_Compteur_3[[#This Row],[Montant]]/Tab_Compteur_3[[#This Row],[Delta Jour]],"")</f>
        <v/>
      </c>
      <c r="I233" s="188" t="str">
        <f>IF(SUM(Tab_Compteur_3[[#This Row],[Quantité]],Tab_Compteur_3[[#This Row],[Index]])&lt;=0,"",G233)</f>
        <v/>
      </c>
      <c r="J233" s="185"/>
      <c r="K233" s="36"/>
      <c r="L233" s="36"/>
      <c r="M233" s="36"/>
    </row>
    <row r="234" spans="1:13">
      <c r="A234" s="53">
        <f t="shared" si="7"/>
        <v>1</v>
      </c>
      <c r="B234" s="505"/>
      <c r="C234" s="506"/>
      <c r="D234" s="504"/>
      <c r="E234" s="515"/>
      <c r="F234" s="177">
        <f t="shared" si="6"/>
        <v>0</v>
      </c>
      <c r="G234" t="str">
        <f>IF(IFERROR(IF(Str_TypeDonneesCpt3=Cpt_Index,Tab_Compteur_3[[#This Row],[Index]]-E233,Tab_Compteur_3[[#This Row],[Quantité]])/Tab_Compteur_3[[#This Row],[Delta Jour]],"")&lt;0,"",IFERROR(IF(Str_TypeDonneesCpt3=Cpt_Index,Tab_Compteur_3[[#This Row],[Index]]-E233,Tab_Compteur_3[[#This Row],[Quantité]])/Tab_Compteur_3[[#This Row],[Delta Jour]],""))</f>
        <v/>
      </c>
      <c r="H234" s="177" t="str">
        <f>IFERROR(Tab_Compteur_3[[#This Row],[Montant]]/Tab_Compteur_3[[#This Row],[Delta Jour]],"")</f>
        <v/>
      </c>
      <c r="I234" s="188" t="str">
        <f>IF(SUM(Tab_Compteur_3[[#This Row],[Quantité]],Tab_Compteur_3[[#This Row],[Index]])&lt;=0,"",G234)</f>
        <v/>
      </c>
      <c r="J234" s="185"/>
      <c r="K234" s="36"/>
      <c r="L234" s="36"/>
      <c r="M234" s="36"/>
    </row>
    <row r="235" spans="1:13">
      <c r="A235" s="53">
        <f t="shared" si="7"/>
        <v>1</v>
      </c>
      <c r="B235" s="505"/>
      <c r="C235" s="506"/>
      <c r="D235" s="504"/>
      <c r="E235" s="515"/>
      <c r="F235" s="177">
        <f t="shared" si="6"/>
        <v>0</v>
      </c>
      <c r="G235" t="str">
        <f>IF(IFERROR(IF(Str_TypeDonneesCpt3=Cpt_Index,Tab_Compteur_3[[#This Row],[Index]]-E234,Tab_Compteur_3[[#This Row],[Quantité]])/Tab_Compteur_3[[#This Row],[Delta Jour]],"")&lt;0,"",IFERROR(IF(Str_TypeDonneesCpt3=Cpt_Index,Tab_Compteur_3[[#This Row],[Index]]-E234,Tab_Compteur_3[[#This Row],[Quantité]])/Tab_Compteur_3[[#This Row],[Delta Jour]],""))</f>
        <v/>
      </c>
      <c r="H235" s="177" t="str">
        <f>IFERROR(Tab_Compteur_3[[#This Row],[Montant]]/Tab_Compteur_3[[#This Row],[Delta Jour]],"")</f>
        <v/>
      </c>
      <c r="I235" s="188" t="str">
        <f>IF(SUM(Tab_Compteur_3[[#This Row],[Quantité]],Tab_Compteur_3[[#This Row],[Index]])&lt;=0,"",G235)</f>
        <v/>
      </c>
      <c r="J235" s="185"/>
      <c r="K235" s="36"/>
      <c r="L235" s="36"/>
      <c r="M235" s="36"/>
    </row>
    <row r="236" spans="1:13">
      <c r="A236" s="53">
        <f t="shared" si="7"/>
        <v>1</v>
      </c>
      <c r="B236" s="505"/>
      <c r="C236" s="506"/>
      <c r="D236" s="504"/>
      <c r="E236" s="515"/>
      <c r="F236" s="177">
        <f t="shared" si="6"/>
        <v>0</v>
      </c>
      <c r="G236" t="str">
        <f>IF(IFERROR(IF(Str_TypeDonneesCpt3=Cpt_Index,Tab_Compteur_3[[#This Row],[Index]]-E235,Tab_Compteur_3[[#This Row],[Quantité]])/Tab_Compteur_3[[#This Row],[Delta Jour]],"")&lt;0,"",IFERROR(IF(Str_TypeDonneesCpt3=Cpt_Index,Tab_Compteur_3[[#This Row],[Index]]-E235,Tab_Compteur_3[[#This Row],[Quantité]])/Tab_Compteur_3[[#This Row],[Delta Jour]],""))</f>
        <v/>
      </c>
      <c r="H236" s="177" t="str">
        <f>IFERROR(Tab_Compteur_3[[#This Row],[Montant]]/Tab_Compteur_3[[#This Row],[Delta Jour]],"")</f>
        <v/>
      </c>
      <c r="I236" s="188" t="str">
        <f>IF(SUM(Tab_Compteur_3[[#This Row],[Quantité]],Tab_Compteur_3[[#This Row],[Index]])&lt;=0,"",G236)</f>
        <v/>
      </c>
      <c r="J236" s="185"/>
      <c r="K236" s="36"/>
      <c r="L236" s="36"/>
      <c r="M236" s="36"/>
    </row>
    <row r="237" spans="1:13">
      <c r="A237" s="53">
        <f t="shared" si="7"/>
        <v>1</v>
      </c>
      <c r="B237" s="505"/>
      <c r="C237" s="506"/>
      <c r="D237" s="504"/>
      <c r="E237" s="515"/>
      <c r="F237" s="177">
        <f t="shared" si="6"/>
        <v>0</v>
      </c>
      <c r="G237" t="str">
        <f>IF(IFERROR(IF(Str_TypeDonneesCpt3=Cpt_Index,Tab_Compteur_3[[#This Row],[Index]]-E236,Tab_Compteur_3[[#This Row],[Quantité]])/Tab_Compteur_3[[#This Row],[Delta Jour]],"")&lt;0,"",IFERROR(IF(Str_TypeDonneesCpt3=Cpt_Index,Tab_Compteur_3[[#This Row],[Index]]-E236,Tab_Compteur_3[[#This Row],[Quantité]])/Tab_Compteur_3[[#This Row],[Delta Jour]],""))</f>
        <v/>
      </c>
      <c r="H237" s="177" t="str">
        <f>IFERROR(Tab_Compteur_3[[#This Row],[Montant]]/Tab_Compteur_3[[#This Row],[Delta Jour]],"")</f>
        <v/>
      </c>
      <c r="I237" s="188" t="str">
        <f>IF(SUM(Tab_Compteur_3[[#This Row],[Quantité]],Tab_Compteur_3[[#This Row],[Index]])&lt;=0,"",G237)</f>
        <v/>
      </c>
      <c r="J237" s="185"/>
      <c r="K237" s="36"/>
      <c r="L237" s="36"/>
      <c r="M237" s="36"/>
    </row>
    <row r="238" spans="1:13">
      <c r="A238" s="53">
        <f t="shared" si="7"/>
        <v>1</v>
      </c>
      <c r="B238" s="505"/>
      <c r="C238" s="506"/>
      <c r="D238" s="504"/>
      <c r="E238" s="515"/>
      <c r="F238" s="177">
        <f t="shared" si="6"/>
        <v>0</v>
      </c>
      <c r="G238" t="str">
        <f>IF(IFERROR(IF(Str_TypeDonneesCpt3=Cpt_Index,Tab_Compteur_3[[#This Row],[Index]]-E237,Tab_Compteur_3[[#This Row],[Quantité]])/Tab_Compteur_3[[#This Row],[Delta Jour]],"")&lt;0,"",IFERROR(IF(Str_TypeDonneesCpt3=Cpt_Index,Tab_Compteur_3[[#This Row],[Index]]-E237,Tab_Compteur_3[[#This Row],[Quantité]])/Tab_Compteur_3[[#This Row],[Delta Jour]],""))</f>
        <v/>
      </c>
      <c r="H238" s="177" t="str">
        <f>IFERROR(Tab_Compteur_3[[#This Row],[Montant]]/Tab_Compteur_3[[#This Row],[Delta Jour]],"")</f>
        <v/>
      </c>
      <c r="I238" s="188" t="str">
        <f>IF(SUM(Tab_Compteur_3[[#This Row],[Quantité]],Tab_Compteur_3[[#This Row],[Index]])&lt;=0,"",G238)</f>
        <v/>
      </c>
      <c r="J238" s="185"/>
      <c r="K238" s="36"/>
      <c r="L238" s="36"/>
      <c r="M238" s="36"/>
    </row>
    <row r="239" spans="1:13">
      <c r="A239" s="53">
        <f t="shared" si="7"/>
        <v>1</v>
      </c>
      <c r="B239" s="505"/>
      <c r="C239" s="507"/>
      <c r="D239" s="504"/>
      <c r="E239" s="515"/>
      <c r="F239" s="177">
        <f t="shared" si="6"/>
        <v>0</v>
      </c>
      <c r="G239" t="str">
        <f>IF(IFERROR(IF(Str_TypeDonneesCpt3=Cpt_Index,Tab_Compteur_3[[#This Row],[Index]]-E238,Tab_Compteur_3[[#This Row],[Quantité]])/Tab_Compteur_3[[#This Row],[Delta Jour]],"")&lt;0,"",IFERROR(IF(Str_TypeDonneesCpt3=Cpt_Index,Tab_Compteur_3[[#This Row],[Index]]-E238,Tab_Compteur_3[[#This Row],[Quantité]])/Tab_Compteur_3[[#This Row],[Delta Jour]],""))</f>
        <v/>
      </c>
      <c r="H239" s="177" t="str">
        <f>IFERROR(Tab_Compteur_3[[#This Row],[Montant]]/Tab_Compteur_3[[#This Row],[Delta Jour]],"")</f>
        <v/>
      </c>
      <c r="I239" s="188" t="str">
        <f>IF(SUM(Tab_Compteur_3[[#This Row],[Quantité]],Tab_Compteur_3[[#This Row],[Index]])&lt;=0,"",G239)</f>
        <v/>
      </c>
      <c r="J239" s="185"/>
      <c r="K239" s="36"/>
      <c r="L239" s="36"/>
      <c r="M239" s="36"/>
    </row>
    <row r="240" spans="1:13">
      <c r="A240" s="53">
        <f t="shared" si="7"/>
        <v>1</v>
      </c>
      <c r="B240" s="505"/>
      <c r="C240" s="507"/>
      <c r="D240" s="504"/>
      <c r="E240" s="515"/>
      <c r="F240" s="177">
        <f t="shared" si="6"/>
        <v>0</v>
      </c>
      <c r="G240" t="str">
        <f>IF(IFERROR(IF(Str_TypeDonneesCpt3=Cpt_Index,Tab_Compteur_3[[#This Row],[Index]]-E239,Tab_Compteur_3[[#This Row],[Quantité]])/Tab_Compteur_3[[#This Row],[Delta Jour]],"")&lt;0,"",IFERROR(IF(Str_TypeDonneesCpt3=Cpt_Index,Tab_Compteur_3[[#This Row],[Index]]-E239,Tab_Compteur_3[[#This Row],[Quantité]])/Tab_Compteur_3[[#This Row],[Delta Jour]],""))</f>
        <v/>
      </c>
      <c r="H240" s="177" t="str">
        <f>IFERROR(Tab_Compteur_3[[#This Row],[Montant]]/Tab_Compteur_3[[#This Row],[Delta Jour]],"")</f>
        <v/>
      </c>
      <c r="I240" s="188" t="str">
        <f>IF(SUM(Tab_Compteur_3[[#This Row],[Quantité]],Tab_Compteur_3[[#This Row],[Index]])&lt;=0,"",G240)</f>
        <v/>
      </c>
      <c r="J240" s="185"/>
      <c r="K240" s="36"/>
      <c r="L240" s="36"/>
      <c r="M240" s="36"/>
    </row>
    <row r="241" spans="1:13">
      <c r="A241" s="53">
        <f t="shared" si="7"/>
        <v>1</v>
      </c>
      <c r="B241" s="505"/>
      <c r="C241" s="507"/>
      <c r="D241" s="504"/>
      <c r="E241" s="515"/>
      <c r="F241" s="177">
        <f t="shared" si="6"/>
        <v>0</v>
      </c>
      <c r="G241" t="str">
        <f>IF(IFERROR(IF(Str_TypeDonneesCpt3=Cpt_Index,Tab_Compteur_3[[#This Row],[Index]]-E240,Tab_Compteur_3[[#This Row],[Quantité]])/Tab_Compteur_3[[#This Row],[Delta Jour]],"")&lt;0,"",IFERROR(IF(Str_TypeDonneesCpt3=Cpt_Index,Tab_Compteur_3[[#This Row],[Index]]-E240,Tab_Compteur_3[[#This Row],[Quantité]])/Tab_Compteur_3[[#This Row],[Delta Jour]],""))</f>
        <v/>
      </c>
      <c r="H241" s="177" t="str">
        <f>IFERROR(Tab_Compteur_3[[#This Row],[Montant]]/Tab_Compteur_3[[#This Row],[Delta Jour]],"")</f>
        <v/>
      </c>
      <c r="I241" s="188" t="str">
        <f>IF(SUM(Tab_Compteur_3[[#This Row],[Quantité]],Tab_Compteur_3[[#This Row],[Index]])&lt;=0,"",G241)</f>
        <v/>
      </c>
      <c r="J241" s="185"/>
      <c r="K241" s="36"/>
      <c r="L241" s="36"/>
      <c r="M241" s="36"/>
    </row>
    <row r="242" spans="1:13">
      <c r="A242" s="53">
        <f t="shared" si="7"/>
        <v>1</v>
      </c>
      <c r="B242" s="505"/>
      <c r="C242" s="507"/>
      <c r="D242" s="504"/>
      <c r="E242" s="515"/>
      <c r="F242" s="177">
        <f t="shared" si="6"/>
        <v>0</v>
      </c>
      <c r="G242" t="str">
        <f>IF(IFERROR(IF(Str_TypeDonneesCpt3=Cpt_Index,Tab_Compteur_3[[#This Row],[Index]]-E241,Tab_Compteur_3[[#This Row],[Quantité]])/Tab_Compteur_3[[#This Row],[Delta Jour]],"")&lt;0,"",IFERROR(IF(Str_TypeDonneesCpt3=Cpt_Index,Tab_Compteur_3[[#This Row],[Index]]-E241,Tab_Compteur_3[[#This Row],[Quantité]])/Tab_Compteur_3[[#This Row],[Delta Jour]],""))</f>
        <v/>
      </c>
      <c r="H242" s="177" t="str">
        <f>IFERROR(Tab_Compteur_3[[#This Row],[Montant]]/Tab_Compteur_3[[#This Row],[Delta Jour]],"")</f>
        <v/>
      </c>
      <c r="I242" s="188" t="str">
        <f>IF(SUM(Tab_Compteur_3[[#This Row],[Quantité]],Tab_Compteur_3[[#This Row],[Index]])&lt;=0,"",G242)</f>
        <v/>
      </c>
      <c r="J242" s="185"/>
      <c r="K242" s="36"/>
      <c r="L242" s="36"/>
      <c r="M242" s="36"/>
    </row>
    <row r="243" spans="1:13" ht="15.75" customHeight="1">
      <c r="A243" s="53">
        <f t="shared" si="7"/>
        <v>1</v>
      </c>
      <c r="B243" s="505"/>
      <c r="C243" s="507"/>
      <c r="D243" s="504"/>
      <c r="E243" s="515"/>
      <c r="F243" s="177">
        <f t="shared" si="6"/>
        <v>0</v>
      </c>
      <c r="G243" t="str">
        <f>IF(IFERROR(IF(Str_TypeDonneesCpt3=Cpt_Index,Tab_Compteur_3[[#This Row],[Index]]-E242,Tab_Compteur_3[[#This Row],[Quantité]])/Tab_Compteur_3[[#This Row],[Delta Jour]],"")&lt;0,"",IFERROR(IF(Str_TypeDonneesCpt3=Cpt_Index,Tab_Compteur_3[[#This Row],[Index]]-E242,Tab_Compteur_3[[#This Row],[Quantité]])/Tab_Compteur_3[[#This Row],[Delta Jour]],""))</f>
        <v/>
      </c>
      <c r="H243" s="177" t="str">
        <f>IFERROR(Tab_Compteur_3[[#This Row],[Montant]]/Tab_Compteur_3[[#This Row],[Delta Jour]],"")</f>
        <v/>
      </c>
      <c r="I243" s="188" t="str">
        <f>IF(SUM(Tab_Compteur_3[[#This Row],[Quantité]],Tab_Compteur_3[[#This Row],[Index]])&lt;=0,"",G243)</f>
        <v/>
      </c>
      <c r="J243" s="185"/>
    </row>
  </sheetData>
  <sheetProtection selectLockedCells="1"/>
  <protectedRanges>
    <protectedRange sqref="D5:D243 C5:C104 A4:D4 A5:B243" name="Données_compteur3_1"/>
    <protectedRange sqref="C105:C243 L2:N2 E3:E1048576 K35 J37:M133 J9:M10 J34:J36 L34:M36 K3:M3 J3:J8 K5:M8 I3:I243 J244:N1048576 J142:M243 K134:M141 J134:J137" name="Données_compteur3"/>
    <protectedRange sqref="J11:M33" name="Données_compteur3_3"/>
    <protectedRange sqref="E2 I2" name="Compteur_1_1"/>
    <protectedRange sqref="K4:L4" name="Compteur_1"/>
    <protectedRange sqref="L1 E1 I1" name="Compteur_1_2"/>
    <protectedRange sqref="K34 K36" name="Données_compteur3_2"/>
    <protectedRange sqref="J138:J141" name="Données_compteur3_6"/>
  </protectedRanges>
  <mergeCells count="1">
    <mergeCell ref="K11:M33"/>
  </mergeCells>
  <phoneticPr fontId="42" type="noConversion"/>
  <conditionalFormatting sqref="B21:B243">
    <cfRule type="expression" dxfId="92" priority="2">
      <formula>$B21&lt;$A21</formula>
    </cfRule>
  </conditionalFormatting>
  <conditionalFormatting sqref="B4:B20">
    <cfRule type="expression" dxfId="91" priority="1">
      <formula>$B4&lt;$A4</formula>
    </cfRule>
  </conditionalFormatting>
  <pageMargins left="0.7" right="0.7" top="0.75" bottom="0.75" header="0.3" footer="0.3"/>
  <pageSetup paperSize="9" orientation="portrait" r:id="rId1"/>
  <drawing r:id="rId2"/>
  <legacyDrawing r:id="rId3"/>
  <tableParts count="1">
    <tablePart r:id="rId4"/>
  </tablePart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7"/>
  <dimension ref="A1:O243"/>
  <sheetViews>
    <sheetView zoomScaleNormal="100" workbookViewId="0">
      <pane ySplit="3" topLeftCell="A4" activePane="bottomLeft" state="frozen"/>
      <selection pane="bottomLeft" activeCell="B4" sqref="B4"/>
    </sheetView>
  </sheetViews>
  <sheetFormatPr baseColWidth="10" defaultColWidth="0" defaultRowHeight="14.5" zeroHeight="1"/>
  <cols>
    <col min="1" max="1" width="11.36328125" customWidth="1"/>
    <col min="2" max="2" width="19.36328125" style="177" customWidth="1"/>
    <col min="3" max="3" width="13.81640625" customWidth="1"/>
    <col min="4" max="4" width="15.36328125" style="492" customWidth="1"/>
    <col min="5" max="5" width="11.36328125" style="514" customWidth="1"/>
    <col min="6" max="6" width="11.36328125" hidden="1" customWidth="1"/>
    <col min="7" max="7" width="21.6328125" hidden="1" customWidth="1"/>
    <col min="8" max="8" width="12.81640625" hidden="1" customWidth="1"/>
    <col min="9" max="9" width="10.81640625" customWidth="1"/>
    <col min="10" max="10" width="13.7265625" style="184" customWidth="1"/>
    <col min="11" max="11" width="21.7265625" customWidth="1"/>
    <col min="12" max="13" width="11.36328125" customWidth="1"/>
    <col min="14" max="14" width="21.7265625" customWidth="1"/>
    <col min="15" max="15" width="0" hidden="1" customWidth="1"/>
    <col min="16" max="16384" width="11.36328125" hidden="1"/>
  </cols>
  <sheetData>
    <row r="1" spans="1:13" ht="35.25" customHeight="1">
      <c r="A1" s="55" t="s">
        <v>393</v>
      </c>
      <c r="B1" s="199" t="s">
        <v>394</v>
      </c>
      <c r="C1" s="122" t="s">
        <v>395</v>
      </c>
      <c r="D1" s="510" t="str">
        <f>CONCATENATE("Montant ",Controle_des_données!$A$40)</f>
        <v>Montant 0</v>
      </c>
      <c r="E1" s="513" t="s">
        <v>214</v>
      </c>
      <c r="F1" s="27" t="s">
        <v>396</v>
      </c>
      <c r="G1" s="28" t="s">
        <v>397</v>
      </c>
      <c r="H1" s="28" t="s">
        <v>398</v>
      </c>
      <c r="I1" s="28" t="s">
        <v>399</v>
      </c>
      <c r="J1" s="172" t="s">
        <v>400</v>
      </c>
      <c r="K1" s="164" t="s">
        <v>19</v>
      </c>
      <c r="L1" s="170" t="str">
        <f>IF(Site!C41="", "Compteur 4",Site!C41)</f>
        <v>Compteur 4</v>
      </c>
    </row>
    <row r="2" spans="1:13" ht="20.25" hidden="1" customHeight="1">
      <c r="A2" s="55" t="s">
        <v>393</v>
      </c>
      <c r="B2" s="204" t="s">
        <v>394</v>
      </c>
      <c r="C2" s="56" t="s">
        <v>395</v>
      </c>
      <c r="D2" s="489" t="s">
        <v>428</v>
      </c>
      <c r="E2" s="513" t="s">
        <v>214</v>
      </c>
      <c r="F2" s="27" t="s">
        <v>396</v>
      </c>
      <c r="G2" s="28" t="s">
        <v>397</v>
      </c>
      <c r="H2" s="28" t="s">
        <v>398</v>
      </c>
      <c r="I2" s="184" t="s">
        <v>399</v>
      </c>
      <c r="J2" s="28" t="s">
        <v>400</v>
      </c>
      <c r="K2" s="164" t="s">
        <v>19</v>
      </c>
      <c r="L2" s="824">
        <f>Site!C41</f>
        <v>0</v>
      </c>
      <c r="M2" s="825"/>
    </row>
    <row r="3" spans="1:13" hidden="1">
      <c r="A3" s="2"/>
      <c r="B3" s="203">
        <f>A4-1</f>
        <v>-1</v>
      </c>
      <c r="C3" s="54">
        <v>0</v>
      </c>
      <c r="D3" s="492">
        <v>0</v>
      </c>
      <c r="E3" s="514">
        <v>0</v>
      </c>
      <c r="F3">
        <f t="shared" ref="F3:F66" si="0">IFERROR(B3-A3+1,"")</f>
        <v>0</v>
      </c>
      <c r="G3">
        <v>0</v>
      </c>
      <c r="H3">
        <v>0</v>
      </c>
      <c r="I3" s="184" t="str">
        <f>IF(SUM(Tab_Compteur_4[[#This Row],[Quantité]],Tab_Compteur_4[[#This Row],[Index]])&lt;=0,"",G3)</f>
        <v/>
      </c>
      <c r="J3" s="36"/>
      <c r="K3" s="36"/>
      <c r="L3" s="36"/>
      <c r="M3" s="36"/>
    </row>
    <row r="4" spans="1:13">
      <c r="A4" s="2">
        <f>Site!I41</f>
        <v>0</v>
      </c>
      <c r="B4" s="501"/>
      <c r="C4" s="502"/>
      <c r="D4" s="511"/>
      <c r="E4" s="515"/>
      <c r="F4" s="177">
        <f t="shared" si="0"/>
        <v>1</v>
      </c>
      <c r="G4" s="177">
        <f>IF(IFERROR(IF(Str_TypeDonneesCpt4=Cpt_Index,Tab_Compteur_4[[#This Row],[Index]]-L4,Tab_Compteur_4[[#This Row],[Quantité]])/Tab_Compteur_4[[#This Row],[Delta Jour]],"")&lt;0,"",IFERROR(IF(Str_TypeDonneesCpt4=Cpt_Index,Tab_Compteur_4[[#This Row],[Index]]-L4,Tab_Compteur_4[[#This Row],[Quantité]])/Tab_Compteur_4[[#This Row],[Delta Jour]],""))</f>
        <v>0</v>
      </c>
      <c r="H4" s="177">
        <f>IFERROR(Tab_Compteur_4[[#This Row],[Montant]]/Tab_Compteur_4[[#This Row],[Delta Jour]],"")</f>
        <v>0</v>
      </c>
      <c r="I4" s="184" t="str">
        <f>IF(SUM(Tab_Compteur_4[[#This Row],[Quantité]],Tab_Compteur_4[[#This Row],[Index]])&lt;=0,"",G4)</f>
        <v/>
      </c>
      <c r="J4" s="185"/>
      <c r="K4" s="192" t="s">
        <v>401</v>
      </c>
      <c r="L4" s="444">
        <v>0</v>
      </c>
    </row>
    <row r="5" spans="1:13">
      <c r="A5" s="2">
        <f>IFERROR(B4+1,0)</f>
        <v>1</v>
      </c>
      <c r="B5" s="508"/>
      <c r="C5" s="502"/>
      <c r="D5" s="511"/>
      <c r="E5" s="515"/>
      <c r="F5" s="177">
        <f t="shared" si="0"/>
        <v>0</v>
      </c>
      <c r="G5" s="177" t="str">
        <f>IF(IFERROR(IF(Str_TypeDonneesCpt4=Cpt_Index,Tab_Compteur_4[[#This Row],[Index]]-E4,Tab_Compteur_4[[#This Row],[Quantité]])/Tab_Compteur_4[[#This Row],[Delta Jour]],"")&lt;0,"",IFERROR(IF(Str_TypeDonneesCpt4=Cpt_Index,Tab_Compteur_4[[#This Row],[Index]]-E4,Tab_Compteur_4[[#This Row],[Quantité]])/Tab_Compteur_4[[#This Row],[Delta Jour]],""))</f>
        <v/>
      </c>
      <c r="H5" s="177" t="str">
        <f>IFERROR(Tab_Compteur_4[[#This Row],[Montant]]/Tab_Compteur_4[[#This Row],[Delta Jour]],"")</f>
        <v/>
      </c>
      <c r="I5" s="184" t="str">
        <f>IF(SUM(Tab_Compteur_4[[#This Row],[Quantité]],Tab_Compteur_4[[#This Row],[Index]])&lt;=0,"",G5)</f>
        <v/>
      </c>
      <c r="J5" s="185"/>
      <c r="K5" s="36"/>
      <c r="L5" s="36"/>
      <c r="M5" s="36"/>
    </row>
    <row r="6" spans="1:13">
      <c r="A6" s="2">
        <f t="shared" ref="A6:A69" si="1">IFERROR(B5+1,0)</f>
        <v>1</v>
      </c>
      <c r="B6" s="508"/>
      <c r="C6" s="502"/>
      <c r="D6" s="511"/>
      <c r="E6" s="515"/>
      <c r="F6" s="177">
        <f t="shared" si="0"/>
        <v>0</v>
      </c>
      <c r="G6" s="177" t="str">
        <f>IF(IFERROR(IF(Str_TypeDonneesCpt4=Cpt_Index,Tab_Compteur_4[[#This Row],[Index]]-E5,Tab_Compteur_4[[#This Row],[Quantité]])/Tab_Compteur_4[[#This Row],[Delta Jour]],"")&lt;0,"",IFERROR(IF(Str_TypeDonneesCpt4=Cpt_Index,Tab_Compteur_4[[#This Row],[Index]]-E5,Tab_Compteur_4[[#This Row],[Quantité]])/Tab_Compteur_4[[#This Row],[Delta Jour]],""))</f>
        <v/>
      </c>
      <c r="H6" s="177" t="str">
        <f>IFERROR(Tab_Compteur_4[[#This Row],[Montant]]/Tab_Compteur_4[[#This Row],[Delta Jour]],"")</f>
        <v/>
      </c>
      <c r="I6" s="184" t="str">
        <f>IF(SUM(Tab_Compteur_4[[#This Row],[Quantité]],Tab_Compteur_4[[#This Row],[Index]])&lt;=0,"",G6)</f>
        <v/>
      </c>
      <c r="J6" s="185"/>
      <c r="K6" s="36"/>
      <c r="L6" s="36"/>
      <c r="M6" s="36"/>
    </row>
    <row r="7" spans="1:13">
      <c r="A7" s="2">
        <f t="shared" si="1"/>
        <v>1</v>
      </c>
      <c r="B7" s="508"/>
      <c r="C7" s="502"/>
      <c r="D7" s="511"/>
      <c r="E7" s="515"/>
      <c r="F7" s="177">
        <f t="shared" si="0"/>
        <v>0</v>
      </c>
      <c r="G7" s="177" t="str">
        <f>IF(IFERROR(IF(Str_TypeDonneesCpt4=Cpt_Index,Tab_Compteur_4[[#This Row],[Index]]-E6,Tab_Compteur_4[[#This Row],[Quantité]])/Tab_Compteur_4[[#This Row],[Delta Jour]],"")&lt;0,"",IFERROR(IF(Str_TypeDonneesCpt4=Cpt_Index,Tab_Compteur_4[[#This Row],[Index]]-E6,Tab_Compteur_4[[#This Row],[Quantité]])/Tab_Compteur_4[[#This Row],[Delta Jour]],""))</f>
        <v/>
      </c>
      <c r="H7" s="177" t="str">
        <f>IFERROR(Tab_Compteur_4[[#This Row],[Montant]]/Tab_Compteur_4[[#This Row],[Delta Jour]],"")</f>
        <v/>
      </c>
      <c r="I7" s="184" t="str">
        <f>IF(SUM(Tab_Compteur_4[[#This Row],[Quantité]],Tab_Compteur_4[[#This Row],[Index]])&lt;=0,"",G7)</f>
        <v/>
      </c>
      <c r="J7" s="185"/>
      <c r="K7" s="36"/>
      <c r="L7" s="36"/>
      <c r="M7" s="36"/>
    </row>
    <row r="8" spans="1:13">
      <c r="A8" s="2">
        <f t="shared" si="1"/>
        <v>1</v>
      </c>
      <c r="B8" s="508"/>
      <c r="C8" s="502"/>
      <c r="D8" s="511"/>
      <c r="E8" s="515"/>
      <c r="F8" s="177">
        <f t="shared" si="0"/>
        <v>0</v>
      </c>
      <c r="G8" s="177" t="str">
        <f>IF(IFERROR(IF(Str_TypeDonneesCpt4=Cpt_Index,Tab_Compteur_4[[#This Row],[Index]]-E7,Tab_Compteur_4[[#This Row],[Quantité]])/Tab_Compteur_4[[#This Row],[Delta Jour]],"")&lt;0,"",IFERROR(IF(Str_TypeDonneesCpt4=Cpt_Index,Tab_Compteur_4[[#This Row],[Index]]-E7,Tab_Compteur_4[[#This Row],[Quantité]])/Tab_Compteur_4[[#This Row],[Delta Jour]],""))</f>
        <v/>
      </c>
      <c r="H8" s="177" t="str">
        <f>IFERROR(Tab_Compteur_4[[#This Row],[Montant]]/Tab_Compteur_4[[#This Row],[Delta Jour]],"")</f>
        <v/>
      </c>
      <c r="I8" s="184" t="str">
        <f>IF(SUM(Tab_Compteur_4[[#This Row],[Quantité]],Tab_Compteur_4[[#This Row],[Index]])&lt;=0,"",G8)</f>
        <v/>
      </c>
      <c r="J8" s="185"/>
      <c r="K8" s="165"/>
      <c r="L8" s="165"/>
      <c r="M8" s="165"/>
    </row>
    <row r="9" spans="1:13">
      <c r="A9" s="2">
        <f t="shared" si="1"/>
        <v>1</v>
      </c>
      <c r="B9" s="508"/>
      <c r="C9" s="502"/>
      <c r="D9" s="511"/>
      <c r="E9" s="515"/>
      <c r="F9" s="177">
        <f t="shared" si="0"/>
        <v>0</v>
      </c>
      <c r="G9" s="177" t="str">
        <f>IF(IFERROR(IF(Str_TypeDonneesCpt4=Cpt_Index,Tab_Compteur_4[[#This Row],[Index]]-E8,Tab_Compteur_4[[#This Row],[Quantité]])/Tab_Compteur_4[[#This Row],[Delta Jour]],"")&lt;0,"",IFERROR(IF(Str_TypeDonneesCpt4=Cpt_Index,Tab_Compteur_4[[#This Row],[Index]]-E8,Tab_Compteur_4[[#This Row],[Quantité]])/Tab_Compteur_4[[#This Row],[Delta Jour]],""))</f>
        <v/>
      </c>
      <c r="H9" s="177" t="str">
        <f>IFERROR(Tab_Compteur_4[[#This Row],[Montant]]/Tab_Compteur_4[[#This Row],[Delta Jour]],"")</f>
        <v/>
      </c>
      <c r="I9" s="184" t="str">
        <f>IF(SUM(Tab_Compteur_4[[#This Row],[Quantité]],Tab_Compteur_4[[#This Row],[Index]])&lt;=0,"",G9)</f>
        <v/>
      </c>
      <c r="J9" s="185"/>
      <c r="K9" s="165"/>
      <c r="L9" s="165"/>
      <c r="M9" s="165"/>
    </row>
    <row r="10" spans="1:13">
      <c r="A10" s="2">
        <f t="shared" si="1"/>
        <v>1</v>
      </c>
      <c r="B10" s="508"/>
      <c r="C10" s="502"/>
      <c r="D10" s="511"/>
      <c r="E10" s="515"/>
      <c r="F10" s="177">
        <f t="shared" si="0"/>
        <v>0</v>
      </c>
      <c r="G10" s="177" t="str">
        <f>IF(IFERROR(IF(Str_TypeDonneesCpt4=Cpt_Index,Tab_Compteur_4[[#This Row],[Index]]-E9,Tab_Compteur_4[[#This Row],[Quantité]])/Tab_Compteur_4[[#This Row],[Delta Jour]],"")&lt;0,"",IFERROR(IF(Str_TypeDonneesCpt4=Cpt_Index,Tab_Compteur_4[[#This Row],[Index]]-E9,Tab_Compteur_4[[#This Row],[Quantité]])/Tab_Compteur_4[[#This Row],[Delta Jour]],""))</f>
        <v/>
      </c>
      <c r="H10" s="177" t="str">
        <f>IFERROR(Tab_Compteur_4[[#This Row],[Montant]]/Tab_Compteur_4[[#This Row],[Delta Jour]],"")</f>
        <v/>
      </c>
      <c r="I10" s="184" t="str">
        <f>IF(SUM(Tab_Compteur_4[[#This Row],[Quantité]],Tab_Compteur_4[[#This Row],[Index]])&lt;=0,"",G10)</f>
        <v/>
      </c>
      <c r="J10" s="185"/>
      <c r="K10" s="165"/>
      <c r="L10" s="165"/>
      <c r="M10" s="165"/>
    </row>
    <row r="11" spans="1:13" ht="15" customHeight="1">
      <c r="A11" s="2">
        <f t="shared" si="1"/>
        <v>1</v>
      </c>
      <c r="B11" s="508"/>
      <c r="C11" s="502"/>
      <c r="D11" s="511"/>
      <c r="E11" s="515"/>
      <c r="F11" s="177">
        <f t="shared" si="0"/>
        <v>0</v>
      </c>
      <c r="G11" s="177" t="str">
        <f>IF(IFERROR(IF(Str_TypeDonneesCpt4=Cpt_Index,Tab_Compteur_4[[#This Row],[Index]]-E10,Tab_Compteur_4[[#This Row],[Quantité]])/Tab_Compteur_4[[#This Row],[Delta Jour]],"")&lt;0,"",IFERROR(IF(Str_TypeDonneesCpt4=Cpt_Index,Tab_Compteur_4[[#This Row],[Index]]-E10,Tab_Compteur_4[[#This Row],[Quantité]])/Tab_Compteur_4[[#This Row],[Delta Jour]],""))</f>
        <v/>
      </c>
      <c r="H11" s="177" t="str">
        <f>IFERROR(Tab_Compteur_4[[#This Row],[Montant]]/Tab_Compteur_4[[#This Row],[Delta Jour]],"")</f>
        <v/>
      </c>
      <c r="I11" s="184" t="str">
        <f>IF(SUM(Tab_Compteur_4[[#This Row],[Quantité]],Tab_Compteur_4[[#This Row],[Index]])&lt;=0,"",G11)</f>
        <v/>
      </c>
      <c r="J11" s="185"/>
      <c r="K11" s="823" t="str">
        <f>Compteur_1!$K$34</f>
        <v>Pour le bon fonctionnement des calculs, il est nécessaire de respecter l'ordre chonologique des données 
Dans le cas des consommations, la quantité doit correspondre à l'unité indiquée dans "Site". Pour les données de production l'unité par défaut est le kWh et pour l'eau, le m3.  
Dans le cas d'un manque de donnée sur une période donnée, indiquez les dates de début et de fin de cette période en laissant les cellules de Quantité et Montant vide
En cas de multiples factures/livraisons pour un même mois, merci d'additionner les quantités et les montants et de mettre la dernière date. 
Une fois toutes vos données de comptage complétées, Cliquez sur le bouton "Actualiser tout" la barre d'outils "Données" ou avec  le raccourcis clavier Ctrl+alt+F5</v>
      </c>
      <c r="L11" s="823"/>
      <c r="M11" s="823"/>
    </row>
    <row r="12" spans="1:13">
      <c r="A12" s="2">
        <f t="shared" si="1"/>
        <v>1</v>
      </c>
      <c r="B12" s="508"/>
      <c r="C12" s="502"/>
      <c r="D12" s="511"/>
      <c r="E12" s="515"/>
      <c r="F12" s="177">
        <f t="shared" si="0"/>
        <v>0</v>
      </c>
      <c r="G12" s="177" t="str">
        <f>IF(IFERROR(IF(Str_TypeDonneesCpt4=Cpt_Index,Tab_Compteur_4[[#This Row],[Index]]-E11,Tab_Compteur_4[[#This Row],[Quantité]])/Tab_Compteur_4[[#This Row],[Delta Jour]],"")&lt;0,"",IFERROR(IF(Str_TypeDonneesCpt4=Cpt_Index,Tab_Compteur_4[[#This Row],[Index]]-E11,Tab_Compteur_4[[#This Row],[Quantité]])/Tab_Compteur_4[[#This Row],[Delta Jour]],""))</f>
        <v/>
      </c>
      <c r="H12" s="177" t="str">
        <f>IFERROR(Tab_Compteur_4[[#This Row],[Montant]]/Tab_Compteur_4[[#This Row],[Delta Jour]],"")</f>
        <v/>
      </c>
      <c r="I12" s="184" t="str">
        <f>IF(SUM(Tab_Compteur_4[[#This Row],[Quantité]],Tab_Compteur_4[[#This Row],[Index]])&lt;=0,"",G12)</f>
        <v/>
      </c>
      <c r="J12" s="185"/>
      <c r="K12" s="823"/>
      <c r="L12" s="823"/>
      <c r="M12" s="823"/>
    </row>
    <row r="13" spans="1:13">
      <c r="A13" s="2">
        <f t="shared" si="1"/>
        <v>1</v>
      </c>
      <c r="B13" s="508"/>
      <c r="C13" s="502"/>
      <c r="D13" s="511"/>
      <c r="E13" s="515"/>
      <c r="F13" s="177">
        <f t="shared" si="0"/>
        <v>0</v>
      </c>
      <c r="G13" s="177" t="str">
        <f>IF(IFERROR(IF(Str_TypeDonneesCpt4=Cpt_Index,Tab_Compteur_4[[#This Row],[Index]]-E12,Tab_Compteur_4[[#This Row],[Quantité]])/Tab_Compteur_4[[#This Row],[Delta Jour]],"")&lt;0,"",IFERROR(IF(Str_TypeDonneesCpt4=Cpt_Index,Tab_Compteur_4[[#This Row],[Index]]-E12,Tab_Compteur_4[[#This Row],[Quantité]])/Tab_Compteur_4[[#This Row],[Delta Jour]],""))</f>
        <v/>
      </c>
      <c r="H13" s="177" t="str">
        <f>IFERROR(Tab_Compteur_4[[#This Row],[Montant]]/Tab_Compteur_4[[#This Row],[Delta Jour]],"")</f>
        <v/>
      </c>
      <c r="I13" s="184" t="str">
        <f>IF(SUM(Tab_Compteur_4[[#This Row],[Quantité]],Tab_Compteur_4[[#This Row],[Index]])&lt;=0,"",G13)</f>
        <v/>
      </c>
      <c r="J13" s="185"/>
      <c r="K13" s="823"/>
      <c r="L13" s="823"/>
      <c r="M13" s="823"/>
    </row>
    <row r="14" spans="1:13">
      <c r="A14" s="2">
        <f t="shared" si="1"/>
        <v>1</v>
      </c>
      <c r="B14" s="508"/>
      <c r="C14" s="502"/>
      <c r="D14" s="511"/>
      <c r="E14" s="515"/>
      <c r="F14" s="177">
        <f t="shared" si="0"/>
        <v>0</v>
      </c>
      <c r="G14" s="177" t="str">
        <f>IF(IFERROR(IF(Str_TypeDonneesCpt4=Cpt_Index,Tab_Compteur_4[[#This Row],[Index]]-E13,Tab_Compteur_4[[#This Row],[Quantité]])/Tab_Compteur_4[[#This Row],[Delta Jour]],"")&lt;0,"",IFERROR(IF(Str_TypeDonneesCpt4=Cpt_Index,Tab_Compteur_4[[#This Row],[Index]]-E13,Tab_Compteur_4[[#This Row],[Quantité]])/Tab_Compteur_4[[#This Row],[Delta Jour]],""))</f>
        <v/>
      </c>
      <c r="H14" s="177" t="str">
        <f>IFERROR(Tab_Compteur_4[[#This Row],[Montant]]/Tab_Compteur_4[[#This Row],[Delta Jour]],"")</f>
        <v/>
      </c>
      <c r="I14" s="184" t="str">
        <f>IF(SUM(Tab_Compteur_4[[#This Row],[Quantité]],Tab_Compteur_4[[#This Row],[Index]])&lt;=0,"",G14)</f>
        <v/>
      </c>
      <c r="J14" s="185"/>
      <c r="K14" s="823"/>
      <c r="L14" s="823"/>
      <c r="M14" s="823"/>
    </row>
    <row r="15" spans="1:13">
      <c r="A15" s="2">
        <f t="shared" si="1"/>
        <v>1</v>
      </c>
      <c r="B15" s="501"/>
      <c r="C15" s="502"/>
      <c r="D15" s="511"/>
      <c r="E15" s="515"/>
      <c r="F15" s="177">
        <f t="shared" si="0"/>
        <v>0</v>
      </c>
      <c r="G15" s="177" t="str">
        <f>IF(IFERROR(IF(Str_TypeDonneesCpt4=Cpt_Index,Tab_Compteur_4[[#This Row],[Index]]-E14,Tab_Compteur_4[[#This Row],[Quantité]])/Tab_Compteur_4[[#This Row],[Delta Jour]],"")&lt;0,"",IFERROR(IF(Str_TypeDonneesCpt4=Cpt_Index,Tab_Compteur_4[[#This Row],[Index]]-E14,Tab_Compteur_4[[#This Row],[Quantité]])/Tab_Compteur_4[[#This Row],[Delta Jour]],""))</f>
        <v/>
      </c>
      <c r="H15" s="177" t="str">
        <f>IFERROR(Tab_Compteur_4[[#This Row],[Montant]]/Tab_Compteur_4[[#This Row],[Delta Jour]],"")</f>
        <v/>
      </c>
      <c r="I15" s="184" t="str">
        <f>IF(SUM(Tab_Compteur_4[[#This Row],[Quantité]],Tab_Compteur_4[[#This Row],[Index]])&lt;=0,"",G15)</f>
        <v/>
      </c>
      <c r="J15" s="185"/>
      <c r="K15" s="823"/>
      <c r="L15" s="823"/>
      <c r="M15" s="823"/>
    </row>
    <row r="16" spans="1:13">
      <c r="A16" s="2">
        <f t="shared" si="1"/>
        <v>1</v>
      </c>
      <c r="B16" s="501"/>
      <c r="C16" s="502"/>
      <c r="D16" s="511"/>
      <c r="E16" s="515"/>
      <c r="F16" s="177">
        <f t="shared" si="0"/>
        <v>0</v>
      </c>
      <c r="G16" s="177" t="str">
        <f>IF(IFERROR(IF(Str_TypeDonneesCpt4=Cpt_Index,Tab_Compteur_4[[#This Row],[Index]]-E15,Tab_Compteur_4[[#This Row],[Quantité]])/Tab_Compteur_4[[#This Row],[Delta Jour]],"")&lt;0,"",IFERROR(IF(Str_TypeDonneesCpt4=Cpt_Index,Tab_Compteur_4[[#This Row],[Index]]-E15,Tab_Compteur_4[[#This Row],[Quantité]])/Tab_Compteur_4[[#This Row],[Delta Jour]],""))</f>
        <v/>
      </c>
      <c r="H16" s="177" t="str">
        <f>IFERROR(Tab_Compteur_4[[#This Row],[Montant]]/Tab_Compteur_4[[#This Row],[Delta Jour]],"")</f>
        <v/>
      </c>
      <c r="I16" s="184" t="str">
        <f>IF(SUM(Tab_Compteur_4[[#This Row],[Quantité]],Tab_Compteur_4[[#This Row],[Index]])&lt;=0,"",G16)</f>
        <v/>
      </c>
      <c r="J16" s="185"/>
      <c r="K16" s="823"/>
      <c r="L16" s="823"/>
      <c r="M16" s="823"/>
    </row>
    <row r="17" spans="1:13">
      <c r="A17" s="2">
        <f t="shared" si="1"/>
        <v>1</v>
      </c>
      <c r="B17" s="501"/>
      <c r="C17" s="502"/>
      <c r="D17" s="511"/>
      <c r="E17" s="515"/>
      <c r="F17" s="177">
        <f t="shared" si="0"/>
        <v>0</v>
      </c>
      <c r="G17" s="177" t="str">
        <f>IF(IFERROR(IF(Str_TypeDonneesCpt4=Cpt_Index,Tab_Compteur_4[[#This Row],[Index]]-E16,Tab_Compteur_4[[#This Row],[Quantité]])/Tab_Compteur_4[[#This Row],[Delta Jour]],"")&lt;0,"",IFERROR(IF(Str_TypeDonneesCpt4=Cpt_Index,Tab_Compteur_4[[#This Row],[Index]]-E16,Tab_Compteur_4[[#This Row],[Quantité]])/Tab_Compteur_4[[#This Row],[Delta Jour]],""))</f>
        <v/>
      </c>
      <c r="H17" s="177" t="str">
        <f>IFERROR(Tab_Compteur_4[[#This Row],[Montant]]/Tab_Compteur_4[[#This Row],[Delta Jour]],"")</f>
        <v/>
      </c>
      <c r="I17" s="184" t="str">
        <f>IF(SUM(Tab_Compteur_4[[#This Row],[Quantité]],Tab_Compteur_4[[#This Row],[Index]])&lt;=0,"",G17)</f>
        <v/>
      </c>
      <c r="J17" s="185"/>
      <c r="K17" s="823"/>
      <c r="L17" s="823"/>
      <c r="M17" s="823"/>
    </row>
    <row r="18" spans="1:13">
      <c r="A18" s="2">
        <f t="shared" si="1"/>
        <v>1</v>
      </c>
      <c r="B18" s="501"/>
      <c r="C18" s="502"/>
      <c r="D18" s="511"/>
      <c r="E18" s="515"/>
      <c r="F18" s="177">
        <f t="shared" si="0"/>
        <v>0</v>
      </c>
      <c r="G18" s="177" t="str">
        <f>IF(IFERROR(IF(Str_TypeDonneesCpt4=Cpt_Index,Tab_Compteur_4[[#This Row],[Index]]-E17,Tab_Compteur_4[[#This Row],[Quantité]])/Tab_Compteur_4[[#This Row],[Delta Jour]],"")&lt;0,"",IFERROR(IF(Str_TypeDonneesCpt4=Cpt_Index,Tab_Compteur_4[[#This Row],[Index]]-E17,Tab_Compteur_4[[#This Row],[Quantité]])/Tab_Compteur_4[[#This Row],[Delta Jour]],""))</f>
        <v/>
      </c>
      <c r="H18" s="177" t="str">
        <f>IFERROR(Tab_Compteur_4[[#This Row],[Montant]]/Tab_Compteur_4[[#This Row],[Delta Jour]],"")</f>
        <v/>
      </c>
      <c r="I18" s="184" t="str">
        <f>IF(SUM(Tab_Compteur_4[[#This Row],[Quantité]],Tab_Compteur_4[[#This Row],[Index]])&lt;=0,"",G18)</f>
        <v/>
      </c>
      <c r="J18" s="185"/>
      <c r="K18" s="823"/>
      <c r="L18" s="823"/>
      <c r="M18" s="823"/>
    </row>
    <row r="19" spans="1:13">
      <c r="A19" s="2">
        <f t="shared" si="1"/>
        <v>1</v>
      </c>
      <c r="B19" s="501"/>
      <c r="C19" s="502"/>
      <c r="D19" s="511"/>
      <c r="E19" s="515"/>
      <c r="F19" s="177">
        <f t="shared" si="0"/>
        <v>0</v>
      </c>
      <c r="G19" s="177" t="str">
        <f>IF(IFERROR(IF(Str_TypeDonneesCpt4=Cpt_Index,Tab_Compteur_4[[#This Row],[Index]]-E18,Tab_Compteur_4[[#This Row],[Quantité]])/Tab_Compteur_4[[#This Row],[Delta Jour]],"")&lt;0,"",IFERROR(IF(Str_TypeDonneesCpt4=Cpt_Index,Tab_Compteur_4[[#This Row],[Index]]-E18,Tab_Compteur_4[[#This Row],[Quantité]])/Tab_Compteur_4[[#This Row],[Delta Jour]],""))</f>
        <v/>
      </c>
      <c r="H19" s="177" t="str">
        <f>IFERROR(Tab_Compteur_4[[#This Row],[Montant]]/Tab_Compteur_4[[#This Row],[Delta Jour]],"")</f>
        <v/>
      </c>
      <c r="I19" s="184" t="str">
        <f>IF(SUM(Tab_Compteur_4[[#This Row],[Quantité]],Tab_Compteur_4[[#This Row],[Index]])&lt;=0,"",G19)</f>
        <v/>
      </c>
      <c r="J19" s="185"/>
      <c r="K19" s="823"/>
      <c r="L19" s="823"/>
      <c r="M19" s="823"/>
    </row>
    <row r="20" spans="1:13">
      <c r="A20" s="2">
        <f t="shared" si="1"/>
        <v>1</v>
      </c>
      <c r="B20" s="501"/>
      <c r="C20" s="502"/>
      <c r="D20" s="511"/>
      <c r="E20" s="515"/>
      <c r="F20" s="177">
        <f t="shared" si="0"/>
        <v>0</v>
      </c>
      <c r="G20" s="177" t="str">
        <f>IF(IFERROR(IF(Str_TypeDonneesCpt4=Cpt_Index,Tab_Compteur_4[[#This Row],[Index]]-E19,Tab_Compteur_4[[#This Row],[Quantité]])/Tab_Compteur_4[[#This Row],[Delta Jour]],"")&lt;0,"",IFERROR(IF(Str_TypeDonneesCpt4=Cpt_Index,Tab_Compteur_4[[#This Row],[Index]]-E19,Tab_Compteur_4[[#This Row],[Quantité]])/Tab_Compteur_4[[#This Row],[Delta Jour]],""))</f>
        <v/>
      </c>
      <c r="H20" s="177" t="str">
        <f>IFERROR(Tab_Compteur_4[[#This Row],[Montant]]/Tab_Compteur_4[[#This Row],[Delta Jour]],"")</f>
        <v/>
      </c>
      <c r="I20" s="184" t="str">
        <f>IF(SUM(Tab_Compteur_4[[#This Row],[Quantité]],Tab_Compteur_4[[#This Row],[Index]])&lt;=0,"",G20)</f>
        <v/>
      </c>
      <c r="J20" s="185"/>
      <c r="K20" s="823"/>
      <c r="L20" s="823"/>
      <c r="M20" s="823"/>
    </row>
    <row r="21" spans="1:13">
      <c r="A21" s="2">
        <f t="shared" si="1"/>
        <v>1</v>
      </c>
      <c r="B21" s="501"/>
      <c r="C21" s="502"/>
      <c r="D21" s="511"/>
      <c r="E21" s="515"/>
      <c r="F21" s="177">
        <f t="shared" si="0"/>
        <v>0</v>
      </c>
      <c r="G21" s="177" t="str">
        <f>IF(IFERROR(IF(Str_TypeDonneesCpt4=Cpt_Index,Tab_Compteur_4[[#This Row],[Index]]-E20,Tab_Compteur_4[[#This Row],[Quantité]])/Tab_Compteur_4[[#This Row],[Delta Jour]],"")&lt;0,"",IFERROR(IF(Str_TypeDonneesCpt4=Cpt_Index,Tab_Compteur_4[[#This Row],[Index]]-E20,Tab_Compteur_4[[#This Row],[Quantité]])/Tab_Compteur_4[[#This Row],[Delta Jour]],""))</f>
        <v/>
      </c>
      <c r="H21" s="177" t="str">
        <f>IFERROR(Tab_Compteur_4[[#This Row],[Montant]]/Tab_Compteur_4[[#This Row],[Delta Jour]],"")</f>
        <v/>
      </c>
      <c r="I21" s="184" t="str">
        <f>IF(SUM(Tab_Compteur_4[[#This Row],[Quantité]],Tab_Compteur_4[[#This Row],[Index]])&lt;=0,"",G21)</f>
        <v/>
      </c>
      <c r="J21" s="185"/>
      <c r="K21" s="823"/>
      <c r="L21" s="823"/>
      <c r="M21" s="823"/>
    </row>
    <row r="22" spans="1:13">
      <c r="A22" s="2">
        <f t="shared" si="1"/>
        <v>1</v>
      </c>
      <c r="B22" s="501"/>
      <c r="C22" s="502"/>
      <c r="D22" s="511"/>
      <c r="E22" s="515"/>
      <c r="F22" s="177">
        <f t="shared" si="0"/>
        <v>0</v>
      </c>
      <c r="G22" s="177" t="str">
        <f>IF(IFERROR(IF(Str_TypeDonneesCpt4=Cpt_Index,Tab_Compteur_4[[#This Row],[Index]]-E21,Tab_Compteur_4[[#This Row],[Quantité]])/Tab_Compteur_4[[#This Row],[Delta Jour]],"")&lt;0,"",IFERROR(IF(Str_TypeDonneesCpt4=Cpt_Index,Tab_Compteur_4[[#This Row],[Index]]-E21,Tab_Compteur_4[[#This Row],[Quantité]])/Tab_Compteur_4[[#This Row],[Delta Jour]],""))</f>
        <v/>
      </c>
      <c r="H22" s="177" t="str">
        <f>IFERROR(Tab_Compteur_4[[#This Row],[Montant]]/Tab_Compteur_4[[#This Row],[Delta Jour]],"")</f>
        <v/>
      </c>
      <c r="I22" s="184" t="str">
        <f>IF(SUM(Tab_Compteur_4[[#This Row],[Quantité]],Tab_Compteur_4[[#This Row],[Index]])&lt;=0,"",G22)</f>
        <v/>
      </c>
      <c r="J22" s="185"/>
      <c r="K22" s="823"/>
      <c r="L22" s="823"/>
      <c r="M22" s="823"/>
    </row>
    <row r="23" spans="1:13">
      <c r="A23" s="2">
        <f t="shared" si="1"/>
        <v>1</v>
      </c>
      <c r="B23" s="501"/>
      <c r="C23" s="502"/>
      <c r="D23" s="511"/>
      <c r="E23" s="515"/>
      <c r="F23" s="177">
        <f t="shared" si="0"/>
        <v>0</v>
      </c>
      <c r="G23" s="177" t="str">
        <f>IF(IFERROR(IF(Str_TypeDonneesCpt4=Cpt_Index,Tab_Compteur_4[[#This Row],[Index]]-E22,Tab_Compteur_4[[#This Row],[Quantité]])/Tab_Compteur_4[[#This Row],[Delta Jour]],"")&lt;0,"",IFERROR(IF(Str_TypeDonneesCpt4=Cpt_Index,Tab_Compteur_4[[#This Row],[Index]]-E22,Tab_Compteur_4[[#This Row],[Quantité]])/Tab_Compteur_4[[#This Row],[Delta Jour]],""))</f>
        <v/>
      </c>
      <c r="H23" s="177" t="str">
        <f>IFERROR(Tab_Compteur_4[[#This Row],[Montant]]/Tab_Compteur_4[[#This Row],[Delta Jour]],"")</f>
        <v/>
      </c>
      <c r="I23" s="184" t="str">
        <f>IF(SUM(Tab_Compteur_4[[#This Row],[Quantité]],Tab_Compteur_4[[#This Row],[Index]])&lt;=0,"",G23)</f>
        <v/>
      </c>
      <c r="J23" s="185"/>
      <c r="K23" s="823"/>
      <c r="L23" s="823"/>
      <c r="M23" s="823"/>
    </row>
    <row r="24" spans="1:13">
      <c r="A24" s="2">
        <f t="shared" si="1"/>
        <v>1</v>
      </c>
      <c r="B24" s="501"/>
      <c r="C24" s="502"/>
      <c r="D24" s="511"/>
      <c r="E24" s="515"/>
      <c r="F24" s="177">
        <f t="shared" si="0"/>
        <v>0</v>
      </c>
      <c r="G24" s="177" t="str">
        <f>IF(IFERROR(IF(Str_TypeDonneesCpt4=Cpt_Index,Tab_Compteur_4[[#This Row],[Index]]-E23,Tab_Compteur_4[[#This Row],[Quantité]])/Tab_Compteur_4[[#This Row],[Delta Jour]],"")&lt;0,"",IFERROR(IF(Str_TypeDonneesCpt4=Cpt_Index,Tab_Compteur_4[[#This Row],[Index]]-E23,Tab_Compteur_4[[#This Row],[Quantité]])/Tab_Compteur_4[[#This Row],[Delta Jour]],""))</f>
        <v/>
      </c>
      <c r="H24" s="177" t="str">
        <f>IFERROR(Tab_Compteur_4[[#This Row],[Montant]]/Tab_Compteur_4[[#This Row],[Delta Jour]],"")</f>
        <v/>
      </c>
      <c r="I24" s="184" t="str">
        <f>IF(SUM(Tab_Compteur_4[[#This Row],[Quantité]],Tab_Compteur_4[[#This Row],[Index]])&lt;=0,"",G24)</f>
        <v/>
      </c>
      <c r="J24" s="185"/>
      <c r="K24" s="823"/>
      <c r="L24" s="823"/>
      <c r="M24" s="823"/>
    </row>
    <row r="25" spans="1:13">
      <c r="A25" s="2">
        <f t="shared" si="1"/>
        <v>1</v>
      </c>
      <c r="B25" s="501"/>
      <c r="C25" s="502"/>
      <c r="D25" s="511"/>
      <c r="E25" s="515"/>
      <c r="F25" s="177">
        <f t="shared" si="0"/>
        <v>0</v>
      </c>
      <c r="G25" s="177" t="str">
        <f>IF(IFERROR(IF(Str_TypeDonneesCpt4=Cpt_Index,Tab_Compteur_4[[#This Row],[Index]]-E24,Tab_Compteur_4[[#This Row],[Quantité]])/Tab_Compteur_4[[#This Row],[Delta Jour]],"")&lt;0,"",IFERROR(IF(Str_TypeDonneesCpt4=Cpt_Index,Tab_Compteur_4[[#This Row],[Index]]-E24,Tab_Compteur_4[[#This Row],[Quantité]])/Tab_Compteur_4[[#This Row],[Delta Jour]],""))</f>
        <v/>
      </c>
      <c r="H25" s="177" t="str">
        <f>IFERROR(Tab_Compteur_4[[#This Row],[Montant]]/Tab_Compteur_4[[#This Row],[Delta Jour]],"")</f>
        <v/>
      </c>
      <c r="I25" s="184" t="str">
        <f>IF(SUM(Tab_Compteur_4[[#This Row],[Quantité]],Tab_Compteur_4[[#This Row],[Index]])&lt;=0,"",G25)</f>
        <v/>
      </c>
      <c r="J25" s="185"/>
      <c r="K25" s="823"/>
      <c r="L25" s="823"/>
      <c r="M25" s="823"/>
    </row>
    <row r="26" spans="1:13">
      <c r="A26" s="2">
        <f t="shared" si="1"/>
        <v>1</v>
      </c>
      <c r="B26" s="501"/>
      <c r="C26" s="502"/>
      <c r="D26" s="511"/>
      <c r="E26" s="515"/>
      <c r="F26" s="177">
        <f t="shared" si="0"/>
        <v>0</v>
      </c>
      <c r="G26" s="177" t="str">
        <f>IF(IFERROR(IF(Str_TypeDonneesCpt4=Cpt_Index,Tab_Compteur_4[[#This Row],[Index]]-E25,Tab_Compteur_4[[#This Row],[Quantité]])/Tab_Compteur_4[[#This Row],[Delta Jour]],"")&lt;0,"",IFERROR(IF(Str_TypeDonneesCpt4=Cpt_Index,Tab_Compteur_4[[#This Row],[Index]]-E25,Tab_Compteur_4[[#This Row],[Quantité]])/Tab_Compteur_4[[#This Row],[Delta Jour]],""))</f>
        <v/>
      </c>
      <c r="H26" s="177" t="str">
        <f>IFERROR(Tab_Compteur_4[[#This Row],[Montant]]/Tab_Compteur_4[[#This Row],[Delta Jour]],"")</f>
        <v/>
      </c>
      <c r="I26" s="184" t="str">
        <f>IF(SUM(Tab_Compteur_4[[#This Row],[Quantité]],Tab_Compteur_4[[#This Row],[Index]])&lt;=0,"",G26)</f>
        <v/>
      </c>
      <c r="J26" s="185"/>
      <c r="K26" s="823"/>
      <c r="L26" s="823"/>
      <c r="M26" s="823"/>
    </row>
    <row r="27" spans="1:13">
      <c r="A27" s="2">
        <f t="shared" si="1"/>
        <v>1</v>
      </c>
      <c r="B27" s="501"/>
      <c r="C27" s="502"/>
      <c r="D27" s="511"/>
      <c r="E27" s="515"/>
      <c r="F27" s="177">
        <f t="shared" si="0"/>
        <v>0</v>
      </c>
      <c r="G27" s="177" t="str">
        <f>IF(IFERROR(IF(Str_TypeDonneesCpt4=Cpt_Index,Tab_Compteur_4[[#This Row],[Index]]-E26,Tab_Compteur_4[[#This Row],[Quantité]])/Tab_Compteur_4[[#This Row],[Delta Jour]],"")&lt;0,"",IFERROR(IF(Str_TypeDonneesCpt4=Cpt_Index,Tab_Compteur_4[[#This Row],[Index]]-E26,Tab_Compteur_4[[#This Row],[Quantité]])/Tab_Compteur_4[[#This Row],[Delta Jour]],""))</f>
        <v/>
      </c>
      <c r="H27" s="177" t="str">
        <f>IFERROR(Tab_Compteur_4[[#This Row],[Montant]]/Tab_Compteur_4[[#This Row],[Delta Jour]],"")</f>
        <v/>
      </c>
      <c r="I27" s="184" t="str">
        <f>IF(SUM(Tab_Compteur_4[[#This Row],[Quantité]],Tab_Compteur_4[[#This Row],[Index]])&lt;=0,"",G27)</f>
        <v/>
      </c>
      <c r="J27" s="185"/>
      <c r="K27" s="823"/>
      <c r="L27" s="823"/>
      <c r="M27" s="823"/>
    </row>
    <row r="28" spans="1:13">
      <c r="A28" s="2">
        <f t="shared" si="1"/>
        <v>1</v>
      </c>
      <c r="B28" s="501"/>
      <c r="C28" s="502"/>
      <c r="D28" s="511"/>
      <c r="E28" s="515"/>
      <c r="F28" s="177">
        <f t="shared" si="0"/>
        <v>0</v>
      </c>
      <c r="G28" s="177" t="str">
        <f>IF(IFERROR(IF(Str_TypeDonneesCpt4=Cpt_Index,Tab_Compteur_4[[#This Row],[Index]]-E27,Tab_Compteur_4[[#This Row],[Quantité]])/Tab_Compteur_4[[#This Row],[Delta Jour]],"")&lt;0,"",IFERROR(IF(Str_TypeDonneesCpt4=Cpt_Index,Tab_Compteur_4[[#This Row],[Index]]-E27,Tab_Compteur_4[[#This Row],[Quantité]])/Tab_Compteur_4[[#This Row],[Delta Jour]],""))</f>
        <v/>
      </c>
      <c r="H28" s="177" t="str">
        <f>IFERROR(Tab_Compteur_4[[#This Row],[Montant]]/Tab_Compteur_4[[#This Row],[Delta Jour]],"")</f>
        <v/>
      </c>
      <c r="I28" s="184" t="str">
        <f>IF(SUM(Tab_Compteur_4[[#This Row],[Quantité]],Tab_Compteur_4[[#This Row],[Index]])&lt;=0,"",G28)</f>
        <v/>
      </c>
      <c r="J28" s="185"/>
      <c r="K28" s="823"/>
      <c r="L28" s="823"/>
      <c r="M28" s="823"/>
    </row>
    <row r="29" spans="1:13">
      <c r="A29" s="2">
        <f t="shared" si="1"/>
        <v>1</v>
      </c>
      <c r="B29" s="501"/>
      <c r="C29" s="502"/>
      <c r="D29" s="511"/>
      <c r="E29" s="515"/>
      <c r="F29" s="177">
        <f t="shared" si="0"/>
        <v>0</v>
      </c>
      <c r="G29" s="177" t="str">
        <f>IF(IFERROR(IF(Str_TypeDonneesCpt4=Cpt_Index,Tab_Compteur_4[[#This Row],[Index]]-E28,Tab_Compteur_4[[#This Row],[Quantité]])/Tab_Compteur_4[[#This Row],[Delta Jour]],"")&lt;0,"",IFERROR(IF(Str_TypeDonneesCpt4=Cpt_Index,Tab_Compteur_4[[#This Row],[Index]]-E28,Tab_Compteur_4[[#This Row],[Quantité]])/Tab_Compteur_4[[#This Row],[Delta Jour]],""))</f>
        <v/>
      </c>
      <c r="H29" s="177" t="str">
        <f>IFERROR(Tab_Compteur_4[[#This Row],[Montant]]/Tab_Compteur_4[[#This Row],[Delta Jour]],"")</f>
        <v/>
      </c>
      <c r="I29" s="184" t="str">
        <f>IF(SUM(Tab_Compteur_4[[#This Row],[Quantité]],Tab_Compteur_4[[#This Row],[Index]])&lt;=0,"",G29)</f>
        <v/>
      </c>
      <c r="J29" s="185"/>
      <c r="K29" s="823"/>
      <c r="L29" s="823"/>
      <c r="M29" s="823"/>
    </row>
    <row r="30" spans="1:13">
      <c r="A30" s="2">
        <f t="shared" si="1"/>
        <v>1</v>
      </c>
      <c r="B30" s="501"/>
      <c r="C30" s="502"/>
      <c r="D30" s="511"/>
      <c r="E30" s="515"/>
      <c r="F30" s="177">
        <f t="shared" si="0"/>
        <v>0</v>
      </c>
      <c r="G30" s="177" t="str">
        <f>IF(IFERROR(IF(Str_TypeDonneesCpt4=Cpt_Index,Tab_Compteur_4[[#This Row],[Index]]-E29,Tab_Compteur_4[[#This Row],[Quantité]])/Tab_Compteur_4[[#This Row],[Delta Jour]],"")&lt;0,"",IFERROR(IF(Str_TypeDonneesCpt4=Cpt_Index,Tab_Compteur_4[[#This Row],[Index]]-E29,Tab_Compteur_4[[#This Row],[Quantité]])/Tab_Compteur_4[[#This Row],[Delta Jour]],""))</f>
        <v/>
      </c>
      <c r="H30" s="177" t="str">
        <f>IFERROR(Tab_Compteur_4[[#This Row],[Montant]]/Tab_Compteur_4[[#This Row],[Delta Jour]],"")</f>
        <v/>
      </c>
      <c r="I30" s="184" t="str">
        <f>IF(SUM(Tab_Compteur_4[[#This Row],[Quantité]],Tab_Compteur_4[[#This Row],[Index]])&lt;=0,"",G30)</f>
        <v/>
      </c>
      <c r="J30" s="185"/>
      <c r="K30" s="823"/>
      <c r="L30" s="823"/>
      <c r="M30" s="823"/>
    </row>
    <row r="31" spans="1:13">
      <c r="A31" s="2">
        <f t="shared" si="1"/>
        <v>1</v>
      </c>
      <c r="B31" s="501"/>
      <c r="C31" s="502"/>
      <c r="D31" s="511"/>
      <c r="E31" s="515"/>
      <c r="F31" s="177">
        <f t="shared" si="0"/>
        <v>0</v>
      </c>
      <c r="G31" s="177" t="str">
        <f>IF(IFERROR(IF(Str_TypeDonneesCpt4=Cpt_Index,Tab_Compteur_4[[#This Row],[Index]]-E30,Tab_Compteur_4[[#This Row],[Quantité]])/Tab_Compteur_4[[#This Row],[Delta Jour]],"")&lt;0,"",IFERROR(IF(Str_TypeDonneesCpt4=Cpt_Index,Tab_Compteur_4[[#This Row],[Index]]-E30,Tab_Compteur_4[[#This Row],[Quantité]])/Tab_Compteur_4[[#This Row],[Delta Jour]],""))</f>
        <v/>
      </c>
      <c r="H31" s="177" t="str">
        <f>IFERROR(Tab_Compteur_4[[#This Row],[Montant]]/Tab_Compteur_4[[#This Row],[Delta Jour]],"")</f>
        <v/>
      </c>
      <c r="I31" s="184" t="str">
        <f>IF(SUM(Tab_Compteur_4[[#This Row],[Quantité]],Tab_Compteur_4[[#This Row],[Index]])&lt;=0,"",G31)</f>
        <v/>
      </c>
      <c r="J31" s="185"/>
      <c r="K31" s="823"/>
      <c r="L31" s="823"/>
      <c r="M31" s="823"/>
    </row>
    <row r="32" spans="1:13">
      <c r="A32" s="2">
        <f t="shared" si="1"/>
        <v>1</v>
      </c>
      <c r="B32" s="501"/>
      <c r="C32" s="502"/>
      <c r="D32" s="511"/>
      <c r="E32" s="515"/>
      <c r="F32" s="177">
        <f t="shared" si="0"/>
        <v>0</v>
      </c>
      <c r="G32" s="177" t="str">
        <f>IF(IFERROR(IF(Str_TypeDonneesCpt4=Cpt_Index,Tab_Compteur_4[[#This Row],[Index]]-E31,Tab_Compteur_4[[#This Row],[Quantité]])/Tab_Compteur_4[[#This Row],[Delta Jour]],"")&lt;0,"",IFERROR(IF(Str_TypeDonneesCpt4=Cpt_Index,Tab_Compteur_4[[#This Row],[Index]]-E31,Tab_Compteur_4[[#This Row],[Quantité]])/Tab_Compteur_4[[#This Row],[Delta Jour]],""))</f>
        <v/>
      </c>
      <c r="H32" s="177" t="str">
        <f>IFERROR(Tab_Compteur_4[[#This Row],[Montant]]/Tab_Compteur_4[[#This Row],[Delta Jour]],"")</f>
        <v/>
      </c>
      <c r="I32" s="184" t="str">
        <f>IF(SUM(Tab_Compteur_4[[#This Row],[Quantité]],Tab_Compteur_4[[#This Row],[Index]])&lt;=0,"",G32)</f>
        <v/>
      </c>
      <c r="J32" s="185"/>
      <c r="K32" s="823"/>
      <c r="L32" s="823"/>
      <c r="M32" s="823"/>
    </row>
    <row r="33" spans="1:13">
      <c r="A33" s="2">
        <f t="shared" si="1"/>
        <v>1</v>
      </c>
      <c r="B33" s="501"/>
      <c r="C33" s="502"/>
      <c r="D33" s="511"/>
      <c r="E33" s="515"/>
      <c r="F33" s="177">
        <f t="shared" si="0"/>
        <v>0</v>
      </c>
      <c r="G33" s="177" t="str">
        <f>IF(IFERROR(IF(Str_TypeDonneesCpt4=Cpt_Index,Tab_Compteur_4[[#This Row],[Index]]-E32,Tab_Compteur_4[[#This Row],[Quantité]])/Tab_Compteur_4[[#This Row],[Delta Jour]],"")&lt;0,"",IFERROR(IF(Str_TypeDonneesCpt4=Cpt_Index,Tab_Compteur_4[[#This Row],[Index]]-E32,Tab_Compteur_4[[#This Row],[Quantité]])/Tab_Compteur_4[[#This Row],[Delta Jour]],""))</f>
        <v/>
      </c>
      <c r="H33" s="177" t="str">
        <f>IFERROR(Tab_Compteur_4[[#This Row],[Montant]]/Tab_Compteur_4[[#This Row],[Delta Jour]],"")</f>
        <v/>
      </c>
      <c r="I33" s="184" t="str">
        <f>IF(SUM(Tab_Compteur_4[[#This Row],[Quantité]],Tab_Compteur_4[[#This Row],[Index]])&lt;=0,"",G33)</f>
        <v/>
      </c>
      <c r="J33" s="185"/>
      <c r="K33" s="823"/>
      <c r="L33" s="823"/>
      <c r="M33" s="823"/>
    </row>
    <row r="34" spans="1:13">
      <c r="A34" s="2">
        <f t="shared" si="1"/>
        <v>1</v>
      </c>
      <c r="B34" s="501"/>
      <c r="C34" s="502"/>
      <c r="D34" s="511"/>
      <c r="E34" s="515"/>
      <c r="F34" s="177">
        <f t="shared" si="0"/>
        <v>0</v>
      </c>
      <c r="G34" s="177" t="str">
        <f>IF(IFERROR(IF(Str_TypeDonneesCpt4=Cpt_Index,Tab_Compteur_4[[#This Row],[Index]]-E33,Tab_Compteur_4[[#This Row],[Quantité]])/Tab_Compteur_4[[#This Row],[Delta Jour]],"")&lt;0,"",IFERROR(IF(Str_TypeDonneesCpt4=Cpt_Index,Tab_Compteur_4[[#This Row],[Index]]-E33,Tab_Compteur_4[[#This Row],[Quantité]])/Tab_Compteur_4[[#This Row],[Delta Jour]],""))</f>
        <v/>
      </c>
      <c r="H34" s="177" t="str">
        <f>IFERROR(Tab_Compteur_4[[#This Row],[Montant]]/Tab_Compteur_4[[#This Row],[Delta Jour]],"")</f>
        <v/>
      </c>
      <c r="I34" s="184" t="str">
        <f>IF(SUM(Tab_Compteur_4[[#This Row],[Quantité]],Tab_Compteur_4[[#This Row],[Index]])&lt;=0,"",G34)</f>
        <v/>
      </c>
      <c r="J34" s="185"/>
      <c r="K34" s="36"/>
      <c r="L34" s="36"/>
      <c r="M34" s="36"/>
    </row>
    <row r="35" spans="1:13">
      <c r="A35" s="2">
        <f t="shared" si="1"/>
        <v>1</v>
      </c>
      <c r="B35" s="501"/>
      <c r="C35" s="502"/>
      <c r="D35" s="511"/>
      <c r="E35" s="515"/>
      <c r="F35" s="177">
        <f t="shared" si="0"/>
        <v>0</v>
      </c>
      <c r="G35" s="177" t="str">
        <f>IF(IFERROR(IF(Str_TypeDonneesCpt4=Cpt_Index,Tab_Compteur_4[[#This Row],[Index]]-E34,Tab_Compteur_4[[#This Row],[Quantité]])/Tab_Compteur_4[[#This Row],[Delta Jour]],"")&lt;0,"",IFERROR(IF(Str_TypeDonneesCpt4=Cpt_Index,Tab_Compteur_4[[#This Row],[Index]]-E34,Tab_Compteur_4[[#This Row],[Quantité]])/Tab_Compteur_4[[#This Row],[Delta Jour]],""))</f>
        <v/>
      </c>
      <c r="H35" s="177" t="str">
        <f>IFERROR(Tab_Compteur_4[[#This Row],[Montant]]/Tab_Compteur_4[[#This Row],[Delta Jour]],"")</f>
        <v/>
      </c>
      <c r="I35" s="184" t="str">
        <f>IF(SUM(Tab_Compteur_4[[#This Row],[Quantité]],Tab_Compteur_4[[#This Row],[Index]])&lt;=0,"",G35)</f>
        <v/>
      </c>
      <c r="J35" s="185"/>
      <c r="K35" s="36"/>
      <c r="L35" s="36"/>
      <c r="M35" s="36"/>
    </row>
    <row r="36" spans="1:13">
      <c r="A36" s="2">
        <f t="shared" si="1"/>
        <v>1</v>
      </c>
      <c r="B36" s="501"/>
      <c r="C36" s="502"/>
      <c r="D36" s="511"/>
      <c r="E36" s="515"/>
      <c r="F36" s="177">
        <f t="shared" si="0"/>
        <v>0</v>
      </c>
      <c r="G36" s="177" t="str">
        <f>IF(IFERROR(IF(Str_TypeDonneesCpt4=Cpt_Index,Tab_Compteur_4[[#This Row],[Index]]-E35,Tab_Compteur_4[[#This Row],[Quantité]])/Tab_Compteur_4[[#This Row],[Delta Jour]],"")&lt;0,"",IFERROR(IF(Str_TypeDonneesCpt4=Cpt_Index,Tab_Compteur_4[[#This Row],[Index]]-E35,Tab_Compteur_4[[#This Row],[Quantité]])/Tab_Compteur_4[[#This Row],[Delta Jour]],""))</f>
        <v/>
      </c>
      <c r="H36" s="177" t="str">
        <f>IFERROR(Tab_Compteur_4[[#This Row],[Montant]]/Tab_Compteur_4[[#This Row],[Delta Jour]],"")</f>
        <v/>
      </c>
      <c r="I36" s="184" t="str">
        <f>IF(SUM(Tab_Compteur_4[[#This Row],[Quantité]],Tab_Compteur_4[[#This Row],[Index]])&lt;=0,"",G36)</f>
        <v/>
      </c>
      <c r="J36" s="185"/>
      <c r="K36" s="36"/>
      <c r="L36" s="36"/>
      <c r="M36" s="36"/>
    </row>
    <row r="37" spans="1:13">
      <c r="A37" s="2">
        <f t="shared" si="1"/>
        <v>1</v>
      </c>
      <c r="B37" s="501"/>
      <c r="C37" s="502"/>
      <c r="D37" s="511"/>
      <c r="E37" s="515"/>
      <c r="F37" s="177">
        <f t="shared" si="0"/>
        <v>0</v>
      </c>
      <c r="G37" s="177" t="str">
        <f>IF(IFERROR(IF(Str_TypeDonneesCpt4=Cpt_Index,Tab_Compteur_4[[#This Row],[Index]]-E36,Tab_Compteur_4[[#This Row],[Quantité]])/Tab_Compteur_4[[#This Row],[Delta Jour]],"")&lt;0,"",IFERROR(IF(Str_TypeDonneesCpt4=Cpt_Index,Tab_Compteur_4[[#This Row],[Index]]-E36,Tab_Compteur_4[[#This Row],[Quantité]])/Tab_Compteur_4[[#This Row],[Delta Jour]],""))</f>
        <v/>
      </c>
      <c r="H37" s="177" t="str">
        <f>IFERROR(Tab_Compteur_4[[#This Row],[Montant]]/Tab_Compteur_4[[#This Row],[Delta Jour]],"")</f>
        <v/>
      </c>
      <c r="I37" s="184" t="str">
        <f>IF(SUM(Tab_Compteur_4[[#This Row],[Quantité]],Tab_Compteur_4[[#This Row],[Index]])&lt;=0,"",G37)</f>
        <v/>
      </c>
      <c r="J37" s="185"/>
      <c r="K37" s="36"/>
      <c r="L37" s="36"/>
      <c r="M37" s="36"/>
    </row>
    <row r="38" spans="1:13">
      <c r="A38" s="2">
        <f t="shared" si="1"/>
        <v>1</v>
      </c>
      <c r="B38" s="501"/>
      <c r="C38" s="502"/>
      <c r="D38" s="511"/>
      <c r="E38" s="515"/>
      <c r="F38" s="177">
        <f t="shared" si="0"/>
        <v>0</v>
      </c>
      <c r="G38" s="177" t="str">
        <f>IF(IFERROR(IF(Str_TypeDonneesCpt4=Cpt_Index,Tab_Compteur_4[[#This Row],[Index]]-E37,Tab_Compteur_4[[#This Row],[Quantité]])/Tab_Compteur_4[[#This Row],[Delta Jour]],"")&lt;0,"",IFERROR(IF(Str_TypeDonneesCpt4=Cpt_Index,Tab_Compteur_4[[#This Row],[Index]]-E37,Tab_Compteur_4[[#This Row],[Quantité]])/Tab_Compteur_4[[#This Row],[Delta Jour]],""))</f>
        <v/>
      </c>
      <c r="H38" s="177" t="str">
        <f>IFERROR(Tab_Compteur_4[[#This Row],[Montant]]/Tab_Compteur_4[[#This Row],[Delta Jour]],"")</f>
        <v/>
      </c>
      <c r="I38" s="184" t="str">
        <f>IF(SUM(Tab_Compteur_4[[#This Row],[Quantité]],Tab_Compteur_4[[#This Row],[Index]])&lt;=0,"",G38)</f>
        <v/>
      </c>
      <c r="J38" s="185"/>
      <c r="K38" s="36"/>
      <c r="L38" s="36"/>
      <c r="M38" s="36"/>
    </row>
    <row r="39" spans="1:13">
      <c r="A39" s="2">
        <f t="shared" si="1"/>
        <v>1</v>
      </c>
      <c r="B39" s="501"/>
      <c r="C39" s="502"/>
      <c r="D39" s="511"/>
      <c r="E39" s="515"/>
      <c r="F39" s="177">
        <f t="shared" si="0"/>
        <v>0</v>
      </c>
      <c r="G39" s="177" t="str">
        <f>IF(IFERROR(IF(Str_TypeDonneesCpt4=Cpt_Index,Tab_Compteur_4[[#This Row],[Index]]-E38,Tab_Compteur_4[[#This Row],[Quantité]])/Tab_Compteur_4[[#This Row],[Delta Jour]],"")&lt;0,"",IFERROR(IF(Str_TypeDonneesCpt4=Cpt_Index,Tab_Compteur_4[[#This Row],[Index]]-E38,Tab_Compteur_4[[#This Row],[Quantité]])/Tab_Compteur_4[[#This Row],[Delta Jour]],""))</f>
        <v/>
      </c>
      <c r="H39" s="177" t="str">
        <f>IFERROR(Tab_Compteur_4[[#This Row],[Montant]]/Tab_Compteur_4[[#This Row],[Delta Jour]],"")</f>
        <v/>
      </c>
      <c r="I39" s="184" t="str">
        <f>IF(SUM(Tab_Compteur_4[[#This Row],[Quantité]],Tab_Compteur_4[[#This Row],[Index]])&lt;=0,"",G39)</f>
        <v/>
      </c>
      <c r="J39" s="185"/>
      <c r="K39" s="36"/>
      <c r="L39" s="36"/>
      <c r="M39" s="36"/>
    </row>
    <row r="40" spans="1:13">
      <c r="A40" s="2">
        <f t="shared" si="1"/>
        <v>1</v>
      </c>
      <c r="B40" s="501"/>
      <c r="C40" s="502"/>
      <c r="D40" s="511"/>
      <c r="E40" s="515"/>
      <c r="F40" s="177">
        <f t="shared" si="0"/>
        <v>0</v>
      </c>
      <c r="G40" s="177" t="str">
        <f>IF(IFERROR(IF(Str_TypeDonneesCpt4=Cpt_Index,Tab_Compteur_4[[#This Row],[Index]]-E39,Tab_Compteur_4[[#This Row],[Quantité]])/Tab_Compteur_4[[#This Row],[Delta Jour]],"")&lt;0,"",IFERROR(IF(Str_TypeDonneesCpt4=Cpt_Index,Tab_Compteur_4[[#This Row],[Index]]-E39,Tab_Compteur_4[[#This Row],[Quantité]])/Tab_Compteur_4[[#This Row],[Delta Jour]],""))</f>
        <v/>
      </c>
      <c r="H40" s="177" t="str">
        <f>IFERROR(Tab_Compteur_4[[#This Row],[Montant]]/Tab_Compteur_4[[#This Row],[Delta Jour]],"")</f>
        <v/>
      </c>
      <c r="I40" s="184" t="str">
        <f>IF(SUM(Tab_Compteur_4[[#This Row],[Quantité]],Tab_Compteur_4[[#This Row],[Index]])&lt;=0,"",G40)</f>
        <v/>
      </c>
      <c r="J40" s="185"/>
      <c r="K40" s="36"/>
      <c r="L40" s="36"/>
      <c r="M40" s="36"/>
    </row>
    <row r="41" spans="1:13">
      <c r="A41" s="2">
        <f t="shared" si="1"/>
        <v>1</v>
      </c>
      <c r="B41" s="501"/>
      <c r="C41" s="502"/>
      <c r="D41" s="511"/>
      <c r="E41" s="515"/>
      <c r="F41" s="177">
        <f t="shared" si="0"/>
        <v>0</v>
      </c>
      <c r="G41" s="177" t="str">
        <f>IF(IFERROR(IF(Str_TypeDonneesCpt4=Cpt_Index,Tab_Compteur_4[[#This Row],[Index]]-E40,Tab_Compteur_4[[#This Row],[Quantité]])/Tab_Compteur_4[[#This Row],[Delta Jour]],"")&lt;0,"",IFERROR(IF(Str_TypeDonneesCpt4=Cpt_Index,Tab_Compteur_4[[#This Row],[Index]]-E40,Tab_Compteur_4[[#This Row],[Quantité]])/Tab_Compteur_4[[#This Row],[Delta Jour]],""))</f>
        <v/>
      </c>
      <c r="H41" s="177" t="str">
        <f>IFERROR(Tab_Compteur_4[[#This Row],[Montant]]/Tab_Compteur_4[[#This Row],[Delta Jour]],"")</f>
        <v/>
      </c>
      <c r="I41" s="184" t="str">
        <f>IF(SUM(Tab_Compteur_4[[#This Row],[Quantité]],Tab_Compteur_4[[#This Row],[Index]])&lt;=0,"",G41)</f>
        <v/>
      </c>
      <c r="J41" s="185"/>
      <c r="K41" s="36"/>
      <c r="L41" s="36"/>
      <c r="M41" s="36"/>
    </row>
    <row r="42" spans="1:13">
      <c r="A42" s="2">
        <f t="shared" si="1"/>
        <v>1</v>
      </c>
      <c r="B42" s="501"/>
      <c r="C42" s="502"/>
      <c r="D42" s="511"/>
      <c r="E42" s="515"/>
      <c r="F42" s="177">
        <f t="shared" si="0"/>
        <v>0</v>
      </c>
      <c r="G42" s="177" t="str">
        <f>IF(IFERROR(IF(Str_TypeDonneesCpt4=Cpt_Index,Tab_Compteur_4[[#This Row],[Index]]-E41,Tab_Compteur_4[[#This Row],[Quantité]])/Tab_Compteur_4[[#This Row],[Delta Jour]],"")&lt;0,"",IFERROR(IF(Str_TypeDonneesCpt4=Cpt_Index,Tab_Compteur_4[[#This Row],[Index]]-E41,Tab_Compteur_4[[#This Row],[Quantité]])/Tab_Compteur_4[[#This Row],[Delta Jour]],""))</f>
        <v/>
      </c>
      <c r="H42" s="177" t="str">
        <f>IFERROR(Tab_Compteur_4[[#This Row],[Montant]]/Tab_Compteur_4[[#This Row],[Delta Jour]],"")</f>
        <v/>
      </c>
      <c r="I42" s="184" t="str">
        <f>IF(SUM(Tab_Compteur_4[[#This Row],[Quantité]],Tab_Compteur_4[[#This Row],[Index]])&lt;=0,"",G42)</f>
        <v/>
      </c>
      <c r="J42" s="185"/>
      <c r="K42" s="36"/>
      <c r="L42" s="36"/>
      <c r="M42" s="36"/>
    </row>
    <row r="43" spans="1:13">
      <c r="A43" s="2">
        <f t="shared" si="1"/>
        <v>1</v>
      </c>
      <c r="B43" s="501"/>
      <c r="C43" s="502"/>
      <c r="D43" s="511"/>
      <c r="E43" s="515"/>
      <c r="F43" s="177">
        <f t="shared" si="0"/>
        <v>0</v>
      </c>
      <c r="G43" s="177" t="str">
        <f>IF(IFERROR(IF(Str_TypeDonneesCpt4=Cpt_Index,Tab_Compteur_4[[#This Row],[Index]]-E42,Tab_Compteur_4[[#This Row],[Quantité]])/Tab_Compteur_4[[#This Row],[Delta Jour]],"")&lt;0,"",IFERROR(IF(Str_TypeDonneesCpt4=Cpt_Index,Tab_Compteur_4[[#This Row],[Index]]-E42,Tab_Compteur_4[[#This Row],[Quantité]])/Tab_Compteur_4[[#This Row],[Delta Jour]],""))</f>
        <v/>
      </c>
      <c r="H43" s="177" t="str">
        <f>IFERROR(Tab_Compteur_4[[#This Row],[Montant]]/Tab_Compteur_4[[#This Row],[Delta Jour]],"")</f>
        <v/>
      </c>
      <c r="I43" s="184" t="str">
        <f>IF(SUM(Tab_Compteur_4[[#This Row],[Quantité]],Tab_Compteur_4[[#This Row],[Index]])&lt;=0,"",G43)</f>
        <v/>
      </c>
      <c r="J43" s="185"/>
      <c r="K43" s="36"/>
      <c r="L43" s="36"/>
      <c r="M43" s="36"/>
    </row>
    <row r="44" spans="1:13">
      <c r="A44" s="2">
        <f t="shared" si="1"/>
        <v>1</v>
      </c>
      <c r="B44" s="501"/>
      <c r="C44" s="502"/>
      <c r="D44" s="511"/>
      <c r="E44" s="515"/>
      <c r="F44" s="177">
        <f t="shared" si="0"/>
        <v>0</v>
      </c>
      <c r="G44" s="177" t="str">
        <f>IF(IFERROR(IF(Str_TypeDonneesCpt4=Cpt_Index,Tab_Compteur_4[[#This Row],[Index]]-E43,Tab_Compteur_4[[#This Row],[Quantité]])/Tab_Compteur_4[[#This Row],[Delta Jour]],"")&lt;0,"",IFERROR(IF(Str_TypeDonneesCpt4=Cpt_Index,Tab_Compteur_4[[#This Row],[Index]]-E43,Tab_Compteur_4[[#This Row],[Quantité]])/Tab_Compteur_4[[#This Row],[Delta Jour]],""))</f>
        <v/>
      </c>
      <c r="H44" s="177" t="str">
        <f>IFERROR(Tab_Compteur_4[[#This Row],[Montant]]/Tab_Compteur_4[[#This Row],[Delta Jour]],"")</f>
        <v/>
      </c>
      <c r="I44" s="184" t="str">
        <f>IF(SUM(Tab_Compteur_4[[#This Row],[Quantité]],Tab_Compteur_4[[#This Row],[Index]])&lt;=0,"",G44)</f>
        <v/>
      </c>
      <c r="J44" s="185"/>
      <c r="K44" s="36"/>
      <c r="L44" s="36"/>
      <c r="M44" s="36"/>
    </row>
    <row r="45" spans="1:13">
      <c r="A45" s="2">
        <f t="shared" si="1"/>
        <v>1</v>
      </c>
      <c r="B45" s="501"/>
      <c r="C45" s="502"/>
      <c r="D45" s="511"/>
      <c r="E45" s="515"/>
      <c r="F45" s="177">
        <f t="shared" si="0"/>
        <v>0</v>
      </c>
      <c r="G45" s="177" t="str">
        <f>IF(IFERROR(IF(Str_TypeDonneesCpt4=Cpt_Index,Tab_Compteur_4[[#This Row],[Index]]-E44,Tab_Compteur_4[[#This Row],[Quantité]])/Tab_Compteur_4[[#This Row],[Delta Jour]],"")&lt;0,"",IFERROR(IF(Str_TypeDonneesCpt4=Cpt_Index,Tab_Compteur_4[[#This Row],[Index]]-E44,Tab_Compteur_4[[#This Row],[Quantité]])/Tab_Compteur_4[[#This Row],[Delta Jour]],""))</f>
        <v/>
      </c>
      <c r="H45" s="177" t="str">
        <f>IFERROR(Tab_Compteur_4[[#This Row],[Montant]]/Tab_Compteur_4[[#This Row],[Delta Jour]],"")</f>
        <v/>
      </c>
      <c r="I45" s="184" t="str">
        <f>IF(SUM(Tab_Compteur_4[[#This Row],[Quantité]],Tab_Compteur_4[[#This Row],[Index]])&lt;=0,"",G45)</f>
        <v/>
      </c>
      <c r="J45" s="185"/>
      <c r="K45" s="36"/>
      <c r="L45" s="36"/>
      <c r="M45" s="36"/>
    </row>
    <row r="46" spans="1:13">
      <c r="A46" s="2">
        <f t="shared" si="1"/>
        <v>1</v>
      </c>
      <c r="B46" s="501"/>
      <c r="C46" s="502"/>
      <c r="D46" s="511"/>
      <c r="E46" s="515"/>
      <c r="F46" s="177">
        <f t="shared" si="0"/>
        <v>0</v>
      </c>
      <c r="G46" s="177" t="str">
        <f>IF(IFERROR(IF(Str_TypeDonneesCpt4=Cpt_Index,Tab_Compteur_4[[#This Row],[Index]]-E45,Tab_Compteur_4[[#This Row],[Quantité]])/Tab_Compteur_4[[#This Row],[Delta Jour]],"")&lt;0,"",IFERROR(IF(Str_TypeDonneesCpt4=Cpt_Index,Tab_Compteur_4[[#This Row],[Index]]-E45,Tab_Compteur_4[[#This Row],[Quantité]])/Tab_Compteur_4[[#This Row],[Delta Jour]],""))</f>
        <v/>
      </c>
      <c r="H46" s="177" t="str">
        <f>IFERROR(Tab_Compteur_4[[#This Row],[Montant]]/Tab_Compteur_4[[#This Row],[Delta Jour]],"")</f>
        <v/>
      </c>
      <c r="I46" s="184" t="str">
        <f>IF(SUM(Tab_Compteur_4[[#This Row],[Quantité]],Tab_Compteur_4[[#This Row],[Index]])&lt;=0,"",G46)</f>
        <v/>
      </c>
      <c r="J46" s="185"/>
      <c r="K46" s="36"/>
      <c r="L46" s="36"/>
      <c r="M46" s="36"/>
    </row>
    <row r="47" spans="1:13">
      <c r="A47" s="2">
        <f t="shared" si="1"/>
        <v>1</v>
      </c>
      <c r="B47" s="501"/>
      <c r="C47" s="502"/>
      <c r="D47" s="511"/>
      <c r="E47" s="515"/>
      <c r="F47" s="177">
        <f t="shared" si="0"/>
        <v>0</v>
      </c>
      <c r="G47" s="177" t="str">
        <f>IF(IFERROR(IF(Str_TypeDonneesCpt4=Cpt_Index,Tab_Compteur_4[[#This Row],[Index]]-E46,Tab_Compteur_4[[#This Row],[Quantité]])/Tab_Compteur_4[[#This Row],[Delta Jour]],"")&lt;0,"",IFERROR(IF(Str_TypeDonneesCpt4=Cpt_Index,Tab_Compteur_4[[#This Row],[Index]]-E46,Tab_Compteur_4[[#This Row],[Quantité]])/Tab_Compteur_4[[#This Row],[Delta Jour]],""))</f>
        <v/>
      </c>
      <c r="H47" s="177" t="str">
        <f>IFERROR(Tab_Compteur_4[[#This Row],[Montant]]/Tab_Compteur_4[[#This Row],[Delta Jour]],"")</f>
        <v/>
      </c>
      <c r="I47" s="184" t="str">
        <f>IF(SUM(Tab_Compteur_4[[#This Row],[Quantité]],Tab_Compteur_4[[#This Row],[Index]])&lt;=0,"",G47)</f>
        <v/>
      </c>
      <c r="J47" s="185"/>
      <c r="K47" s="36"/>
      <c r="L47" s="36"/>
      <c r="M47" s="36"/>
    </row>
    <row r="48" spans="1:13">
      <c r="A48" s="2">
        <f t="shared" si="1"/>
        <v>1</v>
      </c>
      <c r="B48" s="501"/>
      <c r="C48" s="502"/>
      <c r="D48" s="511"/>
      <c r="E48" s="515"/>
      <c r="F48" s="177">
        <f t="shared" si="0"/>
        <v>0</v>
      </c>
      <c r="G48" s="177" t="str">
        <f>IF(IFERROR(IF(Str_TypeDonneesCpt4=Cpt_Index,Tab_Compteur_4[[#This Row],[Index]]-E47,Tab_Compteur_4[[#This Row],[Quantité]])/Tab_Compteur_4[[#This Row],[Delta Jour]],"")&lt;0,"",IFERROR(IF(Str_TypeDonneesCpt4=Cpt_Index,Tab_Compteur_4[[#This Row],[Index]]-E47,Tab_Compteur_4[[#This Row],[Quantité]])/Tab_Compteur_4[[#This Row],[Delta Jour]],""))</f>
        <v/>
      </c>
      <c r="H48" s="177" t="str">
        <f>IFERROR(Tab_Compteur_4[[#This Row],[Montant]]/Tab_Compteur_4[[#This Row],[Delta Jour]],"")</f>
        <v/>
      </c>
      <c r="I48" s="184" t="str">
        <f>IF(SUM(Tab_Compteur_4[[#This Row],[Quantité]],Tab_Compteur_4[[#This Row],[Index]])&lt;=0,"",G48)</f>
        <v/>
      </c>
      <c r="J48" s="185"/>
      <c r="K48" s="36"/>
      <c r="L48" s="36"/>
      <c r="M48" s="36"/>
    </row>
    <row r="49" spans="1:13">
      <c r="A49" s="2">
        <f t="shared" si="1"/>
        <v>1</v>
      </c>
      <c r="B49" s="501"/>
      <c r="C49" s="502"/>
      <c r="D49" s="511"/>
      <c r="E49" s="515"/>
      <c r="F49" s="177">
        <f t="shared" si="0"/>
        <v>0</v>
      </c>
      <c r="G49" s="177" t="str">
        <f>IF(IFERROR(IF(Str_TypeDonneesCpt4=Cpt_Index,Tab_Compteur_4[[#This Row],[Index]]-E48,Tab_Compteur_4[[#This Row],[Quantité]])/Tab_Compteur_4[[#This Row],[Delta Jour]],"")&lt;0,"",IFERROR(IF(Str_TypeDonneesCpt4=Cpt_Index,Tab_Compteur_4[[#This Row],[Index]]-E48,Tab_Compteur_4[[#This Row],[Quantité]])/Tab_Compteur_4[[#This Row],[Delta Jour]],""))</f>
        <v/>
      </c>
      <c r="H49" s="177" t="str">
        <f>IFERROR(Tab_Compteur_4[[#This Row],[Montant]]/Tab_Compteur_4[[#This Row],[Delta Jour]],"")</f>
        <v/>
      </c>
      <c r="I49" s="184" t="str">
        <f>IF(SUM(Tab_Compteur_4[[#This Row],[Quantité]],Tab_Compteur_4[[#This Row],[Index]])&lt;=0,"",G49)</f>
        <v/>
      </c>
      <c r="J49" s="185"/>
      <c r="K49" s="36"/>
      <c r="L49" s="36"/>
      <c r="M49" s="36"/>
    </row>
    <row r="50" spans="1:13">
      <c r="A50" s="2">
        <f t="shared" si="1"/>
        <v>1</v>
      </c>
      <c r="B50" s="501"/>
      <c r="C50" s="502"/>
      <c r="D50" s="511"/>
      <c r="E50" s="515"/>
      <c r="F50" s="177">
        <f t="shared" si="0"/>
        <v>0</v>
      </c>
      <c r="G50" s="177" t="str">
        <f>IF(IFERROR(IF(Str_TypeDonneesCpt4=Cpt_Index,Tab_Compteur_4[[#This Row],[Index]]-E49,Tab_Compteur_4[[#This Row],[Quantité]])/Tab_Compteur_4[[#This Row],[Delta Jour]],"")&lt;0,"",IFERROR(IF(Str_TypeDonneesCpt4=Cpt_Index,Tab_Compteur_4[[#This Row],[Index]]-E49,Tab_Compteur_4[[#This Row],[Quantité]])/Tab_Compteur_4[[#This Row],[Delta Jour]],""))</f>
        <v/>
      </c>
      <c r="H50" s="177" t="str">
        <f>IFERROR(Tab_Compteur_4[[#This Row],[Montant]]/Tab_Compteur_4[[#This Row],[Delta Jour]],"")</f>
        <v/>
      </c>
      <c r="I50" s="184" t="str">
        <f>IF(SUM(Tab_Compteur_4[[#This Row],[Quantité]],Tab_Compteur_4[[#This Row],[Index]])&lt;=0,"",G50)</f>
        <v/>
      </c>
      <c r="J50" s="185"/>
      <c r="K50" s="36"/>
      <c r="L50" s="36"/>
      <c r="M50" s="36"/>
    </row>
    <row r="51" spans="1:13">
      <c r="A51" s="2">
        <f t="shared" si="1"/>
        <v>1</v>
      </c>
      <c r="B51" s="501"/>
      <c r="C51" s="502"/>
      <c r="D51" s="511"/>
      <c r="E51" s="515"/>
      <c r="F51" s="177">
        <f t="shared" si="0"/>
        <v>0</v>
      </c>
      <c r="G51" s="177" t="str">
        <f>IF(IFERROR(IF(Str_TypeDonneesCpt4=Cpt_Index,Tab_Compteur_4[[#This Row],[Index]]-E50,Tab_Compteur_4[[#This Row],[Quantité]])/Tab_Compteur_4[[#This Row],[Delta Jour]],"")&lt;0,"",IFERROR(IF(Str_TypeDonneesCpt4=Cpt_Index,Tab_Compteur_4[[#This Row],[Index]]-E50,Tab_Compteur_4[[#This Row],[Quantité]])/Tab_Compteur_4[[#This Row],[Delta Jour]],""))</f>
        <v/>
      </c>
      <c r="H51" s="177" t="str">
        <f>IFERROR(Tab_Compteur_4[[#This Row],[Montant]]/Tab_Compteur_4[[#This Row],[Delta Jour]],"")</f>
        <v/>
      </c>
      <c r="I51" s="184" t="str">
        <f>IF(SUM(Tab_Compteur_4[[#This Row],[Quantité]],Tab_Compteur_4[[#This Row],[Index]])&lt;=0,"",G51)</f>
        <v/>
      </c>
      <c r="J51" s="185"/>
      <c r="K51" s="36"/>
      <c r="L51" s="36"/>
      <c r="M51" s="36"/>
    </row>
    <row r="52" spans="1:13">
      <c r="A52" s="2">
        <f t="shared" si="1"/>
        <v>1</v>
      </c>
      <c r="B52" s="501"/>
      <c r="C52" s="502"/>
      <c r="D52" s="511"/>
      <c r="E52" s="515"/>
      <c r="F52" s="177">
        <f t="shared" si="0"/>
        <v>0</v>
      </c>
      <c r="G52" s="177" t="str">
        <f>IF(IFERROR(IF(Str_TypeDonneesCpt4=Cpt_Index,Tab_Compteur_4[[#This Row],[Index]]-E51,Tab_Compteur_4[[#This Row],[Quantité]])/Tab_Compteur_4[[#This Row],[Delta Jour]],"")&lt;0,"",IFERROR(IF(Str_TypeDonneesCpt4=Cpt_Index,Tab_Compteur_4[[#This Row],[Index]]-E51,Tab_Compteur_4[[#This Row],[Quantité]])/Tab_Compteur_4[[#This Row],[Delta Jour]],""))</f>
        <v/>
      </c>
      <c r="H52" s="177" t="str">
        <f>IFERROR(Tab_Compteur_4[[#This Row],[Montant]]/Tab_Compteur_4[[#This Row],[Delta Jour]],"")</f>
        <v/>
      </c>
      <c r="I52" s="184" t="str">
        <f>IF(SUM(Tab_Compteur_4[[#This Row],[Quantité]],Tab_Compteur_4[[#This Row],[Index]])&lt;=0,"",G52)</f>
        <v/>
      </c>
      <c r="J52" s="185"/>
      <c r="K52" s="36"/>
      <c r="L52" s="36"/>
      <c r="M52" s="36"/>
    </row>
    <row r="53" spans="1:13">
      <c r="A53" s="2">
        <f t="shared" si="1"/>
        <v>1</v>
      </c>
      <c r="B53" s="501"/>
      <c r="C53" s="502"/>
      <c r="D53" s="511"/>
      <c r="E53" s="515"/>
      <c r="F53" s="177">
        <f t="shared" si="0"/>
        <v>0</v>
      </c>
      <c r="G53" s="177" t="str">
        <f>IF(IFERROR(IF(Str_TypeDonneesCpt4=Cpt_Index,Tab_Compteur_4[[#This Row],[Index]]-E52,Tab_Compteur_4[[#This Row],[Quantité]])/Tab_Compteur_4[[#This Row],[Delta Jour]],"")&lt;0,"",IFERROR(IF(Str_TypeDonneesCpt4=Cpt_Index,Tab_Compteur_4[[#This Row],[Index]]-E52,Tab_Compteur_4[[#This Row],[Quantité]])/Tab_Compteur_4[[#This Row],[Delta Jour]],""))</f>
        <v/>
      </c>
      <c r="H53" s="177" t="str">
        <f>IFERROR(Tab_Compteur_4[[#This Row],[Montant]]/Tab_Compteur_4[[#This Row],[Delta Jour]],"")</f>
        <v/>
      </c>
      <c r="I53" s="184" t="str">
        <f>IF(SUM(Tab_Compteur_4[[#This Row],[Quantité]],Tab_Compteur_4[[#This Row],[Index]])&lt;=0,"",G53)</f>
        <v/>
      </c>
      <c r="J53" s="185"/>
      <c r="K53" s="36"/>
      <c r="L53" s="36"/>
      <c r="M53" s="36"/>
    </row>
    <row r="54" spans="1:13">
      <c r="A54" s="2">
        <f t="shared" si="1"/>
        <v>1</v>
      </c>
      <c r="B54" s="501"/>
      <c r="C54" s="502"/>
      <c r="D54" s="511"/>
      <c r="E54" s="515"/>
      <c r="F54" s="177">
        <f t="shared" si="0"/>
        <v>0</v>
      </c>
      <c r="G54" s="177" t="str">
        <f>IF(IFERROR(IF(Str_TypeDonneesCpt4=Cpt_Index,Tab_Compteur_4[[#This Row],[Index]]-E53,Tab_Compteur_4[[#This Row],[Quantité]])/Tab_Compteur_4[[#This Row],[Delta Jour]],"")&lt;0,"",IFERROR(IF(Str_TypeDonneesCpt4=Cpt_Index,Tab_Compteur_4[[#This Row],[Index]]-E53,Tab_Compteur_4[[#This Row],[Quantité]])/Tab_Compteur_4[[#This Row],[Delta Jour]],""))</f>
        <v/>
      </c>
      <c r="H54" s="177" t="str">
        <f>IFERROR(Tab_Compteur_4[[#This Row],[Montant]]/Tab_Compteur_4[[#This Row],[Delta Jour]],"")</f>
        <v/>
      </c>
      <c r="I54" s="184" t="str">
        <f>IF(SUM(Tab_Compteur_4[[#This Row],[Quantité]],Tab_Compteur_4[[#This Row],[Index]])&lt;=0,"",G54)</f>
        <v/>
      </c>
      <c r="J54" s="185"/>
      <c r="K54" s="36"/>
      <c r="L54" s="36"/>
      <c r="M54" s="36"/>
    </row>
    <row r="55" spans="1:13">
      <c r="A55" s="2">
        <f t="shared" si="1"/>
        <v>1</v>
      </c>
      <c r="B55" s="501"/>
      <c r="C55" s="502"/>
      <c r="D55" s="511"/>
      <c r="E55" s="515"/>
      <c r="F55" s="177">
        <f t="shared" si="0"/>
        <v>0</v>
      </c>
      <c r="G55" s="177" t="str">
        <f>IF(IFERROR(IF(Str_TypeDonneesCpt4=Cpt_Index,Tab_Compteur_4[[#This Row],[Index]]-E54,Tab_Compteur_4[[#This Row],[Quantité]])/Tab_Compteur_4[[#This Row],[Delta Jour]],"")&lt;0,"",IFERROR(IF(Str_TypeDonneesCpt4=Cpt_Index,Tab_Compteur_4[[#This Row],[Index]]-E54,Tab_Compteur_4[[#This Row],[Quantité]])/Tab_Compteur_4[[#This Row],[Delta Jour]],""))</f>
        <v/>
      </c>
      <c r="H55" s="177" t="str">
        <f>IFERROR(Tab_Compteur_4[[#This Row],[Montant]]/Tab_Compteur_4[[#This Row],[Delta Jour]],"")</f>
        <v/>
      </c>
      <c r="I55" s="184" t="str">
        <f>IF(SUM(Tab_Compteur_4[[#This Row],[Quantité]],Tab_Compteur_4[[#This Row],[Index]])&lt;=0,"",G55)</f>
        <v/>
      </c>
      <c r="J55" s="185"/>
      <c r="K55" s="36"/>
      <c r="L55" s="36"/>
      <c r="M55" s="36"/>
    </row>
    <row r="56" spans="1:13">
      <c r="A56" s="2">
        <f t="shared" si="1"/>
        <v>1</v>
      </c>
      <c r="B56" s="501"/>
      <c r="C56" s="502"/>
      <c r="D56" s="511"/>
      <c r="E56" s="515"/>
      <c r="F56" s="177">
        <f t="shared" si="0"/>
        <v>0</v>
      </c>
      <c r="G56" s="177" t="str">
        <f>IF(IFERROR(IF(Str_TypeDonneesCpt4=Cpt_Index,Tab_Compteur_4[[#This Row],[Index]]-E55,Tab_Compteur_4[[#This Row],[Quantité]])/Tab_Compteur_4[[#This Row],[Delta Jour]],"")&lt;0,"",IFERROR(IF(Str_TypeDonneesCpt4=Cpt_Index,Tab_Compteur_4[[#This Row],[Index]]-E55,Tab_Compteur_4[[#This Row],[Quantité]])/Tab_Compteur_4[[#This Row],[Delta Jour]],""))</f>
        <v/>
      </c>
      <c r="H56" s="177" t="str">
        <f>IFERROR(Tab_Compteur_4[[#This Row],[Montant]]/Tab_Compteur_4[[#This Row],[Delta Jour]],"")</f>
        <v/>
      </c>
      <c r="I56" s="184" t="str">
        <f>IF(SUM(Tab_Compteur_4[[#This Row],[Quantité]],Tab_Compteur_4[[#This Row],[Index]])&lt;=0,"",G56)</f>
        <v/>
      </c>
      <c r="J56" s="185"/>
      <c r="K56" s="36"/>
      <c r="L56" s="36"/>
      <c r="M56" s="36"/>
    </row>
    <row r="57" spans="1:13">
      <c r="A57" s="2">
        <f t="shared" si="1"/>
        <v>1</v>
      </c>
      <c r="B57" s="501"/>
      <c r="C57" s="502"/>
      <c r="D57" s="511"/>
      <c r="E57" s="515"/>
      <c r="F57" s="177">
        <f t="shared" si="0"/>
        <v>0</v>
      </c>
      <c r="G57" s="177" t="str">
        <f>IF(IFERROR(IF(Str_TypeDonneesCpt4=Cpt_Index,Tab_Compteur_4[[#This Row],[Index]]-E56,Tab_Compteur_4[[#This Row],[Quantité]])/Tab_Compteur_4[[#This Row],[Delta Jour]],"")&lt;0,"",IFERROR(IF(Str_TypeDonneesCpt4=Cpt_Index,Tab_Compteur_4[[#This Row],[Index]]-E56,Tab_Compteur_4[[#This Row],[Quantité]])/Tab_Compteur_4[[#This Row],[Delta Jour]],""))</f>
        <v/>
      </c>
      <c r="H57" s="177" t="str">
        <f>IFERROR(Tab_Compteur_4[[#This Row],[Montant]]/Tab_Compteur_4[[#This Row],[Delta Jour]],"")</f>
        <v/>
      </c>
      <c r="I57" s="184" t="str">
        <f>IF(SUM(Tab_Compteur_4[[#This Row],[Quantité]],Tab_Compteur_4[[#This Row],[Index]])&lt;=0,"",G57)</f>
        <v/>
      </c>
      <c r="J57" s="185"/>
      <c r="K57" s="36"/>
      <c r="L57" s="36"/>
      <c r="M57" s="36"/>
    </row>
    <row r="58" spans="1:13">
      <c r="A58" s="2">
        <f t="shared" si="1"/>
        <v>1</v>
      </c>
      <c r="B58" s="501"/>
      <c r="C58" s="180"/>
      <c r="D58" s="512"/>
      <c r="E58" s="515"/>
      <c r="F58" s="177">
        <f t="shared" si="0"/>
        <v>0</v>
      </c>
      <c r="G58" s="177" t="str">
        <f>IF(IFERROR(IF(Str_TypeDonneesCpt4=Cpt_Index,Tab_Compteur_4[[#This Row],[Index]]-E57,Tab_Compteur_4[[#This Row],[Quantité]])/Tab_Compteur_4[[#This Row],[Delta Jour]],"")&lt;0,"",IFERROR(IF(Str_TypeDonneesCpt4=Cpt_Index,Tab_Compteur_4[[#This Row],[Index]]-E57,Tab_Compteur_4[[#This Row],[Quantité]])/Tab_Compteur_4[[#This Row],[Delta Jour]],""))</f>
        <v/>
      </c>
      <c r="H58" s="177" t="str">
        <f>IFERROR(Tab_Compteur_4[[#This Row],[Montant]]/Tab_Compteur_4[[#This Row],[Delta Jour]],"")</f>
        <v/>
      </c>
      <c r="I58" s="184" t="str">
        <f>IF(SUM(Tab_Compteur_4[[#This Row],[Quantité]],Tab_Compteur_4[[#This Row],[Index]])&lt;=0,"",G58)</f>
        <v/>
      </c>
      <c r="J58" s="185"/>
      <c r="K58" s="36"/>
      <c r="L58" s="36"/>
      <c r="M58" s="36"/>
    </row>
    <row r="59" spans="1:13">
      <c r="A59" s="2">
        <f t="shared" si="1"/>
        <v>1</v>
      </c>
      <c r="B59" s="501"/>
      <c r="C59" s="180"/>
      <c r="D59" s="512"/>
      <c r="E59" s="515"/>
      <c r="F59" s="177">
        <f t="shared" si="0"/>
        <v>0</v>
      </c>
      <c r="G59" s="177" t="str">
        <f>IF(IFERROR(IF(Str_TypeDonneesCpt4=Cpt_Index,Tab_Compteur_4[[#This Row],[Index]]-E58,Tab_Compteur_4[[#This Row],[Quantité]])/Tab_Compteur_4[[#This Row],[Delta Jour]],"")&lt;0,"",IFERROR(IF(Str_TypeDonneesCpt4=Cpt_Index,Tab_Compteur_4[[#This Row],[Index]]-E58,Tab_Compteur_4[[#This Row],[Quantité]])/Tab_Compteur_4[[#This Row],[Delta Jour]],""))</f>
        <v/>
      </c>
      <c r="H59" s="177" t="str">
        <f>IFERROR(Tab_Compteur_4[[#This Row],[Montant]]/Tab_Compteur_4[[#This Row],[Delta Jour]],"")</f>
        <v/>
      </c>
      <c r="I59" s="184" t="str">
        <f>IF(SUM(Tab_Compteur_4[[#This Row],[Quantité]],Tab_Compteur_4[[#This Row],[Index]])&lt;=0,"",G59)</f>
        <v/>
      </c>
      <c r="J59" s="185"/>
      <c r="K59" s="36"/>
      <c r="L59" s="36"/>
      <c r="M59" s="36"/>
    </row>
    <row r="60" spans="1:13">
      <c r="A60" s="2">
        <f t="shared" si="1"/>
        <v>1</v>
      </c>
      <c r="B60" s="501"/>
      <c r="C60" s="178"/>
      <c r="D60" s="491"/>
      <c r="E60" s="515"/>
      <c r="F60" s="177">
        <f t="shared" si="0"/>
        <v>0</v>
      </c>
      <c r="G60" s="177" t="str">
        <f>IF(IFERROR(IF(Str_TypeDonneesCpt4=Cpt_Index,Tab_Compteur_4[[#This Row],[Index]]-E59,Tab_Compteur_4[[#This Row],[Quantité]])/Tab_Compteur_4[[#This Row],[Delta Jour]],"")&lt;0,"",IFERROR(IF(Str_TypeDonneesCpt4=Cpt_Index,Tab_Compteur_4[[#This Row],[Index]]-E59,Tab_Compteur_4[[#This Row],[Quantité]])/Tab_Compteur_4[[#This Row],[Delta Jour]],""))</f>
        <v/>
      </c>
      <c r="H60" s="177" t="str">
        <f>IFERROR(Tab_Compteur_4[[#This Row],[Montant]]/Tab_Compteur_4[[#This Row],[Delta Jour]],"")</f>
        <v/>
      </c>
      <c r="I60" s="184" t="str">
        <f>IF(SUM(Tab_Compteur_4[[#This Row],[Quantité]],Tab_Compteur_4[[#This Row],[Index]])&lt;=0,"",G60)</f>
        <v/>
      </c>
      <c r="J60" s="185"/>
      <c r="K60" s="36"/>
      <c r="L60" s="36"/>
      <c r="M60" s="36"/>
    </row>
    <row r="61" spans="1:13">
      <c r="A61" s="2">
        <f t="shared" si="1"/>
        <v>1</v>
      </c>
      <c r="B61" s="501"/>
      <c r="C61" s="178"/>
      <c r="D61" s="491"/>
      <c r="E61" s="515"/>
      <c r="F61" s="177">
        <f t="shared" si="0"/>
        <v>0</v>
      </c>
      <c r="G61" s="177" t="str">
        <f>IF(IFERROR(IF(Str_TypeDonneesCpt4=Cpt_Index,Tab_Compteur_4[[#This Row],[Index]]-E60,Tab_Compteur_4[[#This Row],[Quantité]])/Tab_Compteur_4[[#This Row],[Delta Jour]],"")&lt;0,"",IFERROR(IF(Str_TypeDonneesCpt4=Cpt_Index,Tab_Compteur_4[[#This Row],[Index]]-E60,Tab_Compteur_4[[#This Row],[Quantité]])/Tab_Compteur_4[[#This Row],[Delta Jour]],""))</f>
        <v/>
      </c>
      <c r="H61" s="177" t="str">
        <f>IFERROR(Tab_Compteur_4[[#This Row],[Montant]]/Tab_Compteur_4[[#This Row],[Delta Jour]],"")</f>
        <v/>
      </c>
      <c r="I61" s="184" t="str">
        <f>IF(SUM(Tab_Compteur_4[[#This Row],[Quantité]],Tab_Compteur_4[[#This Row],[Index]])&lt;=0,"",G61)</f>
        <v/>
      </c>
      <c r="J61" s="185"/>
      <c r="K61" s="36"/>
      <c r="L61" s="36"/>
      <c r="M61" s="36"/>
    </row>
    <row r="62" spans="1:13">
      <c r="A62" s="2">
        <f t="shared" si="1"/>
        <v>1</v>
      </c>
      <c r="B62" s="501"/>
      <c r="C62" s="178"/>
      <c r="D62" s="491"/>
      <c r="E62" s="515"/>
      <c r="F62" s="177">
        <f t="shared" si="0"/>
        <v>0</v>
      </c>
      <c r="G62" s="177" t="str">
        <f>IF(IFERROR(IF(Str_TypeDonneesCpt4=Cpt_Index,Tab_Compteur_4[[#This Row],[Index]]-E61,Tab_Compteur_4[[#This Row],[Quantité]])/Tab_Compteur_4[[#This Row],[Delta Jour]],"")&lt;0,"",IFERROR(IF(Str_TypeDonneesCpt4=Cpt_Index,Tab_Compteur_4[[#This Row],[Index]]-E61,Tab_Compteur_4[[#This Row],[Quantité]])/Tab_Compteur_4[[#This Row],[Delta Jour]],""))</f>
        <v/>
      </c>
      <c r="H62" s="177" t="str">
        <f>IFERROR(Tab_Compteur_4[[#This Row],[Montant]]/Tab_Compteur_4[[#This Row],[Delta Jour]],"")</f>
        <v/>
      </c>
      <c r="I62" s="184" t="str">
        <f>IF(SUM(Tab_Compteur_4[[#This Row],[Quantité]],Tab_Compteur_4[[#This Row],[Index]])&lt;=0,"",G62)</f>
        <v/>
      </c>
      <c r="J62" s="185"/>
      <c r="K62" s="36"/>
      <c r="L62" s="36"/>
      <c r="M62" s="36"/>
    </row>
    <row r="63" spans="1:13">
      <c r="A63" s="2">
        <f t="shared" si="1"/>
        <v>1</v>
      </c>
      <c r="B63" s="501"/>
      <c r="C63" s="178"/>
      <c r="D63" s="491"/>
      <c r="E63" s="515"/>
      <c r="F63" s="177">
        <f t="shared" si="0"/>
        <v>0</v>
      </c>
      <c r="G63" s="177" t="str">
        <f>IF(IFERROR(IF(Str_TypeDonneesCpt4=Cpt_Index,Tab_Compteur_4[[#This Row],[Index]]-E62,Tab_Compteur_4[[#This Row],[Quantité]])/Tab_Compteur_4[[#This Row],[Delta Jour]],"")&lt;0,"",IFERROR(IF(Str_TypeDonneesCpt4=Cpt_Index,Tab_Compteur_4[[#This Row],[Index]]-E62,Tab_Compteur_4[[#This Row],[Quantité]])/Tab_Compteur_4[[#This Row],[Delta Jour]],""))</f>
        <v/>
      </c>
      <c r="H63" s="177" t="str">
        <f>IFERROR(Tab_Compteur_4[[#This Row],[Montant]]/Tab_Compteur_4[[#This Row],[Delta Jour]],"")</f>
        <v/>
      </c>
      <c r="I63" s="184" t="str">
        <f>IF(SUM(Tab_Compteur_4[[#This Row],[Quantité]],Tab_Compteur_4[[#This Row],[Index]])&lt;=0,"",G63)</f>
        <v/>
      </c>
      <c r="J63" s="185"/>
      <c r="K63" s="36"/>
      <c r="L63" s="36"/>
      <c r="M63" s="36"/>
    </row>
    <row r="64" spans="1:13">
      <c r="A64" s="2">
        <f t="shared" si="1"/>
        <v>1</v>
      </c>
      <c r="B64" s="501"/>
      <c r="C64" s="178"/>
      <c r="D64" s="491"/>
      <c r="E64" s="515"/>
      <c r="F64" s="177">
        <f t="shared" si="0"/>
        <v>0</v>
      </c>
      <c r="G64" s="177" t="str">
        <f>IF(IFERROR(IF(Str_TypeDonneesCpt4=Cpt_Index,Tab_Compteur_4[[#This Row],[Index]]-E63,Tab_Compteur_4[[#This Row],[Quantité]])/Tab_Compteur_4[[#This Row],[Delta Jour]],"")&lt;0,"",IFERROR(IF(Str_TypeDonneesCpt4=Cpt_Index,Tab_Compteur_4[[#This Row],[Index]]-E63,Tab_Compteur_4[[#This Row],[Quantité]])/Tab_Compteur_4[[#This Row],[Delta Jour]],""))</f>
        <v/>
      </c>
      <c r="H64" s="177" t="str">
        <f>IFERROR(Tab_Compteur_4[[#This Row],[Montant]]/Tab_Compteur_4[[#This Row],[Delta Jour]],"")</f>
        <v/>
      </c>
      <c r="I64" s="184" t="str">
        <f>IF(SUM(Tab_Compteur_4[[#This Row],[Quantité]],Tab_Compteur_4[[#This Row],[Index]])&lt;=0,"",G64)</f>
        <v/>
      </c>
      <c r="J64" s="185"/>
      <c r="K64" s="36"/>
      <c r="L64" s="36"/>
      <c r="M64" s="36"/>
    </row>
    <row r="65" spans="1:13">
      <c r="A65" s="2">
        <f t="shared" si="1"/>
        <v>1</v>
      </c>
      <c r="B65" s="501"/>
      <c r="C65" s="178"/>
      <c r="D65" s="491"/>
      <c r="E65" s="515"/>
      <c r="F65" s="177">
        <f t="shared" si="0"/>
        <v>0</v>
      </c>
      <c r="G65" s="177" t="str">
        <f>IF(IFERROR(IF(Str_TypeDonneesCpt4=Cpt_Index,Tab_Compteur_4[[#This Row],[Index]]-E64,Tab_Compteur_4[[#This Row],[Quantité]])/Tab_Compteur_4[[#This Row],[Delta Jour]],"")&lt;0,"",IFERROR(IF(Str_TypeDonneesCpt4=Cpt_Index,Tab_Compteur_4[[#This Row],[Index]]-E64,Tab_Compteur_4[[#This Row],[Quantité]])/Tab_Compteur_4[[#This Row],[Delta Jour]],""))</f>
        <v/>
      </c>
      <c r="H65" s="177" t="str">
        <f>IFERROR(Tab_Compteur_4[[#This Row],[Montant]]/Tab_Compteur_4[[#This Row],[Delta Jour]],"")</f>
        <v/>
      </c>
      <c r="I65" s="184" t="str">
        <f>IF(SUM(Tab_Compteur_4[[#This Row],[Quantité]],Tab_Compteur_4[[#This Row],[Index]])&lt;=0,"",G65)</f>
        <v/>
      </c>
      <c r="J65" s="185"/>
      <c r="K65" s="36"/>
      <c r="L65" s="36"/>
      <c r="M65" s="36"/>
    </row>
    <row r="66" spans="1:13">
      <c r="A66" s="2">
        <f t="shared" si="1"/>
        <v>1</v>
      </c>
      <c r="B66" s="501"/>
      <c r="C66" s="178"/>
      <c r="D66" s="491"/>
      <c r="E66" s="515"/>
      <c r="F66" s="177">
        <f t="shared" si="0"/>
        <v>0</v>
      </c>
      <c r="G66" s="177" t="str">
        <f>IF(IFERROR(IF(Str_TypeDonneesCpt4=Cpt_Index,Tab_Compteur_4[[#This Row],[Index]]-E65,Tab_Compteur_4[[#This Row],[Quantité]])/Tab_Compteur_4[[#This Row],[Delta Jour]],"")&lt;0,"",IFERROR(IF(Str_TypeDonneesCpt4=Cpt_Index,Tab_Compteur_4[[#This Row],[Index]]-E65,Tab_Compteur_4[[#This Row],[Quantité]])/Tab_Compteur_4[[#This Row],[Delta Jour]],""))</f>
        <v/>
      </c>
      <c r="H66" s="177" t="str">
        <f>IFERROR(Tab_Compteur_4[[#This Row],[Montant]]/Tab_Compteur_4[[#This Row],[Delta Jour]],"")</f>
        <v/>
      </c>
      <c r="I66" s="184" t="str">
        <f>IF(SUM(Tab_Compteur_4[[#This Row],[Quantité]],Tab_Compteur_4[[#This Row],[Index]])&lt;=0,"",G66)</f>
        <v/>
      </c>
      <c r="J66" s="185"/>
      <c r="K66" s="36"/>
      <c r="L66" s="36"/>
      <c r="M66" s="36"/>
    </row>
    <row r="67" spans="1:13">
      <c r="A67" s="2">
        <f t="shared" si="1"/>
        <v>1</v>
      </c>
      <c r="B67" s="501"/>
      <c r="C67" s="178"/>
      <c r="D67" s="491"/>
      <c r="E67" s="515"/>
      <c r="F67" s="177">
        <f t="shared" ref="F67:F130" si="2">IFERROR(B67-A67+1,"")</f>
        <v>0</v>
      </c>
      <c r="G67" s="177" t="str">
        <f>IF(IFERROR(IF(Str_TypeDonneesCpt4=Cpt_Index,Tab_Compteur_4[[#This Row],[Index]]-E66,Tab_Compteur_4[[#This Row],[Quantité]])/Tab_Compteur_4[[#This Row],[Delta Jour]],"")&lt;0,"",IFERROR(IF(Str_TypeDonneesCpt4=Cpt_Index,Tab_Compteur_4[[#This Row],[Index]]-E66,Tab_Compteur_4[[#This Row],[Quantité]])/Tab_Compteur_4[[#This Row],[Delta Jour]],""))</f>
        <v/>
      </c>
      <c r="H67" s="177" t="str">
        <f>IFERROR(Tab_Compteur_4[[#This Row],[Montant]]/Tab_Compteur_4[[#This Row],[Delta Jour]],"")</f>
        <v/>
      </c>
      <c r="I67" s="184" t="str">
        <f>IF(SUM(Tab_Compteur_4[[#This Row],[Quantité]],Tab_Compteur_4[[#This Row],[Index]])&lt;=0,"",G67)</f>
        <v/>
      </c>
      <c r="J67" s="185"/>
      <c r="K67" s="36"/>
      <c r="L67" s="36"/>
      <c r="M67" s="36"/>
    </row>
    <row r="68" spans="1:13">
      <c r="A68" s="2">
        <f t="shared" si="1"/>
        <v>1</v>
      </c>
      <c r="B68" s="501"/>
      <c r="C68" s="178"/>
      <c r="D68" s="491"/>
      <c r="E68" s="515"/>
      <c r="F68" s="177">
        <f t="shared" si="2"/>
        <v>0</v>
      </c>
      <c r="G68" s="177" t="str">
        <f>IF(IFERROR(IF(Str_TypeDonneesCpt4=Cpt_Index,Tab_Compteur_4[[#This Row],[Index]]-E67,Tab_Compteur_4[[#This Row],[Quantité]])/Tab_Compteur_4[[#This Row],[Delta Jour]],"")&lt;0,"",IFERROR(IF(Str_TypeDonneesCpt4=Cpt_Index,Tab_Compteur_4[[#This Row],[Index]]-E67,Tab_Compteur_4[[#This Row],[Quantité]])/Tab_Compteur_4[[#This Row],[Delta Jour]],""))</f>
        <v/>
      </c>
      <c r="H68" s="177" t="str">
        <f>IFERROR(Tab_Compteur_4[[#This Row],[Montant]]/Tab_Compteur_4[[#This Row],[Delta Jour]],"")</f>
        <v/>
      </c>
      <c r="I68" s="184" t="str">
        <f>IF(SUM(Tab_Compteur_4[[#This Row],[Quantité]],Tab_Compteur_4[[#This Row],[Index]])&lt;=0,"",G68)</f>
        <v/>
      </c>
      <c r="J68" s="185"/>
      <c r="K68" s="36"/>
      <c r="L68" s="36"/>
      <c r="M68" s="36"/>
    </row>
    <row r="69" spans="1:13">
      <c r="A69" s="2">
        <f t="shared" si="1"/>
        <v>1</v>
      </c>
      <c r="B69" s="501"/>
      <c r="C69" s="178"/>
      <c r="D69" s="491"/>
      <c r="E69" s="515"/>
      <c r="F69" s="177">
        <f t="shared" si="2"/>
        <v>0</v>
      </c>
      <c r="G69" s="177" t="str">
        <f>IF(IFERROR(IF(Str_TypeDonneesCpt4=Cpt_Index,Tab_Compteur_4[[#This Row],[Index]]-E68,Tab_Compteur_4[[#This Row],[Quantité]])/Tab_Compteur_4[[#This Row],[Delta Jour]],"")&lt;0,"",IFERROR(IF(Str_TypeDonneesCpt4=Cpt_Index,Tab_Compteur_4[[#This Row],[Index]]-E68,Tab_Compteur_4[[#This Row],[Quantité]])/Tab_Compteur_4[[#This Row],[Delta Jour]],""))</f>
        <v/>
      </c>
      <c r="H69" s="177" t="str">
        <f>IFERROR(Tab_Compteur_4[[#This Row],[Montant]]/Tab_Compteur_4[[#This Row],[Delta Jour]],"")</f>
        <v/>
      </c>
      <c r="I69" s="184" t="str">
        <f>IF(SUM(Tab_Compteur_4[[#This Row],[Quantité]],Tab_Compteur_4[[#This Row],[Index]])&lt;=0,"",G69)</f>
        <v/>
      </c>
      <c r="J69" s="185"/>
      <c r="K69" s="36"/>
      <c r="L69" s="36"/>
      <c r="M69" s="36"/>
    </row>
    <row r="70" spans="1:13">
      <c r="A70" s="2">
        <f t="shared" ref="A70:A133" si="3">IFERROR(B69+1,0)</f>
        <v>1</v>
      </c>
      <c r="B70" s="501"/>
      <c r="C70" s="178"/>
      <c r="D70" s="491"/>
      <c r="E70" s="515"/>
      <c r="F70" s="177">
        <f t="shared" si="2"/>
        <v>0</v>
      </c>
      <c r="G70" s="177" t="str">
        <f>IF(IFERROR(IF(Str_TypeDonneesCpt4=Cpt_Index,Tab_Compteur_4[[#This Row],[Index]]-E69,Tab_Compteur_4[[#This Row],[Quantité]])/Tab_Compteur_4[[#This Row],[Delta Jour]],"")&lt;0,"",IFERROR(IF(Str_TypeDonneesCpt4=Cpt_Index,Tab_Compteur_4[[#This Row],[Index]]-E69,Tab_Compteur_4[[#This Row],[Quantité]])/Tab_Compteur_4[[#This Row],[Delta Jour]],""))</f>
        <v/>
      </c>
      <c r="H70" s="177" t="str">
        <f>IFERROR(Tab_Compteur_4[[#This Row],[Montant]]/Tab_Compteur_4[[#This Row],[Delta Jour]],"")</f>
        <v/>
      </c>
      <c r="I70" s="184" t="str">
        <f>IF(SUM(Tab_Compteur_4[[#This Row],[Quantité]],Tab_Compteur_4[[#This Row],[Index]])&lt;=0,"",G70)</f>
        <v/>
      </c>
      <c r="J70" s="185"/>
      <c r="K70" s="36"/>
      <c r="L70" s="36"/>
      <c r="M70" s="36"/>
    </row>
    <row r="71" spans="1:13">
      <c r="A71" s="2">
        <f t="shared" si="3"/>
        <v>1</v>
      </c>
      <c r="B71" s="501"/>
      <c r="C71" s="178"/>
      <c r="D71" s="491"/>
      <c r="E71" s="515"/>
      <c r="F71" s="177">
        <f t="shared" si="2"/>
        <v>0</v>
      </c>
      <c r="G71" s="177" t="str">
        <f>IF(IFERROR(IF(Str_TypeDonneesCpt4=Cpt_Index,Tab_Compteur_4[[#This Row],[Index]]-E70,Tab_Compteur_4[[#This Row],[Quantité]])/Tab_Compteur_4[[#This Row],[Delta Jour]],"")&lt;0,"",IFERROR(IF(Str_TypeDonneesCpt4=Cpt_Index,Tab_Compteur_4[[#This Row],[Index]]-E70,Tab_Compteur_4[[#This Row],[Quantité]])/Tab_Compteur_4[[#This Row],[Delta Jour]],""))</f>
        <v/>
      </c>
      <c r="H71" s="177" t="str">
        <f>IFERROR(Tab_Compteur_4[[#This Row],[Montant]]/Tab_Compteur_4[[#This Row],[Delta Jour]],"")</f>
        <v/>
      </c>
      <c r="I71" s="184" t="str">
        <f>IF(SUM(Tab_Compteur_4[[#This Row],[Quantité]],Tab_Compteur_4[[#This Row],[Index]])&lt;=0,"",G71)</f>
        <v/>
      </c>
      <c r="J71" s="185"/>
      <c r="K71" s="36"/>
      <c r="L71" s="36"/>
      <c r="M71" s="36"/>
    </row>
    <row r="72" spans="1:13">
      <c r="A72" s="2">
        <f t="shared" si="3"/>
        <v>1</v>
      </c>
      <c r="B72" s="501"/>
      <c r="C72" s="178"/>
      <c r="D72" s="491"/>
      <c r="E72" s="515"/>
      <c r="F72" s="177">
        <f t="shared" si="2"/>
        <v>0</v>
      </c>
      <c r="G72" s="177" t="str">
        <f>IF(IFERROR(IF(Str_TypeDonneesCpt4=Cpt_Index,Tab_Compteur_4[[#This Row],[Index]]-E71,Tab_Compteur_4[[#This Row],[Quantité]])/Tab_Compteur_4[[#This Row],[Delta Jour]],"")&lt;0,"",IFERROR(IF(Str_TypeDonneesCpt4=Cpt_Index,Tab_Compteur_4[[#This Row],[Index]]-E71,Tab_Compteur_4[[#This Row],[Quantité]])/Tab_Compteur_4[[#This Row],[Delta Jour]],""))</f>
        <v/>
      </c>
      <c r="H72" s="177" t="str">
        <f>IFERROR(Tab_Compteur_4[[#This Row],[Montant]]/Tab_Compteur_4[[#This Row],[Delta Jour]],"")</f>
        <v/>
      </c>
      <c r="I72" s="184" t="str">
        <f>IF(SUM(Tab_Compteur_4[[#This Row],[Quantité]],Tab_Compteur_4[[#This Row],[Index]])&lt;=0,"",G72)</f>
        <v/>
      </c>
      <c r="J72" s="185"/>
      <c r="K72" s="36"/>
      <c r="L72" s="36"/>
      <c r="M72" s="36"/>
    </row>
    <row r="73" spans="1:13">
      <c r="A73" s="2">
        <f t="shared" si="3"/>
        <v>1</v>
      </c>
      <c r="B73" s="501"/>
      <c r="C73" s="178"/>
      <c r="D73" s="491"/>
      <c r="E73" s="515"/>
      <c r="F73" s="177">
        <f t="shared" si="2"/>
        <v>0</v>
      </c>
      <c r="G73" s="177" t="str">
        <f>IF(IFERROR(IF(Str_TypeDonneesCpt4=Cpt_Index,Tab_Compteur_4[[#This Row],[Index]]-E72,Tab_Compteur_4[[#This Row],[Quantité]])/Tab_Compteur_4[[#This Row],[Delta Jour]],"")&lt;0,"",IFERROR(IF(Str_TypeDonneesCpt4=Cpt_Index,Tab_Compteur_4[[#This Row],[Index]]-E72,Tab_Compteur_4[[#This Row],[Quantité]])/Tab_Compteur_4[[#This Row],[Delta Jour]],""))</f>
        <v/>
      </c>
      <c r="H73" s="177" t="str">
        <f>IFERROR(Tab_Compteur_4[[#This Row],[Montant]]/Tab_Compteur_4[[#This Row],[Delta Jour]],"")</f>
        <v/>
      </c>
      <c r="I73" s="184" t="str">
        <f>IF(SUM(Tab_Compteur_4[[#This Row],[Quantité]],Tab_Compteur_4[[#This Row],[Index]])&lt;=0,"",G73)</f>
        <v/>
      </c>
      <c r="J73" s="185"/>
      <c r="K73" s="36"/>
      <c r="L73" s="36"/>
      <c r="M73" s="36"/>
    </row>
    <row r="74" spans="1:13">
      <c r="A74" s="2">
        <f t="shared" si="3"/>
        <v>1</v>
      </c>
      <c r="B74" s="501"/>
      <c r="C74" s="178"/>
      <c r="D74" s="491"/>
      <c r="E74" s="515"/>
      <c r="F74" s="177">
        <f t="shared" si="2"/>
        <v>0</v>
      </c>
      <c r="G74" s="177" t="str">
        <f>IF(IFERROR(IF(Str_TypeDonneesCpt4=Cpt_Index,Tab_Compteur_4[[#This Row],[Index]]-E73,Tab_Compteur_4[[#This Row],[Quantité]])/Tab_Compteur_4[[#This Row],[Delta Jour]],"")&lt;0,"",IFERROR(IF(Str_TypeDonneesCpt4=Cpt_Index,Tab_Compteur_4[[#This Row],[Index]]-E73,Tab_Compteur_4[[#This Row],[Quantité]])/Tab_Compteur_4[[#This Row],[Delta Jour]],""))</f>
        <v/>
      </c>
      <c r="H74" s="177" t="str">
        <f>IFERROR(Tab_Compteur_4[[#This Row],[Montant]]/Tab_Compteur_4[[#This Row],[Delta Jour]],"")</f>
        <v/>
      </c>
      <c r="I74" s="184" t="str">
        <f>IF(SUM(Tab_Compteur_4[[#This Row],[Quantité]],Tab_Compteur_4[[#This Row],[Index]])&lt;=0,"",G74)</f>
        <v/>
      </c>
      <c r="J74" s="185"/>
      <c r="K74" s="36"/>
      <c r="L74" s="36"/>
      <c r="M74" s="36"/>
    </row>
    <row r="75" spans="1:13">
      <c r="A75" s="2">
        <f t="shared" si="3"/>
        <v>1</v>
      </c>
      <c r="B75" s="501"/>
      <c r="C75" s="178"/>
      <c r="D75" s="491"/>
      <c r="E75" s="515"/>
      <c r="F75" s="177">
        <f t="shared" si="2"/>
        <v>0</v>
      </c>
      <c r="G75" s="177" t="str">
        <f>IF(IFERROR(IF(Str_TypeDonneesCpt4=Cpt_Index,Tab_Compteur_4[[#This Row],[Index]]-E74,Tab_Compteur_4[[#This Row],[Quantité]])/Tab_Compteur_4[[#This Row],[Delta Jour]],"")&lt;0,"",IFERROR(IF(Str_TypeDonneesCpt4=Cpt_Index,Tab_Compteur_4[[#This Row],[Index]]-E74,Tab_Compteur_4[[#This Row],[Quantité]])/Tab_Compteur_4[[#This Row],[Delta Jour]],""))</f>
        <v/>
      </c>
      <c r="H75" s="177" t="str">
        <f>IFERROR(Tab_Compteur_4[[#This Row],[Montant]]/Tab_Compteur_4[[#This Row],[Delta Jour]],"")</f>
        <v/>
      </c>
      <c r="I75" s="184" t="str">
        <f>IF(SUM(Tab_Compteur_4[[#This Row],[Quantité]],Tab_Compteur_4[[#This Row],[Index]])&lt;=0,"",G75)</f>
        <v/>
      </c>
      <c r="J75" s="185"/>
      <c r="K75" s="36"/>
      <c r="L75" s="36"/>
      <c r="M75" s="36"/>
    </row>
    <row r="76" spans="1:13">
      <c r="A76" s="2">
        <f t="shared" si="3"/>
        <v>1</v>
      </c>
      <c r="B76" s="501"/>
      <c r="C76" s="178"/>
      <c r="D76" s="491"/>
      <c r="E76" s="515"/>
      <c r="F76" s="177">
        <f t="shared" si="2"/>
        <v>0</v>
      </c>
      <c r="G76" s="177" t="str">
        <f>IF(IFERROR(IF(Str_TypeDonneesCpt4=Cpt_Index,Tab_Compteur_4[[#This Row],[Index]]-E75,Tab_Compteur_4[[#This Row],[Quantité]])/Tab_Compteur_4[[#This Row],[Delta Jour]],"")&lt;0,"",IFERROR(IF(Str_TypeDonneesCpt4=Cpt_Index,Tab_Compteur_4[[#This Row],[Index]]-E75,Tab_Compteur_4[[#This Row],[Quantité]])/Tab_Compteur_4[[#This Row],[Delta Jour]],""))</f>
        <v/>
      </c>
      <c r="H76" s="177" t="str">
        <f>IFERROR(Tab_Compteur_4[[#This Row],[Montant]]/Tab_Compteur_4[[#This Row],[Delta Jour]],"")</f>
        <v/>
      </c>
      <c r="I76" s="184" t="str">
        <f>IF(SUM(Tab_Compteur_4[[#This Row],[Quantité]],Tab_Compteur_4[[#This Row],[Index]])&lt;=0,"",G76)</f>
        <v/>
      </c>
      <c r="J76" s="185"/>
      <c r="K76" s="36"/>
      <c r="L76" s="36"/>
      <c r="M76" s="36"/>
    </row>
    <row r="77" spans="1:13">
      <c r="A77" s="2">
        <f t="shared" si="3"/>
        <v>1</v>
      </c>
      <c r="B77" s="501"/>
      <c r="C77" s="178"/>
      <c r="D77" s="491"/>
      <c r="E77" s="515"/>
      <c r="F77" s="177">
        <f t="shared" si="2"/>
        <v>0</v>
      </c>
      <c r="G77" s="177" t="str">
        <f>IF(IFERROR(IF(Str_TypeDonneesCpt4=Cpt_Index,Tab_Compteur_4[[#This Row],[Index]]-E76,Tab_Compteur_4[[#This Row],[Quantité]])/Tab_Compteur_4[[#This Row],[Delta Jour]],"")&lt;0,"",IFERROR(IF(Str_TypeDonneesCpt4=Cpt_Index,Tab_Compteur_4[[#This Row],[Index]]-E76,Tab_Compteur_4[[#This Row],[Quantité]])/Tab_Compteur_4[[#This Row],[Delta Jour]],""))</f>
        <v/>
      </c>
      <c r="H77" s="177" t="str">
        <f>IFERROR(Tab_Compteur_4[[#This Row],[Montant]]/Tab_Compteur_4[[#This Row],[Delta Jour]],"")</f>
        <v/>
      </c>
      <c r="I77" s="184" t="str">
        <f>IF(SUM(Tab_Compteur_4[[#This Row],[Quantité]],Tab_Compteur_4[[#This Row],[Index]])&lt;=0,"",G77)</f>
        <v/>
      </c>
      <c r="J77" s="185"/>
      <c r="K77" s="36"/>
      <c r="L77" s="36"/>
      <c r="M77" s="36"/>
    </row>
    <row r="78" spans="1:13">
      <c r="A78" s="2">
        <f t="shared" si="3"/>
        <v>1</v>
      </c>
      <c r="B78" s="501"/>
      <c r="C78" s="178"/>
      <c r="D78" s="491"/>
      <c r="E78" s="515"/>
      <c r="F78" s="177">
        <f t="shared" si="2"/>
        <v>0</v>
      </c>
      <c r="G78" s="177" t="str">
        <f>IF(IFERROR(IF(Str_TypeDonneesCpt4=Cpt_Index,Tab_Compteur_4[[#This Row],[Index]]-E77,Tab_Compteur_4[[#This Row],[Quantité]])/Tab_Compteur_4[[#This Row],[Delta Jour]],"")&lt;0,"",IFERROR(IF(Str_TypeDonneesCpt4=Cpt_Index,Tab_Compteur_4[[#This Row],[Index]]-E77,Tab_Compteur_4[[#This Row],[Quantité]])/Tab_Compteur_4[[#This Row],[Delta Jour]],""))</f>
        <v/>
      </c>
      <c r="H78" s="177" t="str">
        <f>IFERROR(Tab_Compteur_4[[#This Row],[Montant]]/Tab_Compteur_4[[#This Row],[Delta Jour]],"")</f>
        <v/>
      </c>
      <c r="I78" s="184" t="str">
        <f>IF(SUM(Tab_Compteur_4[[#This Row],[Quantité]],Tab_Compteur_4[[#This Row],[Index]])&lt;=0,"",G78)</f>
        <v/>
      </c>
      <c r="J78" s="185"/>
      <c r="K78" s="36"/>
      <c r="L78" s="36"/>
      <c r="M78" s="36"/>
    </row>
    <row r="79" spans="1:13">
      <c r="A79" s="2">
        <f t="shared" si="3"/>
        <v>1</v>
      </c>
      <c r="B79" s="501"/>
      <c r="C79" s="178"/>
      <c r="D79" s="491"/>
      <c r="E79" s="515"/>
      <c r="F79" s="177">
        <f t="shared" si="2"/>
        <v>0</v>
      </c>
      <c r="G79" s="177" t="str">
        <f>IF(IFERROR(IF(Str_TypeDonneesCpt4=Cpt_Index,Tab_Compteur_4[[#This Row],[Index]]-E78,Tab_Compteur_4[[#This Row],[Quantité]])/Tab_Compteur_4[[#This Row],[Delta Jour]],"")&lt;0,"",IFERROR(IF(Str_TypeDonneesCpt4=Cpt_Index,Tab_Compteur_4[[#This Row],[Index]]-E78,Tab_Compteur_4[[#This Row],[Quantité]])/Tab_Compteur_4[[#This Row],[Delta Jour]],""))</f>
        <v/>
      </c>
      <c r="H79" s="177" t="str">
        <f>IFERROR(Tab_Compteur_4[[#This Row],[Montant]]/Tab_Compteur_4[[#This Row],[Delta Jour]],"")</f>
        <v/>
      </c>
      <c r="I79" s="184" t="str">
        <f>IF(SUM(Tab_Compteur_4[[#This Row],[Quantité]],Tab_Compteur_4[[#This Row],[Index]])&lt;=0,"",G79)</f>
        <v/>
      </c>
      <c r="J79" s="185"/>
      <c r="K79" s="36"/>
      <c r="L79" s="36"/>
      <c r="M79" s="36"/>
    </row>
    <row r="80" spans="1:13">
      <c r="A80" s="2">
        <f t="shared" si="3"/>
        <v>1</v>
      </c>
      <c r="B80" s="501"/>
      <c r="C80" s="178"/>
      <c r="D80" s="491"/>
      <c r="E80" s="515"/>
      <c r="F80" s="177">
        <f t="shared" si="2"/>
        <v>0</v>
      </c>
      <c r="G80" s="177" t="str">
        <f>IF(IFERROR(IF(Str_TypeDonneesCpt4=Cpt_Index,Tab_Compteur_4[[#This Row],[Index]]-E79,Tab_Compteur_4[[#This Row],[Quantité]])/Tab_Compteur_4[[#This Row],[Delta Jour]],"")&lt;0,"",IFERROR(IF(Str_TypeDonneesCpt4=Cpt_Index,Tab_Compteur_4[[#This Row],[Index]]-E79,Tab_Compteur_4[[#This Row],[Quantité]])/Tab_Compteur_4[[#This Row],[Delta Jour]],""))</f>
        <v/>
      </c>
      <c r="H80" s="177" t="str">
        <f>IFERROR(Tab_Compteur_4[[#This Row],[Montant]]/Tab_Compteur_4[[#This Row],[Delta Jour]],"")</f>
        <v/>
      </c>
      <c r="I80" s="184" t="str">
        <f>IF(SUM(Tab_Compteur_4[[#This Row],[Quantité]],Tab_Compteur_4[[#This Row],[Index]])&lt;=0,"",G80)</f>
        <v/>
      </c>
      <c r="J80" s="185"/>
      <c r="K80" s="36"/>
      <c r="L80" s="36"/>
      <c r="M80" s="36"/>
    </row>
    <row r="81" spans="1:13">
      <c r="A81" s="2">
        <f t="shared" si="3"/>
        <v>1</v>
      </c>
      <c r="B81" s="501"/>
      <c r="C81" s="178"/>
      <c r="D81" s="491"/>
      <c r="E81" s="515"/>
      <c r="F81" s="177">
        <f t="shared" si="2"/>
        <v>0</v>
      </c>
      <c r="G81" s="177" t="str">
        <f>IF(IFERROR(IF(Str_TypeDonneesCpt4=Cpt_Index,Tab_Compteur_4[[#This Row],[Index]]-E80,Tab_Compteur_4[[#This Row],[Quantité]])/Tab_Compteur_4[[#This Row],[Delta Jour]],"")&lt;0,"",IFERROR(IF(Str_TypeDonneesCpt4=Cpt_Index,Tab_Compteur_4[[#This Row],[Index]]-E80,Tab_Compteur_4[[#This Row],[Quantité]])/Tab_Compteur_4[[#This Row],[Delta Jour]],""))</f>
        <v/>
      </c>
      <c r="H81" s="177" t="str">
        <f>IFERROR(Tab_Compteur_4[[#This Row],[Montant]]/Tab_Compteur_4[[#This Row],[Delta Jour]],"")</f>
        <v/>
      </c>
      <c r="I81" s="184" t="str">
        <f>IF(SUM(Tab_Compteur_4[[#This Row],[Quantité]],Tab_Compteur_4[[#This Row],[Index]])&lt;=0,"",G81)</f>
        <v/>
      </c>
      <c r="J81" s="185"/>
      <c r="K81" s="36"/>
      <c r="L81" s="36"/>
      <c r="M81" s="36"/>
    </row>
    <row r="82" spans="1:13">
      <c r="A82" s="2">
        <f t="shared" si="3"/>
        <v>1</v>
      </c>
      <c r="B82" s="501"/>
      <c r="C82" s="178"/>
      <c r="D82" s="491"/>
      <c r="E82" s="515"/>
      <c r="F82" s="177">
        <f t="shared" si="2"/>
        <v>0</v>
      </c>
      <c r="G82" s="177" t="str">
        <f>IF(IFERROR(IF(Str_TypeDonneesCpt4=Cpt_Index,Tab_Compteur_4[[#This Row],[Index]]-E81,Tab_Compteur_4[[#This Row],[Quantité]])/Tab_Compteur_4[[#This Row],[Delta Jour]],"")&lt;0,"",IFERROR(IF(Str_TypeDonneesCpt4=Cpt_Index,Tab_Compteur_4[[#This Row],[Index]]-E81,Tab_Compteur_4[[#This Row],[Quantité]])/Tab_Compteur_4[[#This Row],[Delta Jour]],""))</f>
        <v/>
      </c>
      <c r="H82" s="177" t="str">
        <f>IFERROR(Tab_Compteur_4[[#This Row],[Montant]]/Tab_Compteur_4[[#This Row],[Delta Jour]],"")</f>
        <v/>
      </c>
      <c r="I82" s="184" t="str">
        <f>IF(SUM(Tab_Compteur_4[[#This Row],[Quantité]],Tab_Compteur_4[[#This Row],[Index]])&lt;=0,"",G82)</f>
        <v/>
      </c>
      <c r="J82" s="185"/>
      <c r="K82" s="36"/>
      <c r="L82" s="36"/>
      <c r="M82" s="36"/>
    </row>
    <row r="83" spans="1:13">
      <c r="A83" s="2">
        <f t="shared" si="3"/>
        <v>1</v>
      </c>
      <c r="B83" s="501"/>
      <c r="C83" s="178"/>
      <c r="D83" s="491"/>
      <c r="E83" s="515"/>
      <c r="F83" s="177">
        <f t="shared" si="2"/>
        <v>0</v>
      </c>
      <c r="G83" s="177" t="str">
        <f>IF(IFERROR(IF(Str_TypeDonneesCpt4=Cpt_Index,Tab_Compteur_4[[#This Row],[Index]]-E82,Tab_Compteur_4[[#This Row],[Quantité]])/Tab_Compteur_4[[#This Row],[Delta Jour]],"")&lt;0,"",IFERROR(IF(Str_TypeDonneesCpt4=Cpt_Index,Tab_Compteur_4[[#This Row],[Index]]-E82,Tab_Compteur_4[[#This Row],[Quantité]])/Tab_Compteur_4[[#This Row],[Delta Jour]],""))</f>
        <v/>
      </c>
      <c r="H83" s="177" t="str">
        <f>IFERROR(Tab_Compteur_4[[#This Row],[Montant]]/Tab_Compteur_4[[#This Row],[Delta Jour]],"")</f>
        <v/>
      </c>
      <c r="I83" s="184" t="str">
        <f>IF(SUM(Tab_Compteur_4[[#This Row],[Quantité]],Tab_Compteur_4[[#This Row],[Index]])&lt;=0,"",G83)</f>
        <v/>
      </c>
      <c r="J83" s="185"/>
      <c r="K83" s="36"/>
      <c r="L83" s="36"/>
      <c r="M83" s="36"/>
    </row>
    <row r="84" spans="1:13">
      <c r="A84" s="2">
        <f t="shared" si="3"/>
        <v>1</v>
      </c>
      <c r="B84" s="501"/>
      <c r="C84" s="178"/>
      <c r="D84" s="491"/>
      <c r="E84" s="515"/>
      <c r="F84" s="177">
        <f t="shared" si="2"/>
        <v>0</v>
      </c>
      <c r="G84" s="177" t="str">
        <f>IF(IFERROR(IF(Str_TypeDonneesCpt4=Cpt_Index,Tab_Compteur_4[[#This Row],[Index]]-E83,Tab_Compteur_4[[#This Row],[Quantité]])/Tab_Compteur_4[[#This Row],[Delta Jour]],"")&lt;0,"",IFERROR(IF(Str_TypeDonneesCpt4=Cpt_Index,Tab_Compteur_4[[#This Row],[Index]]-E83,Tab_Compteur_4[[#This Row],[Quantité]])/Tab_Compteur_4[[#This Row],[Delta Jour]],""))</f>
        <v/>
      </c>
      <c r="H84" s="177" t="str">
        <f>IFERROR(Tab_Compteur_4[[#This Row],[Montant]]/Tab_Compteur_4[[#This Row],[Delta Jour]],"")</f>
        <v/>
      </c>
      <c r="I84" s="184" t="str">
        <f>IF(SUM(Tab_Compteur_4[[#This Row],[Quantité]],Tab_Compteur_4[[#This Row],[Index]])&lt;=0,"",G84)</f>
        <v/>
      </c>
      <c r="J84" s="185"/>
      <c r="K84" s="36"/>
      <c r="L84" s="36"/>
      <c r="M84" s="36"/>
    </row>
    <row r="85" spans="1:13">
      <c r="A85" s="2">
        <f t="shared" si="3"/>
        <v>1</v>
      </c>
      <c r="B85" s="501"/>
      <c r="C85" s="178"/>
      <c r="D85" s="491"/>
      <c r="E85" s="515"/>
      <c r="F85" s="177">
        <f t="shared" si="2"/>
        <v>0</v>
      </c>
      <c r="G85" s="177" t="str">
        <f>IF(IFERROR(IF(Str_TypeDonneesCpt4=Cpt_Index,Tab_Compteur_4[[#This Row],[Index]]-E84,Tab_Compteur_4[[#This Row],[Quantité]])/Tab_Compteur_4[[#This Row],[Delta Jour]],"")&lt;0,"",IFERROR(IF(Str_TypeDonneesCpt4=Cpt_Index,Tab_Compteur_4[[#This Row],[Index]]-E84,Tab_Compteur_4[[#This Row],[Quantité]])/Tab_Compteur_4[[#This Row],[Delta Jour]],""))</f>
        <v/>
      </c>
      <c r="H85" s="177" t="str">
        <f>IFERROR(Tab_Compteur_4[[#This Row],[Montant]]/Tab_Compteur_4[[#This Row],[Delta Jour]],"")</f>
        <v/>
      </c>
      <c r="I85" s="184" t="str">
        <f>IF(SUM(Tab_Compteur_4[[#This Row],[Quantité]],Tab_Compteur_4[[#This Row],[Index]])&lt;=0,"",G85)</f>
        <v/>
      </c>
      <c r="J85" s="185"/>
      <c r="K85" s="36"/>
      <c r="L85" s="36"/>
      <c r="M85" s="36"/>
    </row>
    <row r="86" spans="1:13">
      <c r="A86" s="2">
        <f t="shared" si="3"/>
        <v>1</v>
      </c>
      <c r="B86" s="501"/>
      <c r="C86" s="178"/>
      <c r="D86" s="491"/>
      <c r="E86" s="515"/>
      <c r="F86" s="177">
        <f t="shared" si="2"/>
        <v>0</v>
      </c>
      <c r="G86" s="177" t="str">
        <f>IF(IFERROR(IF(Str_TypeDonneesCpt4=Cpt_Index,Tab_Compteur_4[[#This Row],[Index]]-E85,Tab_Compteur_4[[#This Row],[Quantité]])/Tab_Compteur_4[[#This Row],[Delta Jour]],"")&lt;0,"",IFERROR(IF(Str_TypeDonneesCpt4=Cpt_Index,Tab_Compteur_4[[#This Row],[Index]]-E85,Tab_Compteur_4[[#This Row],[Quantité]])/Tab_Compteur_4[[#This Row],[Delta Jour]],""))</f>
        <v/>
      </c>
      <c r="H86" s="177" t="str">
        <f>IFERROR(Tab_Compteur_4[[#This Row],[Montant]]/Tab_Compteur_4[[#This Row],[Delta Jour]],"")</f>
        <v/>
      </c>
      <c r="I86" s="184" t="str">
        <f>IF(SUM(Tab_Compteur_4[[#This Row],[Quantité]],Tab_Compteur_4[[#This Row],[Index]])&lt;=0,"",G86)</f>
        <v/>
      </c>
      <c r="J86" s="185"/>
      <c r="K86" s="36"/>
      <c r="L86" s="36"/>
      <c r="M86" s="36"/>
    </row>
    <row r="87" spans="1:13">
      <c r="A87" s="2">
        <f t="shared" si="3"/>
        <v>1</v>
      </c>
      <c r="B87" s="501"/>
      <c r="C87" s="178"/>
      <c r="D87" s="491"/>
      <c r="E87" s="515"/>
      <c r="F87" s="177">
        <f t="shared" si="2"/>
        <v>0</v>
      </c>
      <c r="G87" s="177" t="str">
        <f>IF(IFERROR(IF(Str_TypeDonneesCpt4=Cpt_Index,Tab_Compteur_4[[#This Row],[Index]]-E86,Tab_Compteur_4[[#This Row],[Quantité]])/Tab_Compteur_4[[#This Row],[Delta Jour]],"")&lt;0,"",IFERROR(IF(Str_TypeDonneesCpt4=Cpt_Index,Tab_Compteur_4[[#This Row],[Index]]-E86,Tab_Compteur_4[[#This Row],[Quantité]])/Tab_Compteur_4[[#This Row],[Delta Jour]],""))</f>
        <v/>
      </c>
      <c r="H87" s="177" t="str">
        <f>IFERROR(Tab_Compteur_4[[#This Row],[Montant]]/Tab_Compteur_4[[#This Row],[Delta Jour]],"")</f>
        <v/>
      </c>
      <c r="I87" s="184" t="str">
        <f>IF(SUM(Tab_Compteur_4[[#This Row],[Quantité]],Tab_Compteur_4[[#This Row],[Index]])&lt;=0,"",G87)</f>
        <v/>
      </c>
      <c r="J87" s="185"/>
      <c r="K87" s="36"/>
      <c r="L87" s="36"/>
      <c r="M87" s="36"/>
    </row>
    <row r="88" spans="1:13">
      <c r="A88" s="2">
        <f t="shared" si="3"/>
        <v>1</v>
      </c>
      <c r="B88" s="501"/>
      <c r="C88" s="178"/>
      <c r="D88" s="491"/>
      <c r="E88" s="515"/>
      <c r="F88" s="177">
        <f t="shared" si="2"/>
        <v>0</v>
      </c>
      <c r="G88" s="177" t="str">
        <f>IF(IFERROR(IF(Str_TypeDonneesCpt4=Cpt_Index,Tab_Compteur_4[[#This Row],[Index]]-E87,Tab_Compteur_4[[#This Row],[Quantité]])/Tab_Compteur_4[[#This Row],[Delta Jour]],"")&lt;0,"",IFERROR(IF(Str_TypeDonneesCpt4=Cpt_Index,Tab_Compteur_4[[#This Row],[Index]]-E87,Tab_Compteur_4[[#This Row],[Quantité]])/Tab_Compteur_4[[#This Row],[Delta Jour]],""))</f>
        <v/>
      </c>
      <c r="H88" s="177" t="str">
        <f>IFERROR(Tab_Compteur_4[[#This Row],[Montant]]/Tab_Compteur_4[[#This Row],[Delta Jour]],"")</f>
        <v/>
      </c>
      <c r="I88" s="184" t="str">
        <f>IF(SUM(Tab_Compteur_4[[#This Row],[Quantité]],Tab_Compteur_4[[#This Row],[Index]])&lt;=0,"",G88)</f>
        <v/>
      </c>
      <c r="J88" s="185"/>
      <c r="K88" s="36"/>
      <c r="L88" s="36"/>
      <c r="M88" s="36"/>
    </row>
    <row r="89" spans="1:13">
      <c r="A89" s="2">
        <f t="shared" si="3"/>
        <v>1</v>
      </c>
      <c r="B89" s="501"/>
      <c r="C89" s="178"/>
      <c r="D89" s="491"/>
      <c r="E89" s="515"/>
      <c r="F89" s="177">
        <f t="shared" si="2"/>
        <v>0</v>
      </c>
      <c r="G89" s="177" t="str">
        <f>IF(IFERROR(IF(Str_TypeDonneesCpt4=Cpt_Index,Tab_Compteur_4[[#This Row],[Index]]-E88,Tab_Compteur_4[[#This Row],[Quantité]])/Tab_Compteur_4[[#This Row],[Delta Jour]],"")&lt;0,"",IFERROR(IF(Str_TypeDonneesCpt4=Cpt_Index,Tab_Compteur_4[[#This Row],[Index]]-E88,Tab_Compteur_4[[#This Row],[Quantité]])/Tab_Compteur_4[[#This Row],[Delta Jour]],""))</f>
        <v/>
      </c>
      <c r="H89" s="177" t="str">
        <f>IFERROR(Tab_Compteur_4[[#This Row],[Montant]]/Tab_Compteur_4[[#This Row],[Delta Jour]],"")</f>
        <v/>
      </c>
      <c r="I89" s="184" t="str">
        <f>IF(SUM(Tab_Compteur_4[[#This Row],[Quantité]],Tab_Compteur_4[[#This Row],[Index]])&lt;=0,"",G89)</f>
        <v/>
      </c>
      <c r="J89" s="185"/>
      <c r="K89" s="36"/>
      <c r="L89" s="36"/>
      <c r="M89" s="36"/>
    </row>
    <row r="90" spans="1:13">
      <c r="A90" s="2">
        <f t="shared" si="3"/>
        <v>1</v>
      </c>
      <c r="B90" s="501"/>
      <c r="C90" s="178"/>
      <c r="D90" s="491"/>
      <c r="E90" s="515"/>
      <c r="F90" s="177">
        <f t="shared" si="2"/>
        <v>0</v>
      </c>
      <c r="G90" s="177" t="str">
        <f>IF(IFERROR(IF(Str_TypeDonneesCpt4=Cpt_Index,Tab_Compteur_4[[#This Row],[Index]]-E89,Tab_Compteur_4[[#This Row],[Quantité]])/Tab_Compteur_4[[#This Row],[Delta Jour]],"")&lt;0,"",IFERROR(IF(Str_TypeDonneesCpt4=Cpt_Index,Tab_Compteur_4[[#This Row],[Index]]-E89,Tab_Compteur_4[[#This Row],[Quantité]])/Tab_Compteur_4[[#This Row],[Delta Jour]],""))</f>
        <v/>
      </c>
      <c r="H90" s="177" t="str">
        <f>IFERROR(Tab_Compteur_4[[#This Row],[Montant]]/Tab_Compteur_4[[#This Row],[Delta Jour]],"")</f>
        <v/>
      </c>
      <c r="I90" s="184" t="str">
        <f>IF(SUM(Tab_Compteur_4[[#This Row],[Quantité]],Tab_Compteur_4[[#This Row],[Index]])&lt;=0,"",G90)</f>
        <v/>
      </c>
      <c r="J90" s="185"/>
      <c r="K90" s="36"/>
      <c r="L90" s="36"/>
      <c r="M90" s="36"/>
    </row>
    <row r="91" spans="1:13">
      <c r="A91" s="2">
        <f t="shared" si="3"/>
        <v>1</v>
      </c>
      <c r="B91" s="501"/>
      <c r="C91" s="178"/>
      <c r="D91" s="491"/>
      <c r="E91" s="515"/>
      <c r="F91" s="177">
        <f t="shared" si="2"/>
        <v>0</v>
      </c>
      <c r="G91" s="177" t="str">
        <f>IF(IFERROR(IF(Str_TypeDonneesCpt4=Cpt_Index,Tab_Compteur_4[[#This Row],[Index]]-E90,Tab_Compteur_4[[#This Row],[Quantité]])/Tab_Compteur_4[[#This Row],[Delta Jour]],"")&lt;0,"",IFERROR(IF(Str_TypeDonneesCpt4=Cpt_Index,Tab_Compteur_4[[#This Row],[Index]]-E90,Tab_Compteur_4[[#This Row],[Quantité]])/Tab_Compteur_4[[#This Row],[Delta Jour]],""))</f>
        <v/>
      </c>
      <c r="H91" s="177" t="str">
        <f>IFERROR(Tab_Compteur_4[[#This Row],[Montant]]/Tab_Compteur_4[[#This Row],[Delta Jour]],"")</f>
        <v/>
      </c>
      <c r="I91" s="184" t="str">
        <f>IF(SUM(Tab_Compteur_4[[#This Row],[Quantité]],Tab_Compteur_4[[#This Row],[Index]])&lt;=0,"",G91)</f>
        <v/>
      </c>
      <c r="J91" s="185"/>
      <c r="K91" s="36"/>
      <c r="L91" s="36"/>
      <c r="M91" s="36"/>
    </row>
    <row r="92" spans="1:13">
      <c r="A92" s="2">
        <f t="shared" si="3"/>
        <v>1</v>
      </c>
      <c r="B92" s="501"/>
      <c r="C92" s="178"/>
      <c r="D92" s="491"/>
      <c r="E92" s="515"/>
      <c r="F92" s="177">
        <f t="shared" si="2"/>
        <v>0</v>
      </c>
      <c r="G92" s="177" t="str">
        <f>IF(IFERROR(IF(Str_TypeDonneesCpt4=Cpt_Index,Tab_Compteur_4[[#This Row],[Index]]-E91,Tab_Compteur_4[[#This Row],[Quantité]])/Tab_Compteur_4[[#This Row],[Delta Jour]],"")&lt;0,"",IFERROR(IF(Str_TypeDonneesCpt4=Cpt_Index,Tab_Compteur_4[[#This Row],[Index]]-E91,Tab_Compteur_4[[#This Row],[Quantité]])/Tab_Compteur_4[[#This Row],[Delta Jour]],""))</f>
        <v/>
      </c>
      <c r="H92" s="177" t="str">
        <f>IFERROR(Tab_Compteur_4[[#This Row],[Montant]]/Tab_Compteur_4[[#This Row],[Delta Jour]],"")</f>
        <v/>
      </c>
      <c r="I92" s="184" t="str">
        <f>IF(SUM(Tab_Compteur_4[[#This Row],[Quantité]],Tab_Compteur_4[[#This Row],[Index]])&lt;=0,"",G92)</f>
        <v/>
      </c>
      <c r="J92" s="185"/>
      <c r="K92" s="36"/>
      <c r="L92" s="36"/>
      <c r="M92" s="36"/>
    </row>
    <row r="93" spans="1:13">
      <c r="A93" s="2">
        <f t="shared" si="3"/>
        <v>1</v>
      </c>
      <c r="B93" s="501"/>
      <c r="C93" s="178"/>
      <c r="D93" s="491"/>
      <c r="E93" s="515"/>
      <c r="F93" s="177">
        <f t="shared" si="2"/>
        <v>0</v>
      </c>
      <c r="G93" s="177" t="str">
        <f>IF(IFERROR(IF(Str_TypeDonneesCpt4=Cpt_Index,Tab_Compteur_4[[#This Row],[Index]]-E92,Tab_Compteur_4[[#This Row],[Quantité]])/Tab_Compteur_4[[#This Row],[Delta Jour]],"")&lt;0,"",IFERROR(IF(Str_TypeDonneesCpt4=Cpt_Index,Tab_Compteur_4[[#This Row],[Index]]-E92,Tab_Compteur_4[[#This Row],[Quantité]])/Tab_Compteur_4[[#This Row],[Delta Jour]],""))</f>
        <v/>
      </c>
      <c r="H93" s="177" t="str">
        <f>IFERROR(Tab_Compteur_4[[#This Row],[Montant]]/Tab_Compteur_4[[#This Row],[Delta Jour]],"")</f>
        <v/>
      </c>
      <c r="I93" s="184" t="str">
        <f>IF(SUM(Tab_Compteur_4[[#This Row],[Quantité]],Tab_Compteur_4[[#This Row],[Index]])&lt;=0,"",G93)</f>
        <v/>
      </c>
      <c r="J93" s="185"/>
      <c r="K93" s="36"/>
      <c r="L93" s="36"/>
      <c r="M93" s="36"/>
    </row>
    <row r="94" spans="1:13">
      <c r="A94" s="2">
        <f t="shared" si="3"/>
        <v>1</v>
      </c>
      <c r="B94" s="501"/>
      <c r="C94" s="178"/>
      <c r="D94" s="491"/>
      <c r="E94" s="515"/>
      <c r="F94" s="177">
        <f t="shared" si="2"/>
        <v>0</v>
      </c>
      <c r="G94" s="177" t="str">
        <f>IF(IFERROR(IF(Str_TypeDonneesCpt4=Cpt_Index,Tab_Compteur_4[[#This Row],[Index]]-E93,Tab_Compteur_4[[#This Row],[Quantité]])/Tab_Compteur_4[[#This Row],[Delta Jour]],"")&lt;0,"",IFERROR(IF(Str_TypeDonneesCpt4=Cpt_Index,Tab_Compteur_4[[#This Row],[Index]]-E93,Tab_Compteur_4[[#This Row],[Quantité]])/Tab_Compteur_4[[#This Row],[Delta Jour]],""))</f>
        <v/>
      </c>
      <c r="H94" s="177" t="str">
        <f>IFERROR(Tab_Compteur_4[[#This Row],[Montant]]/Tab_Compteur_4[[#This Row],[Delta Jour]],"")</f>
        <v/>
      </c>
      <c r="I94" s="184" t="str">
        <f>IF(SUM(Tab_Compteur_4[[#This Row],[Quantité]],Tab_Compteur_4[[#This Row],[Index]])&lt;=0,"",G94)</f>
        <v/>
      </c>
      <c r="J94" s="185"/>
      <c r="K94" s="36"/>
      <c r="L94" s="36"/>
      <c r="M94" s="36"/>
    </row>
    <row r="95" spans="1:13">
      <c r="A95" s="2">
        <f t="shared" si="3"/>
        <v>1</v>
      </c>
      <c r="B95" s="501"/>
      <c r="C95" s="178"/>
      <c r="D95" s="491"/>
      <c r="E95" s="515"/>
      <c r="F95" s="177">
        <f t="shared" si="2"/>
        <v>0</v>
      </c>
      <c r="G95" s="177" t="str">
        <f>IF(IFERROR(IF(Str_TypeDonneesCpt4=Cpt_Index,Tab_Compteur_4[[#This Row],[Index]]-E94,Tab_Compteur_4[[#This Row],[Quantité]])/Tab_Compteur_4[[#This Row],[Delta Jour]],"")&lt;0,"",IFERROR(IF(Str_TypeDonneesCpt4=Cpt_Index,Tab_Compteur_4[[#This Row],[Index]]-E94,Tab_Compteur_4[[#This Row],[Quantité]])/Tab_Compteur_4[[#This Row],[Delta Jour]],""))</f>
        <v/>
      </c>
      <c r="H95" s="177" t="str">
        <f>IFERROR(Tab_Compteur_4[[#This Row],[Montant]]/Tab_Compteur_4[[#This Row],[Delta Jour]],"")</f>
        <v/>
      </c>
      <c r="I95" s="184" t="str">
        <f>IF(SUM(Tab_Compteur_4[[#This Row],[Quantité]],Tab_Compteur_4[[#This Row],[Index]])&lt;=0,"",G95)</f>
        <v/>
      </c>
      <c r="J95" s="185"/>
      <c r="K95" s="36"/>
      <c r="L95" s="36"/>
      <c r="M95" s="36"/>
    </row>
    <row r="96" spans="1:13">
      <c r="A96" s="2">
        <f t="shared" si="3"/>
        <v>1</v>
      </c>
      <c r="B96" s="501"/>
      <c r="C96" s="178"/>
      <c r="D96" s="491"/>
      <c r="E96" s="515"/>
      <c r="F96" s="177">
        <f t="shared" si="2"/>
        <v>0</v>
      </c>
      <c r="G96" s="177" t="str">
        <f>IF(IFERROR(IF(Str_TypeDonneesCpt4=Cpt_Index,Tab_Compteur_4[[#This Row],[Index]]-E95,Tab_Compteur_4[[#This Row],[Quantité]])/Tab_Compteur_4[[#This Row],[Delta Jour]],"")&lt;0,"",IFERROR(IF(Str_TypeDonneesCpt4=Cpt_Index,Tab_Compteur_4[[#This Row],[Index]]-E95,Tab_Compteur_4[[#This Row],[Quantité]])/Tab_Compteur_4[[#This Row],[Delta Jour]],""))</f>
        <v/>
      </c>
      <c r="H96" s="177" t="str">
        <f>IFERROR(Tab_Compteur_4[[#This Row],[Montant]]/Tab_Compteur_4[[#This Row],[Delta Jour]],"")</f>
        <v/>
      </c>
      <c r="I96" s="184" t="str">
        <f>IF(SUM(Tab_Compteur_4[[#This Row],[Quantité]],Tab_Compteur_4[[#This Row],[Index]])&lt;=0,"",G96)</f>
        <v/>
      </c>
      <c r="J96" s="185"/>
      <c r="K96" s="36"/>
      <c r="L96" s="36"/>
      <c r="M96" s="36"/>
    </row>
    <row r="97" spans="1:13">
      <c r="A97" s="2">
        <f t="shared" si="3"/>
        <v>1</v>
      </c>
      <c r="B97" s="501"/>
      <c r="C97" s="178"/>
      <c r="D97" s="491"/>
      <c r="E97" s="515"/>
      <c r="F97" s="177">
        <f t="shared" si="2"/>
        <v>0</v>
      </c>
      <c r="G97" s="177" t="str">
        <f>IF(IFERROR(IF(Str_TypeDonneesCpt4=Cpt_Index,Tab_Compteur_4[[#This Row],[Index]]-E96,Tab_Compteur_4[[#This Row],[Quantité]])/Tab_Compteur_4[[#This Row],[Delta Jour]],"")&lt;0,"",IFERROR(IF(Str_TypeDonneesCpt4=Cpt_Index,Tab_Compteur_4[[#This Row],[Index]]-E96,Tab_Compteur_4[[#This Row],[Quantité]])/Tab_Compteur_4[[#This Row],[Delta Jour]],""))</f>
        <v/>
      </c>
      <c r="H97" s="177" t="str">
        <f>IFERROR(Tab_Compteur_4[[#This Row],[Montant]]/Tab_Compteur_4[[#This Row],[Delta Jour]],"")</f>
        <v/>
      </c>
      <c r="I97" s="184" t="str">
        <f>IF(SUM(Tab_Compteur_4[[#This Row],[Quantité]],Tab_Compteur_4[[#This Row],[Index]])&lt;=0,"",G97)</f>
        <v/>
      </c>
      <c r="J97" s="185"/>
      <c r="K97" s="36"/>
      <c r="L97" s="36"/>
      <c r="M97" s="36"/>
    </row>
    <row r="98" spans="1:13">
      <c r="A98" s="2">
        <f t="shared" si="3"/>
        <v>1</v>
      </c>
      <c r="B98" s="501"/>
      <c r="C98" s="178"/>
      <c r="D98" s="491"/>
      <c r="E98" s="515"/>
      <c r="F98" s="177">
        <f t="shared" si="2"/>
        <v>0</v>
      </c>
      <c r="G98" s="177" t="str">
        <f>IF(IFERROR(IF(Str_TypeDonneesCpt4=Cpt_Index,Tab_Compteur_4[[#This Row],[Index]]-E97,Tab_Compteur_4[[#This Row],[Quantité]])/Tab_Compteur_4[[#This Row],[Delta Jour]],"")&lt;0,"",IFERROR(IF(Str_TypeDonneesCpt4=Cpt_Index,Tab_Compteur_4[[#This Row],[Index]]-E97,Tab_Compteur_4[[#This Row],[Quantité]])/Tab_Compteur_4[[#This Row],[Delta Jour]],""))</f>
        <v/>
      </c>
      <c r="H98" s="177" t="str">
        <f>IFERROR(Tab_Compteur_4[[#This Row],[Montant]]/Tab_Compteur_4[[#This Row],[Delta Jour]],"")</f>
        <v/>
      </c>
      <c r="I98" s="184" t="str">
        <f>IF(SUM(Tab_Compteur_4[[#This Row],[Quantité]],Tab_Compteur_4[[#This Row],[Index]])&lt;=0,"",G98)</f>
        <v/>
      </c>
      <c r="J98" s="185"/>
      <c r="K98" s="36"/>
      <c r="L98" s="36"/>
      <c r="M98" s="36"/>
    </row>
    <row r="99" spans="1:13">
      <c r="A99" s="2">
        <f t="shared" si="3"/>
        <v>1</v>
      </c>
      <c r="B99" s="501"/>
      <c r="C99" s="178"/>
      <c r="D99" s="491"/>
      <c r="E99" s="515"/>
      <c r="F99" s="177">
        <f t="shared" si="2"/>
        <v>0</v>
      </c>
      <c r="G99" s="177" t="str">
        <f>IF(IFERROR(IF(Str_TypeDonneesCpt4=Cpt_Index,Tab_Compteur_4[[#This Row],[Index]]-E98,Tab_Compteur_4[[#This Row],[Quantité]])/Tab_Compteur_4[[#This Row],[Delta Jour]],"")&lt;0,"",IFERROR(IF(Str_TypeDonneesCpt4=Cpt_Index,Tab_Compteur_4[[#This Row],[Index]]-E98,Tab_Compteur_4[[#This Row],[Quantité]])/Tab_Compteur_4[[#This Row],[Delta Jour]],""))</f>
        <v/>
      </c>
      <c r="H99" s="177" t="str">
        <f>IFERROR(Tab_Compteur_4[[#This Row],[Montant]]/Tab_Compteur_4[[#This Row],[Delta Jour]],"")</f>
        <v/>
      </c>
      <c r="I99" s="184" t="str">
        <f>IF(SUM(Tab_Compteur_4[[#This Row],[Quantité]],Tab_Compteur_4[[#This Row],[Index]])&lt;=0,"",G99)</f>
        <v/>
      </c>
      <c r="J99" s="185"/>
      <c r="K99" s="36"/>
      <c r="L99" s="36"/>
      <c r="M99" s="36"/>
    </row>
    <row r="100" spans="1:13">
      <c r="A100" s="2">
        <f t="shared" si="3"/>
        <v>1</v>
      </c>
      <c r="B100" s="501"/>
      <c r="C100" s="178"/>
      <c r="D100" s="491"/>
      <c r="E100" s="515"/>
      <c r="F100" s="177">
        <f t="shared" si="2"/>
        <v>0</v>
      </c>
      <c r="G100" s="177" t="str">
        <f>IF(IFERROR(IF(Str_TypeDonneesCpt4=Cpt_Index,Tab_Compteur_4[[#This Row],[Index]]-E99,Tab_Compteur_4[[#This Row],[Quantité]])/Tab_Compteur_4[[#This Row],[Delta Jour]],"")&lt;0,"",IFERROR(IF(Str_TypeDonneesCpt4=Cpt_Index,Tab_Compteur_4[[#This Row],[Index]]-E99,Tab_Compteur_4[[#This Row],[Quantité]])/Tab_Compteur_4[[#This Row],[Delta Jour]],""))</f>
        <v/>
      </c>
      <c r="H100" s="177" t="str">
        <f>IFERROR(Tab_Compteur_4[[#This Row],[Montant]]/Tab_Compteur_4[[#This Row],[Delta Jour]],"")</f>
        <v/>
      </c>
      <c r="I100" s="184" t="str">
        <f>IF(SUM(Tab_Compteur_4[[#This Row],[Quantité]],Tab_Compteur_4[[#This Row],[Index]])&lt;=0,"",G100)</f>
        <v/>
      </c>
      <c r="J100" s="185"/>
      <c r="K100" s="36"/>
      <c r="L100" s="36"/>
      <c r="M100" s="36"/>
    </row>
    <row r="101" spans="1:13">
      <c r="A101" s="2">
        <f t="shared" si="3"/>
        <v>1</v>
      </c>
      <c r="B101" s="501"/>
      <c r="C101" s="178"/>
      <c r="D101" s="491"/>
      <c r="E101" s="515"/>
      <c r="F101" s="177">
        <f t="shared" si="2"/>
        <v>0</v>
      </c>
      <c r="G101" s="177" t="str">
        <f>IF(IFERROR(IF(Str_TypeDonneesCpt4=Cpt_Index,Tab_Compteur_4[[#This Row],[Index]]-E100,Tab_Compteur_4[[#This Row],[Quantité]])/Tab_Compteur_4[[#This Row],[Delta Jour]],"")&lt;0,"",IFERROR(IF(Str_TypeDonneesCpt4=Cpt_Index,Tab_Compteur_4[[#This Row],[Index]]-E100,Tab_Compteur_4[[#This Row],[Quantité]])/Tab_Compteur_4[[#This Row],[Delta Jour]],""))</f>
        <v/>
      </c>
      <c r="H101" s="177" t="str">
        <f>IFERROR(Tab_Compteur_4[[#This Row],[Montant]]/Tab_Compteur_4[[#This Row],[Delta Jour]],"")</f>
        <v/>
      </c>
      <c r="I101" s="184" t="str">
        <f>IF(SUM(Tab_Compteur_4[[#This Row],[Quantité]],Tab_Compteur_4[[#This Row],[Index]])&lt;=0,"",G101)</f>
        <v/>
      </c>
      <c r="J101" s="185"/>
      <c r="K101" s="36"/>
      <c r="L101" s="36"/>
      <c r="M101" s="36"/>
    </row>
    <row r="102" spans="1:13">
      <c r="A102" s="2">
        <f t="shared" si="3"/>
        <v>1</v>
      </c>
      <c r="B102" s="501"/>
      <c r="C102" s="178"/>
      <c r="D102" s="491"/>
      <c r="E102" s="515"/>
      <c r="F102" s="177">
        <f t="shared" si="2"/>
        <v>0</v>
      </c>
      <c r="G102" s="177" t="str">
        <f>IF(IFERROR(IF(Str_TypeDonneesCpt4=Cpt_Index,Tab_Compteur_4[[#This Row],[Index]]-E101,Tab_Compteur_4[[#This Row],[Quantité]])/Tab_Compteur_4[[#This Row],[Delta Jour]],"")&lt;0,"",IFERROR(IF(Str_TypeDonneesCpt4=Cpt_Index,Tab_Compteur_4[[#This Row],[Index]]-E101,Tab_Compteur_4[[#This Row],[Quantité]])/Tab_Compteur_4[[#This Row],[Delta Jour]],""))</f>
        <v/>
      </c>
      <c r="H102" s="177" t="str">
        <f>IFERROR(Tab_Compteur_4[[#This Row],[Montant]]/Tab_Compteur_4[[#This Row],[Delta Jour]],"")</f>
        <v/>
      </c>
      <c r="I102" s="184" t="str">
        <f>IF(SUM(Tab_Compteur_4[[#This Row],[Quantité]],Tab_Compteur_4[[#This Row],[Index]])&lt;=0,"",G102)</f>
        <v/>
      </c>
      <c r="J102" s="185"/>
      <c r="K102" s="36"/>
      <c r="L102" s="36"/>
      <c r="M102" s="36"/>
    </row>
    <row r="103" spans="1:13">
      <c r="A103" s="2">
        <f t="shared" si="3"/>
        <v>1</v>
      </c>
      <c r="B103" s="501"/>
      <c r="C103" s="178"/>
      <c r="D103" s="491"/>
      <c r="E103" s="515"/>
      <c r="F103" s="177">
        <f t="shared" si="2"/>
        <v>0</v>
      </c>
      <c r="G103" s="177" t="str">
        <f>IF(IFERROR(IF(Str_TypeDonneesCpt4=Cpt_Index,Tab_Compteur_4[[#This Row],[Index]]-E102,Tab_Compteur_4[[#This Row],[Quantité]])/Tab_Compteur_4[[#This Row],[Delta Jour]],"")&lt;0,"",IFERROR(IF(Str_TypeDonneesCpt4=Cpt_Index,Tab_Compteur_4[[#This Row],[Index]]-E102,Tab_Compteur_4[[#This Row],[Quantité]])/Tab_Compteur_4[[#This Row],[Delta Jour]],""))</f>
        <v/>
      </c>
      <c r="H103" s="177" t="str">
        <f>IFERROR(Tab_Compteur_4[[#This Row],[Montant]]/Tab_Compteur_4[[#This Row],[Delta Jour]],"")</f>
        <v/>
      </c>
      <c r="I103" s="184" t="str">
        <f>IF(SUM(Tab_Compteur_4[[#This Row],[Quantité]],Tab_Compteur_4[[#This Row],[Index]])&lt;=0,"",G103)</f>
        <v/>
      </c>
      <c r="J103" s="185"/>
      <c r="K103" s="36"/>
      <c r="L103" s="36"/>
      <c r="M103" s="36"/>
    </row>
    <row r="104" spans="1:13">
      <c r="A104" s="2">
        <f t="shared" si="3"/>
        <v>1</v>
      </c>
      <c r="B104" s="501"/>
      <c r="C104" s="178"/>
      <c r="D104" s="491"/>
      <c r="E104" s="515"/>
      <c r="F104" s="177">
        <f t="shared" si="2"/>
        <v>0</v>
      </c>
      <c r="G104" s="177" t="str">
        <f>IF(IFERROR(IF(Str_TypeDonneesCpt4=Cpt_Index,Tab_Compteur_4[[#This Row],[Index]]-E103,Tab_Compteur_4[[#This Row],[Quantité]])/Tab_Compteur_4[[#This Row],[Delta Jour]],"")&lt;0,"",IFERROR(IF(Str_TypeDonneesCpt4=Cpt_Index,Tab_Compteur_4[[#This Row],[Index]]-E103,Tab_Compteur_4[[#This Row],[Quantité]])/Tab_Compteur_4[[#This Row],[Delta Jour]],""))</f>
        <v/>
      </c>
      <c r="H104" s="177" t="str">
        <f>IFERROR(Tab_Compteur_4[[#This Row],[Montant]]/Tab_Compteur_4[[#This Row],[Delta Jour]],"")</f>
        <v/>
      </c>
      <c r="I104" s="184" t="str">
        <f>IF(SUM(Tab_Compteur_4[[#This Row],[Quantité]],Tab_Compteur_4[[#This Row],[Index]])&lt;=0,"",G104)</f>
        <v/>
      </c>
      <c r="J104" s="185"/>
      <c r="K104" s="36"/>
      <c r="L104" s="36"/>
      <c r="M104" s="36"/>
    </row>
    <row r="105" spans="1:13">
      <c r="A105" s="2">
        <f t="shared" si="3"/>
        <v>1</v>
      </c>
      <c r="B105" s="501"/>
      <c r="C105" s="178"/>
      <c r="D105" s="491"/>
      <c r="E105" s="515"/>
      <c r="F105" s="177">
        <f t="shared" si="2"/>
        <v>0</v>
      </c>
      <c r="G105" s="177" t="str">
        <f>IF(IFERROR(IF(Str_TypeDonneesCpt4=Cpt_Index,Tab_Compteur_4[[#This Row],[Index]]-E104,Tab_Compteur_4[[#This Row],[Quantité]])/Tab_Compteur_4[[#This Row],[Delta Jour]],"")&lt;0,"",IFERROR(IF(Str_TypeDonneesCpt4=Cpt_Index,Tab_Compteur_4[[#This Row],[Index]]-E104,Tab_Compteur_4[[#This Row],[Quantité]])/Tab_Compteur_4[[#This Row],[Delta Jour]],""))</f>
        <v/>
      </c>
      <c r="H105" s="177" t="str">
        <f>IFERROR(Tab_Compteur_4[[#This Row],[Montant]]/Tab_Compteur_4[[#This Row],[Delta Jour]],"")</f>
        <v/>
      </c>
      <c r="I105" s="184" t="str">
        <f>IF(SUM(Tab_Compteur_4[[#This Row],[Quantité]],Tab_Compteur_4[[#This Row],[Index]])&lt;=0,"",G105)</f>
        <v/>
      </c>
      <c r="J105" s="185"/>
      <c r="K105" s="36"/>
      <c r="L105" s="36"/>
      <c r="M105" s="36"/>
    </row>
    <row r="106" spans="1:13">
      <c r="A106" s="2">
        <f t="shared" si="3"/>
        <v>1</v>
      </c>
      <c r="B106" s="501"/>
      <c r="C106" s="178"/>
      <c r="D106" s="491"/>
      <c r="E106" s="515"/>
      <c r="F106" s="177">
        <f t="shared" si="2"/>
        <v>0</v>
      </c>
      <c r="G106" s="177" t="str">
        <f>IF(IFERROR(IF(Str_TypeDonneesCpt4=Cpt_Index,Tab_Compteur_4[[#This Row],[Index]]-E105,Tab_Compteur_4[[#This Row],[Quantité]])/Tab_Compteur_4[[#This Row],[Delta Jour]],"")&lt;0,"",IFERROR(IF(Str_TypeDonneesCpt4=Cpt_Index,Tab_Compteur_4[[#This Row],[Index]]-E105,Tab_Compteur_4[[#This Row],[Quantité]])/Tab_Compteur_4[[#This Row],[Delta Jour]],""))</f>
        <v/>
      </c>
      <c r="H106" s="177" t="str">
        <f>IFERROR(Tab_Compteur_4[[#This Row],[Montant]]/Tab_Compteur_4[[#This Row],[Delta Jour]],"")</f>
        <v/>
      </c>
      <c r="I106" s="184" t="str">
        <f>IF(SUM(Tab_Compteur_4[[#This Row],[Quantité]],Tab_Compteur_4[[#This Row],[Index]])&lt;=0,"",G106)</f>
        <v/>
      </c>
      <c r="J106" s="185"/>
      <c r="K106" s="36"/>
      <c r="L106" s="36"/>
      <c r="M106" s="36"/>
    </row>
    <row r="107" spans="1:13">
      <c r="A107" s="2">
        <f t="shared" si="3"/>
        <v>1</v>
      </c>
      <c r="B107" s="501"/>
      <c r="C107" s="178"/>
      <c r="D107" s="491"/>
      <c r="E107" s="515"/>
      <c r="F107" s="177">
        <f t="shared" si="2"/>
        <v>0</v>
      </c>
      <c r="G107" s="177" t="str">
        <f>IF(IFERROR(IF(Str_TypeDonneesCpt4=Cpt_Index,Tab_Compteur_4[[#This Row],[Index]]-E106,Tab_Compteur_4[[#This Row],[Quantité]])/Tab_Compteur_4[[#This Row],[Delta Jour]],"")&lt;0,"",IFERROR(IF(Str_TypeDonneesCpt4=Cpt_Index,Tab_Compteur_4[[#This Row],[Index]]-E106,Tab_Compteur_4[[#This Row],[Quantité]])/Tab_Compteur_4[[#This Row],[Delta Jour]],""))</f>
        <v/>
      </c>
      <c r="H107" s="177" t="str">
        <f>IFERROR(Tab_Compteur_4[[#This Row],[Montant]]/Tab_Compteur_4[[#This Row],[Delta Jour]],"")</f>
        <v/>
      </c>
      <c r="I107" s="184" t="str">
        <f>IF(SUM(Tab_Compteur_4[[#This Row],[Quantité]],Tab_Compteur_4[[#This Row],[Index]])&lt;=0,"",G107)</f>
        <v/>
      </c>
      <c r="J107" s="185"/>
      <c r="K107" s="36"/>
      <c r="L107" s="36"/>
      <c r="M107" s="36"/>
    </row>
    <row r="108" spans="1:13">
      <c r="A108" s="2">
        <f t="shared" si="3"/>
        <v>1</v>
      </c>
      <c r="B108" s="501"/>
      <c r="C108" s="178"/>
      <c r="D108" s="491"/>
      <c r="E108" s="515"/>
      <c r="F108" s="177">
        <f t="shared" si="2"/>
        <v>0</v>
      </c>
      <c r="G108" s="177" t="str">
        <f>IF(IFERROR(IF(Str_TypeDonneesCpt4=Cpt_Index,Tab_Compteur_4[[#This Row],[Index]]-E107,Tab_Compteur_4[[#This Row],[Quantité]])/Tab_Compteur_4[[#This Row],[Delta Jour]],"")&lt;0,"",IFERROR(IF(Str_TypeDonneesCpt4=Cpt_Index,Tab_Compteur_4[[#This Row],[Index]]-E107,Tab_Compteur_4[[#This Row],[Quantité]])/Tab_Compteur_4[[#This Row],[Delta Jour]],""))</f>
        <v/>
      </c>
      <c r="H108" s="177" t="str">
        <f>IFERROR(Tab_Compteur_4[[#This Row],[Montant]]/Tab_Compteur_4[[#This Row],[Delta Jour]],"")</f>
        <v/>
      </c>
      <c r="I108" s="184" t="str">
        <f>IF(SUM(Tab_Compteur_4[[#This Row],[Quantité]],Tab_Compteur_4[[#This Row],[Index]])&lt;=0,"",G108)</f>
        <v/>
      </c>
      <c r="J108" s="185"/>
      <c r="K108" s="36"/>
      <c r="L108" s="36"/>
      <c r="M108" s="36"/>
    </row>
    <row r="109" spans="1:13">
      <c r="A109" s="2">
        <f t="shared" si="3"/>
        <v>1</v>
      </c>
      <c r="B109" s="501"/>
      <c r="C109" s="178"/>
      <c r="D109" s="491"/>
      <c r="E109" s="515"/>
      <c r="F109" s="177">
        <f t="shared" si="2"/>
        <v>0</v>
      </c>
      <c r="G109" s="177" t="str">
        <f>IF(IFERROR(IF(Str_TypeDonneesCpt4=Cpt_Index,Tab_Compteur_4[[#This Row],[Index]]-E108,Tab_Compteur_4[[#This Row],[Quantité]])/Tab_Compteur_4[[#This Row],[Delta Jour]],"")&lt;0,"",IFERROR(IF(Str_TypeDonneesCpt4=Cpt_Index,Tab_Compteur_4[[#This Row],[Index]]-E108,Tab_Compteur_4[[#This Row],[Quantité]])/Tab_Compteur_4[[#This Row],[Delta Jour]],""))</f>
        <v/>
      </c>
      <c r="H109" s="177" t="str">
        <f>IFERROR(Tab_Compteur_4[[#This Row],[Montant]]/Tab_Compteur_4[[#This Row],[Delta Jour]],"")</f>
        <v/>
      </c>
      <c r="I109" s="184" t="str">
        <f>IF(SUM(Tab_Compteur_4[[#This Row],[Quantité]],Tab_Compteur_4[[#This Row],[Index]])&lt;=0,"",G109)</f>
        <v/>
      </c>
      <c r="J109" s="185"/>
      <c r="K109" s="36"/>
      <c r="L109" s="36"/>
      <c r="M109" s="36"/>
    </row>
    <row r="110" spans="1:13">
      <c r="A110" s="2">
        <f t="shared" si="3"/>
        <v>1</v>
      </c>
      <c r="B110" s="501"/>
      <c r="C110" s="178"/>
      <c r="D110" s="491"/>
      <c r="E110" s="515"/>
      <c r="F110" s="177">
        <f t="shared" si="2"/>
        <v>0</v>
      </c>
      <c r="G110" s="177" t="str">
        <f>IF(IFERROR(IF(Str_TypeDonneesCpt4=Cpt_Index,Tab_Compteur_4[[#This Row],[Index]]-E109,Tab_Compteur_4[[#This Row],[Quantité]])/Tab_Compteur_4[[#This Row],[Delta Jour]],"")&lt;0,"",IFERROR(IF(Str_TypeDonneesCpt4=Cpt_Index,Tab_Compteur_4[[#This Row],[Index]]-E109,Tab_Compteur_4[[#This Row],[Quantité]])/Tab_Compteur_4[[#This Row],[Delta Jour]],""))</f>
        <v/>
      </c>
      <c r="H110" s="177" t="str">
        <f>IFERROR(Tab_Compteur_4[[#This Row],[Montant]]/Tab_Compteur_4[[#This Row],[Delta Jour]],"")</f>
        <v/>
      </c>
      <c r="I110" s="184" t="str">
        <f>IF(SUM(Tab_Compteur_4[[#This Row],[Quantité]],Tab_Compteur_4[[#This Row],[Index]])&lt;=0,"",G110)</f>
        <v/>
      </c>
      <c r="J110" s="185"/>
      <c r="K110" s="36"/>
      <c r="L110" s="36"/>
      <c r="M110" s="36"/>
    </row>
    <row r="111" spans="1:13">
      <c r="A111" s="2">
        <f t="shared" si="3"/>
        <v>1</v>
      </c>
      <c r="B111" s="501"/>
      <c r="C111" s="178"/>
      <c r="D111" s="491"/>
      <c r="E111" s="515"/>
      <c r="F111" s="177">
        <f t="shared" si="2"/>
        <v>0</v>
      </c>
      <c r="G111" s="177" t="str">
        <f>IF(IFERROR(IF(Str_TypeDonneesCpt4=Cpt_Index,Tab_Compteur_4[[#This Row],[Index]]-E110,Tab_Compteur_4[[#This Row],[Quantité]])/Tab_Compteur_4[[#This Row],[Delta Jour]],"")&lt;0,"",IFERROR(IF(Str_TypeDonneesCpt4=Cpt_Index,Tab_Compteur_4[[#This Row],[Index]]-E110,Tab_Compteur_4[[#This Row],[Quantité]])/Tab_Compteur_4[[#This Row],[Delta Jour]],""))</f>
        <v/>
      </c>
      <c r="H111" s="177" t="str">
        <f>IFERROR(Tab_Compteur_4[[#This Row],[Montant]]/Tab_Compteur_4[[#This Row],[Delta Jour]],"")</f>
        <v/>
      </c>
      <c r="I111" s="184" t="str">
        <f>IF(SUM(Tab_Compteur_4[[#This Row],[Quantité]],Tab_Compteur_4[[#This Row],[Index]])&lt;=0,"",G111)</f>
        <v/>
      </c>
      <c r="J111" s="185"/>
      <c r="K111" s="36"/>
      <c r="L111" s="36"/>
      <c r="M111" s="36"/>
    </row>
    <row r="112" spans="1:13">
      <c r="A112" s="2">
        <f t="shared" si="3"/>
        <v>1</v>
      </c>
      <c r="B112" s="501"/>
      <c r="C112" s="178"/>
      <c r="D112" s="491"/>
      <c r="E112" s="515"/>
      <c r="F112" s="177">
        <f t="shared" si="2"/>
        <v>0</v>
      </c>
      <c r="G112" s="177" t="str">
        <f>IF(IFERROR(IF(Str_TypeDonneesCpt4=Cpt_Index,Tab_Compteur_4[[#This Row],[Index]]-E111,Tab_Compteur_4[[#This Row],[Quantité]])/Tab_Compteur_4[[#This Row],[Delta Jour]],"")&lt;0,"",IFERROR(IF(Str_TypeDonneesCpt4=Cpt_Index,Tab_Compteur_4[[#This Row],[Index]]-E111,Tab_Compteur_4[[#This Row],[Quantité]])/Tab_Compteur_4[[#This Row],[Delta Jour]],""))</f>
        <v/>
      </c>
      <c r="H112" s="177" t="str">
        <f>IFERROR(Tab_Compteur_4[[#This Row],[Montant]]/Tab_Compteur_4[[#This Row],[Delta Jour]],"")</f>
        <v/>
      </c>
      <c r="I112" s="184" t="str">
        <f>IF(SUM(Tab_Compteur_4[[#This Row],[Quantité]],Tab_Compteur_4[[#This Row],[Index]])&lt;=0,"",G112)</f>
        <v/>
      </c>
      <c r="J112" s="185"/>
      <c r="K112" s="36"/>
      <c r="L112" s="36"/>
      <c r="M112" s="36"/>
    </row>
    <row r="113" spans="1:13">
      <c r="A113" s="2">
        <f t="shared" si="3"/>
        <v>1</v>
      </c>
      <c r="B113" s="501"/>
      <c r="C113" s="178"/>
      <c r="D113" s="491"/>
      <c r="E113" s="515"/>
      <c r="F113" s="177">
        <f t="shared" si="2"/>
        <v>0</v>
      </c>
      <c r="G113" s="177" t="str">
        <f>IF(IFERROR(IF(Str_TypeDonneesCpt4=Cpt_Index,Tab_Compteur_4[[#This Row],[Index]]-E112,Tab_Compteur_4[[#This Row],[Quantité]])/Tab_Compteur_4[[#This Row],[Delta Jour]],"")&lt;0,"",IFERROR(IF(Str_TypeDonneesCpt4=Cpt_Index,Tab_Compteur_4[[#This Row],[Index]]-E112,Tab_Compteur_4[[#This Row],[Quantité]])/Tab_Compteur_4[[#This Row],[Delta Jour]],""))</f>
        <v/>
      </c>
      <c r="H113" s="177" t="str">
        <f>IFERROR(Tab_Compteur_4[[#This Row],[Montant]]/Tab_Compteur_4[[#This Row],[Delta Jour]],"")</f>
        <v/>
      </c>
      <c r="I113" s="184" t="str">
        <f>IF(SUM(Tab_Compteur_4[[#This Row],[Quantité]],Tab_Compteur_4[[#This Row],[Index]])&lt;=0,"",G113)</f>
        <v/>
      </c>
      <c r="J113" s="185"/>
      <c r="K113" s="36"/>
      <c r="L113" s="36"/>
      <c r="M113" s="36"/>
    </row>
    <row r="114" spans="1:13">
      <c r="A114" s="2">
        <f t="shared" si="3"/>
        <v>1</v>
      </c>
      <c r="B114" s="501"/>
      <c r="C114" s="178"/>
      <c r="D114" s="491"/>
      <c r="E114" s="515"/>
      <c r="F114" s="177">
        <f t="shared" si="2"/>
        <v>0</v>
      </c>
      <c r="G114" s="177" t="str">
        <f>IF(IFERROR(IF(Str_TypeDonneesCpt4=Cpt_Index,Tab_Compteur_4[[#This Row],[Index]]-E113,Tab_Compteur_4[[#This Row],[Quantité]])/Tab_Compteur_4[[#This Row],[Delta Jour]],"")&lt;0,"",IFERROR(IF(Str_TypeDonneesCpt4=Cpt_Index,Tab_Compteur_4[[#This Row],[Index]]-E113,Tab_Compteur_4[[#This Row],[Quantité]])/Tab_Compteur_4[[#This Row],[Delta Jour]],""))</f>
        <v/>
      </c>
      <c r="H114" s="177" t="str">
        <f>IFERROR(Tab_Compteur_4[[#This Row],[Montant]]/Tab_Compteur_4[[#This Row],[Delta Jour]],"")</f>
        <v/>
      </c>
      <c r="I114" s="184" t="str">
        <f>IF(SUM(Tab_Compteur_4[[#This Row],[Quantité]],Tab_Compteur_4[[#This Row],[Index]])&lt;=0,"",G114)</f>
        <v/>
      </c>
      <c r="J114" s="185"/>
      <c r="K114" s="36"/>
      <c r="L114" s="36"/>
      <c r="M114" s="36"/>
    </row>
    <row r="115" spans="1:13">
      <c r="A115" s="2">
        <f t="shared" si="3"/>
        <v>1</v>
      </c>
      <c r="B115" s="501"/>
      <c r="C115" s="178"/>
      <c r="D115" s="491"/>
      <c r="E115" s="515"/>
      <c r="F115" s="177">
        <f t="shared" si="2"/>
        <v>0</v>
      </c>
      <c r="G115" s="177" t="str">
        <f>IF(IFERROR(IF(Str_TypeDonneesCpt4=Cpt_Index,Tab_Compteur_4[[#This Row],[Index]]-E114,Tab_Compteur_4[[#This Row],[Quantité]])/Tab_Compteur_4[[#This Row],[Delta Jour]],"")&lt;0,"",IFERROR(IF(Str_TypeDonneesCpt4=Cpt_Index,Tab_Compteur_4[[#This Row],[Index]]-E114,Tab_Compteur_4[[#This Row],[Quantité]])/Tab_Compteur_4[[#This Row],[Delta Jour]],""))</f>
        <v/>
      </c>
      <c r="H115" s="177" t="str">
        <f>IFERROR(Tab_Compteur_4[[#This Row],[Montant]]/Tab_Compteur_4[[#This Row],[Delta Jour]],"")</f>
        <v/>
      </c>
      <c r="I115" s="184" t="str">
        <f>IF(SUM(Tab_Compteur_4[[#This Row],[Quantité]],Tab_Compteur_4[[#This Row],[Index]])&lt;=0,"",G115)</f>
        <v/>
      </c>
      <c r="J115" s="185"/>
      <c r="K115" s="36"/>
      <c r="L115" s="36"/>
      <c r="M115" s="36"/>
    </row>
    <row r="116" spans="1:13">
      <c r="A116" s="2">
        <f t="shared" si="3"/>
        <v>1</v>
      </c>
      <c r="B116" s="501"/>
      <c r="C116" s="178"/>
      <c r="D116" s="491"/>
      <c r="E116" s="515"/>
      <c r="F116" s="177">
        <f t="shared" si="2"/>
        <v>0</v>
      </c>
      <c r="G116" s="177" t="str">
        <f>IF(IFERROR(IF(Str_TypeDonneesCpt4=Cpt_Index,Tab_Compteur_4[[#This Row],[Index]]-E115,Tab_Compteur_4[[#This Row],[Quantité]])/Tab_Compteur_4[[#This Row],[Delta Jour]],"")&lt;0,"",IFERROR(IF(Str_TypeDonneesCpt4=Cpt_Index,Tab_Compteur_4[[#This Row],[Index]]-E115,Tab_Compteur_4[[#This Row],[Quantité]])/Tab_Compteur_4[[#This Row],[Delta Jour]],""))</f>
        <v/>
      </c>
      <c r="H116" s="177" t="str">
        <f>IFERROR(Tab_Compteur_4[[#This Row],[Montant]]/Tab_Compteur_4[[#This Row],[Delta Jour]],"")</f>
        <v/>
      </c>
      <c r="I116" s="184" t="str">
        <f>IF(SUM(Tab_Compteur_4[[#This Row],[Quantité]],Tab_Compteur_4[[#This Row],[Index]])&lt;=0,"",G116)</f>
        <v/>
      </c>
      <c r="J116" s="185"/>
      <c r="K116" s="36"/>
      <c r="L116" s="36"/>
      <c r="M116" s="36"/>
    </row>
    <row r="117" spans="1:13">
      <c r="A117" s="2">
        <f t="shared" si="3"/>
        <v>1</v>
      </c>
      <c r="B117" s="501"/>
      <c r="C117" s="178"/>
      <c r="D117" s="491"/>
      <c r="E117" s="515"/>
      <c r="F117" s="177">
        <f t="shared" si="2"/>
        <v>0</v>
      </c>
      <c r="G117" s="177" t="str">
        <f>IF(IFERROR(IF(Str_TypeDonneesCpt4=Cpt_Index,Tab_Compteur_4[[#This Row],[Index]]-E116,Tab_Compteur_4[[#This Row],[Quantité]])/Tab_Compteur_4[[#This Row],[Delta Jour]],"")&lt;0,"",IFERROR(IF(Str_TypeDonneesCpt4=Cpt_Index,Tab_Compteur_4[[#This Row],[Index]]-E116,Tab_Compteur_4[[#This Row],[Quantité]])/Tab_Compteur_4[[#This Row],[Delta Jour]],""))</f>
        <v/>
      </c>
      <c r="H117" s="177" t="str">
        <f>IFERROR(Tab_Compteur_4[[#This Row],[Montant]]/Tab_Compteur_4[[#This Row],[Delta Jour]],"")</f>
        <v/>
      </c>
      <c r="I117" s="184" t="str">
        <f>IF(SUM(Tab_Compteur_4[[#This Row],[Quantité]],Tab_Compteur_4[[#This Row],[Index]])&lt;=0,"",G117)</f>
        <v/>
      </c>
      <c r="J117" s="185"/>
      <c r="K117" s="36"/>
      <c r="L117" s="36"/>
      <c r="M117" s="36"/>
    </row>
    <row r="118" spans="1:13">
      <c r="A118" s="2">
        <f t="shared" si="3"/>
        <v>1</v>
      </c>
      <c r="B118" s="501"/>
      <c r="C118" s="178"/>
      <c r="D118" s="491"/>
      <c r="E118" s="515"/>
      <c r="F118" s="177">
        <f t="shared" si="2"/>
        <v>0</v>
      </c>
      <c r="G118" s="177" t="str">
        <f>IF(IFERROR(IF(Str_TypeDonneesCpt4=Cpt_Index,Tab_Compteur_4[[#This Row],[Index]]-E117,Tab_Compteur_4[[#This Row],[Quantité]])/Tab_Compteur_4[[#This Row],[Delta Jour]],"")&lt;0,"",IFERROR(IF(Str_TypeDonneesCpt4=Cpt_Index,Tab_Compteur_4[[#This Row],[Index]]-E117,Tab_Compteur_4[[#This Row],[Quantité]])/Tab_Compteur_4[[#This Row],[Delta Jour]],""))</f>
        <v/>
      </c>
      <c r="H118" s="177" t="str">
        <f>IFERROR(Tab_Compteur_4[[#This Row],[Montant]]/Tab_Compteur_4[[#This Row],[Delta Jour]],"")</f>
        <v/>
      </c>
      <c r="I118" s="184" t="str">
        <f>IF(SUM(Tab_Compteur_4[[#This Row],[Quantité]],Tab_Compteur_4[[#This Row],[Index]])&lt;=0,"",G118)</f>
        <v/>
      </c>
      <c r="J118" s="185"/>
      <c r="K118" s="36"/>
      <c r="L118" s="36"/>
      <c r="M118" s="36"/>
    </row>
    <row r="119" spans="1:13">
      <c r="A119" s="2">
        <f t="shared" si="3"/>
        <v>1</v>
      </c>
      <c r="B119" s="501"/>
      <c r="C119" s="178"/>
      <c r="D119" s="491"/>
      <c r="E119" s="515"/>
      <c r="F119" s="177">
        <f t="shared" si="2"/>
        <v>0</v>
      </c>
      <c r="G119" s="177" t="str">
        <f>IF(IFERROR(IF(Str_TypeDonneesCpt4=Cpt_Index,Tab_Compteur_4[[#This Row],[Index]]-E118,Tab_Compteur_4[[#This Row],[Quantité]])/Tab_Compteur_4[[#This Row],[Delta Jour]],"")&lt;0,"",IFERROR(IF(Str_TypeDonneesCpt4=Cpt_Index,Tab_Compteur_4[[#This Row],[Index]]-E118,Tab_Compteur_4[[#This Row],[Quantité]])/Tab_Compteur_4[[#This Row],[Delta Jour]],""))</f>
        <v/>
      </c>
      <c r="H119" s="177" t="str">
        <f>IFERROR(Tab_Compteur_4[[#This Row],[Montant]]/Tab_Compteur_4[[#This Row],[Delta Jour]],"")</f>
        <v/>
      </c>
      <c r="I119" s="184" t="str">
        <f>IF(SUM(Tab_Compteur_4[[#This Row],[Quantité]],Tab_Compteur_4[[#This Row],[Index]])&lt;=0,"",G119)</f>
        <v/>
      </c>
      <c r="J119" s="185"/>
      <c r="K119" s="36"/>
      <c r="L119" s="36"/>
      <c r="M119" s="36"/>
    </row>
    <row r="120" spans="1:13">
      <c r="A120" s="2">
        <f t="shared" si="3"/>
        <v>1</v>
      </c>
      <c r="B120" s="501"/>
      <c r="C120" s="178"/>
      <c r="D120" s="491"/>
      <c r="E120" s="515"/>
      <c r="F120" s="177">
        <f t="shared" si="2"/>
        <v>0</v>
      </c>
      <c r="G120" s="177" t="str">
        <f>IF(IFERROR(IF(Str_TypeDonneesCpt4=Cpt_Index,Tab_Compteur_4[[#This Row],[Index]]-E119,Tab_Compteur_4[[#This Row],[Quantité]])/Tab_Compteur_4[[#This Row],[Delta Jour]],"")&lt;0,"",IFERROR(IF(Str_TypeDonneesCpt4=Cpt_Index,Tab_Compteur_4[[#This Row],[Index]]-E119,Tab_Compteur_4[[#This Row],[Quantité]])/Tab_Compteur_4[[#This Row],[Delta Jour]],""))</f>
        <v/>
      </c>
      <c r="H120" s="177" t="str">
        <f>IFERROR(Tab_Compteur_4[[#This Row],[Montant]]/Tab_Compteur_4[[#This Row],[Delta Jour]],"")</f>
        <v/>
      </c>
      <c r="I120" s="184" t="str">
        <f>IF(SUM(Tab_Compteur_4[[#This Row],[Quantité]],Tab_Compteur_4[[#This Row],[Index]])&lt;=0,"",G120)</f>
        <v/>
      </c>
      <c r="J120" s="185"/>
      <c r="K120" s="36"/>
      <c r="L120" s="36"/>
      <c r="M120" s="36"/>
    </row>
    <row r="121" spans="1:13">
      <c r="A121" s="2">
        <f t="shared" si="3"/>
        <v>1</v>
      </c>
      <c r="B121" s="501"/>
      <c r="C121" s="178"/>
      <c r="D121" s="491"/>
      <c r="E121" s="515"/>
      <c r="F121" s="177">
        <f t="shared" si="2"/>
        <v>0</v>
      </c>
      <c r="G121" s="177" t="str">
        <f>IF(IFERROR(IF(Str_TypeDonneesCpt4=Cpt_Index,Tab_Compteur_4[[#This Row],[Index]]-E120,Tab_Compteur_4[[#This Row],[Quantité]])/Tab_Compteur_4[[#This Row],[Delta Jour]],"")&lt;0,"",IFERROR(IF(Str_TypeDonneesCpt4=Cpt_Index,Tab_Compteur_4[[#This Row],[Index]]-E120,Tab_Compteur_4[[#This Row],[Quantité]])/Tab_Compteur_4[[#This Row],[Delta Jour]],""))</f>
        <v/>
      </c>
      <c r="H121" s="177" t="str">
        <f>IFERROR(Tab_Compteur_4[[#This Row],[Montant]]/Tab_Compteur_4[[#This Row],[Delta Jour]],"")</f>
        <v/>
      </c>
      <c r="I121" s="184" t="str">
        <f>IF(SUM(Tab_Compteur_4[[#This Row],[Quantité]],Tab_Compteur_4[[#This Row],[Index]])&lt;=0,"",G121)</f>
        <v/>
      </c>
      <c r="J121" s="185"/>
      <c r="K121" s="36"/>
      <c r="L121" s="36"/>
      <c r="M121" s="36"/>
    </row>
    <row r="122" spans="1:13">
      <c r="A122" s="2">
        <f t="shared" si="3"/>
        <v>1</v>
      </c>
      <c r="B122" s="501"/>
      <c r="C122" s="178"/>
      <c r="D122" s="491"/>
      <c r="E122" s="515"/>
      <c r="F122" s="177">
        <f t="shared" si="2"/>
        <v>0</v>
      </c>
      <c r="G122" s="177" t="str">
        <f>IF(IFERROR(IF(Str_TypeDonneesCpt4=Cpt_Index,Tab_Compteur_4[[#This Row],[Index]]-E121,Tab_Compteur_4[[#This Row],[Quantité]])/Tab_Compteur_4[[#This Row],[Delta Jour]],"")&lt;0,"",IFERROR(IF(Str_TypeDonneesCpt4=Cpt_Index,Tab_Compteur_4[[#This Row],[Index]]-E121,Tab_Compteur_4[[#This Row],[Quantité]])/Tab_Compteur_4[[#This Row],[Delta Jour]],""))</f>
        <v/>
      </c>
      <c r="H122" s="177" t="str">
        <f>IFERROR(Tab_Compteur_4[[#This Row],[Montant]]/Tab_Compteur_4[[#This Row],[Delta Jour]],"")</f>
        <v/>
      </c>
      <c r="I122" s="184" t="str">
        <f>IF(SUM(Tab_Compteur_4[[#This Row],[Quantité]],Tab_Compteur_4[[#This Row],[Index]])&lt;=0,"",G122)</f>
        <v/>
      </c>
      <c r="J122" s="185"/>
      <c r="K122" s="36"/>
      <c r="L122" s="36"/>
      <c r="M122" s="36"/>
    </row>
    <row r="123" spans="1:13">
      <c r="A123" s="2">
        <f t="shared" si="3"/>
        <v>1</v>
      </c>
      <c r="B123" s="501"/>
      <c r="C123" s="178"/>
      <c r="D123" s="491"/>
      <c r="E123" s="515"/>
      <c r="F123" s="177">
        <f t="shared" si="2"/>
        <v>0</v>
      </c>
      <c r="G123" s="177" t="str">
        <f>IF(IFERROR(IF(Str_TypeDonneesCpt4=Cpt_Index,Tab_Compteur_4[[#This Row],[Index]]-E122,Tab_Compteur_4[[#This Row],[Quantité]])/Tab_Compteur_4[[#This Row],[Delta Jour]],"")&lt;0,"",IFERROR(IF(Str_TypeDonneesCpt4=Cpt_Index,Tab_Compteur_4[[#This Row],[Index]]-E122,Tab_Compteur_4[[#This Row],[Quantité]])/Tab_Compteur_4[[#This Row],[Delta Jour]],""))</f>
        <v/>
      </c>
      <c r="H123" s="177" t="str">
        <f>IFERROR(Tab_Compteur_4[[#This Row],[Montant]]/Tab_Compteur_4[[#This Row],[Delta Jour]],"")</f>
        <v/>
      </c>
      <c r="I123" s="184" t="str">
        <f>IF(SUM(Tab_Compteur_4[[#This Row],[Quantité]],Tab_Compteur_4[[#This Row],[Index]])&lt;=0,"",G123)</f>
        <v/>
      </c>
      <c r="J123" s="185"/>
      <c r="K123" s="36"/>
      <c r="L123" s="36"/>
      <c r="M123" s="36"/>
    </row>
    <row r="124" spans="1:13">
      <c r="A124" s="2">
        <f t="shared" si="3"/>
        <v>1</v>
      </c>
      <c r="B124" s="501"/>
      <c r="C124" s="178"/>
      <c r="D124" s="491"/>
      <c r="E124" s="515"/>
      <c r="F124" s="177">
        <f t="shared" si="2"/>
        <v>0</v>
      </c>
      <c r="G124" s="177" t="str">
        <f>IF(IFERROR(IF(Str_TypeDonneesCpt4=Cpt_Index,Tab_Compteur_4[[#This Row],[Index]]-E123,Tab_Compteur_4[[#This Row],[Quantité]])/Tab_Compteur_4[[#This Row],[Delta Jour]],"")&lt;0,"",IFERROR(IF(Str_TypeDonneesCpt4=Cpt_Index,Tab_Compteur_4[[#This Row],[Index]]-E123,Tab_Compteur_4[[#This Row],[Quantité]])/Tab_Compteur_4[[#This Row],[Delta Jour]],""))</f>
        <v/>
      </c>
      <c r="H124" s="177" t="str">
        <f>IFERROR(Tab_Compteur_4[[#This Row],[Montant]]/Tab_Compteur_4[[#This Row],[Delta Jour]],"")</f>
        <v/>
      </c>
      <c r="I124" s="184" t="str">
        <f>IF(SUM(Tab_Compteur_4[[#This Row],[Quantité]],Tab_Compteur_4[[#This Row],[Index]])&lt;=0,"",G124)</f>
        <v/>
      </c>
      <c r="J124" s="185"/>
      <c r="K124" s="36"/>
      <c r="L124" s="36"/>
      <c r="M124" s="36"/>
    </row>
    <row r="125" spans="1:13">
      <c r="A125" s="2">
        <f t="shared" si="3"/>
        <v>1</v>
      </c>
      <c r="B125" s="501"/>
      <c r="C125" s="178"/>
      <c r="D125" s="491"/>
      <c r="E125" s="515"/>
      <c r="F125" s="177">
        <f t="shared" si="2"/>
        <v>0</v>
      </c>
      <c r="G125" s="177" t="str">
        <f>IF(IFERROR(IF(Str_TypeDonneesCpt4=Cpt_Index,Tab_Compteur_4[[#This Row],[Index]]-E124,Tab_Compteur_4[[#This Row],[Quantité]])/Tab_Compteur_4[[#This Row],[Delta Jour]],"")&lt;0,"",IFERROR(IF(Str_TypeDonneesCpt4=Cpt_Index,Tab_Compteur_4[[#This Row],[Index]]-E124,Tab_Compteur_4[[#This Row],[Quantité]])/Tab_Compteur_4[[#This Row],[Delta Jour]],""))</f>
        <v/>
      </c>
      <c r="H125" s="177" t="str">
        <f>IFERROR(Tab_Compteur_4[[#This Row],[Montant]]/Tab_Compteur_4[[#This Row],[Delta Jour]],"")</f>
        <v/>
      </c>
      <c r="I125" s="184" t="str">
        <f>IF(SUM(Tab_Compteur_4[[#This Row],[Quantité]],Tab_Compteur_4[[#This Row],[Index]])&lt;=0,"",G125)</f>
        <v/>
      </c>
      <c r="J125" s="185"/>
      <c r="K125" s="36"/>
      <c r="L125" s="36"/>
      <c r="M125" s="36"/>
    </row>
    <row r="126" spans="1:13">
      <c r="A126" s="2">
        <f t="shared" si="3"/>
        <v>1</v>
      </c>
      <c r="B126" s="501"/>
      <c r="C126" s="178"/>
      <c r="D126" s="491"/>
      <c r="E126" s="515"/>
      <c r="F126" s="177">
        <f t="shared" si="2"/>
        <v>0</v>
      </c>
      <c r="G126" s="177" t="str">
        <f>IF(IFERROR(IF(Str_TypeDonneesCpt4=Cpt_Index,Tab_Compteur_4[[#This Row],[Index]]-E125,Tab_Compteur_4[[#This Row],[Quantité]])/Tab_Compteur_4[[#This Row],[Delta Jour]],"")&lt;0,"",IFERROR(IF(Str_TypeDonneesCpt4=Cpt_Index,Tab_Compteur_4[[#This Row],[Index]]-E125,Tab_Compteur_4[[#This Row],[Quantité]])/Tab_Compteur_4[[#This Row],[Delta Jour]],""))</f>
        <v/>
      </c>
      <c r="H126" s="177" t="str">
        <f>IFERROR(Tab_Compteur_4[[#This Row],[Montant]]/Tab_Compteur_4[[#This Row],[Delta Jour]],"")</f>
        <v/>
      </c>
      <c r="I126" s="184" t="str">
        <f>IF(SUM(Tab_Compteur_4[[#This Row],[Quantité]],Tab_Compteur_4[[#This Row],[Index]])&lt;=0,"",G126)</f>
        <v/>
      </c>
      <c r="J126" s="185"/>
      <c r="K126" s="36"/>
      <c r="L126" s="36"/>
      <c r="M126" s="36"/>
    </row>
    <row r="127" spans="1:13">
      <c r="A127" s="2">
        <f t="shared" si="3"/>
        <v>1</v>
      </c>
      <c r="B127" s="501"/>
      <c r="C127" s="178"/>
      <c r="D127" s="491"/>
      <c r="E127" s="515"/>
      <c r="F127" s="177">
        <f t="shared" si="2"/>
        <v>0</v>
      </c>
      <c r="G127" s="177" t="str">
        <f>IF(IFERROR(IF(Str_TypeDonneesCpt4=Cpt_Index,Tab_Compteur_4[[#This Row],[Index]]-E126,Tab_Compteur_4[[#This Row],[Quantité]])/Tab_Compteur_4[[#This Row],[Delta Jour]],"")&lt;0,"",IFERROR(IF(Str_TypeDonneesCpt4=Cpt_Index,Tab_Compteur_4[[#This Row],[Index]]-E126,Tab_Compteur_4[[#This Row],[Quantité]])/Tab_Compteur_4[[#This Row],[Delta Jour]],""))</f>
        <v/>
      </c>
      <c r="H127" s="177" t="str">
        <f>IFERROR(Tab_Compteur_4[[#This Row],[Montant]]/Tab_Compteur_4[[#This Row],[Delta Jour]],"")</f>
        <v/>
      </c>
      <c r="I127" s="184" t="str">
        <f>IF(SUM(Tab_Compteur_4[[#This Row],[Quantité]],Tab_Compteur_4[[#This Row],[Index]])&lt;=0,"",G127)</f>
        <v/>
      </c>
      <c r="J127" s="185"/>
      <c r="K127" s="36"/>
      <c r="L127" s="36"/>
      <c r="M127" s="36"/>
    </row>
    <row r="128" spans="1:13">
      <c r="A128" s="2">
        <f t="shared" si="3"/>
        <v>1</v>
      </c>
      <c r="B128" s="501"/>
      <c r="C128" s="178"/>
      <c r="D128" s="491"/>
      <c r="E128" s="515"/>
      <c r="F128" s="177">
        <f t="shared" si="2"/>
        <v>0</v>
      </c>
      <c r="G128" s="177" t="str">
        <f>IF(IFERROR(IF(Str_TypeDonneesCpt4=Cpt_Index,Tab_Compteur_4[[#This Row],[Index]]-E127,Tab_Compteur_4[[#This Row],[Quantité]])/Tab_Compteur_4[[#This Row],[Delta Jour]],"")&lt;0,"",IFERROR(IF(Str_TypeDonneesCpt4=Cpt_Index,Tab_Compteur_4[[#This Row],[Index]]-E127,Tab_Compteur_4[[#This Row],[Quantité]])/Tab_Compteur_4[[#This Row],[Delta Jour]],""))</f>
        <v/>
      </c>
      <c r="H128" s="177" t="str">
        <f>IFERROR(Tab_Compteur_4[[#This Row],[Montant]]/Tab_Compteur_4[[#This Row],[Delta Jour]],"")</f>
        <v/>
      </c>
      <c r="I128" s="184" t="str">
        <f>IF(SUM(Tab_Compteur_4[[#This Row],[Quantité]],Tab_Compteur_4[[#This Row],[Index]])&lt;=0,"",G128)</f>
        <v/>
      </c>
      <c r="J128" s="185"/>
      <c r="K128" s="36"/>
      <c r="L128" s="36"/>
      <c r="M128" s="36"/>
    </row>
    <row r="129" spans="1:13">
      <c r="A129" s="2">
        <f t="shared" si="3"/>
        <v>1</v>
      </c>
      <c r="B129" s="501"/>
      <c r="C129" s="178"/>
      <c r="D129" s="491"/>
      <c r="E129" s="515"/>
      <c r="F129" s="177">
        <f t="shared" si="2"/>
        <v>0</v>
      </c>
      <c r="G129" s="177" t="str">
        <f>IF(IFERROR(IF(Str_TypeDonneesCpt4=Cpt_Index,Tab_Compteur_4[[#This Row],[Index]]-E128,Tab_Compteur_4[[#This Row],[Quantité]])/Tab_Compteur_4[[#This Row],[Delta Jour]],"")&lt;0,"",IFERROR(IF(Str_TypeDonneesCpt4=Cpt_Index,Tab_Compteur_4[[#This Row],[Index]]-E128,Tab_Compteur_4[[#This Row],[Quantité]])/Tab_Compteur_4[[#This Row],[Delta Jour]],""))</f>
        <v/>
      </c>
      <c r="H129" s="177" t="str">
        <f>IFERROR(Tab_Compteur_4[[#This Row],[Montant]]/Tab_Compteur_4[[#This Row],[Delta Jour]],"")</f>
        <v/>
      </c>
      <c r="I129" s="184" t="str">
        <f>IF(SUM(Tab_Compteur_4[[#This Row],[Quantité]],Tab_Compteur_4[[#This Row],[Index]])&lt;=0,"",G129)</f>
        <v/>
      </c>
      <c r="J129" s="185"/>
      <c r="K129" s="36"/>
      <c r="L129" s="36"/>
      <c r="M129" s="36"/>
    </row>
    <row r="130" spans="1:13">
      <c r="A130" s="2">
        <f t="shared" si="3"/>
        <v>1</v>
      </c>
      <c r="B130" s="501"/>
      <c r="C130" s="178"/>
      <c r="D130" s="491"/>
      <c r="E130" s="515"/>
      <c r="F130" s="177">
        <f t="shared" si="2"/>
        <v>0</v>
      </c>
      <c r="G130" s="177" t="str">
        <f>IF(IFERROR(IF(Str_TypeDonneesCpt4=Cpt_Index,Tab_Compteur_4[[#This Row],[Index]]-E129,Tab_Compteur_4[[#This Row],[Quantité]])/Tab_Compteur_4[[#This Row],[Delta Jour]],"")&lt;0,"",IFERROR(IF(Str_TypeDonneesCpt4=Cpt_Index,Tab_Compteur_4[[#This Row],[Index]]-E129,Tab_Compteur_4[[#This Row],[Quantité]])/Tab_Compteur_4[[#This Row],[Delta Jour]],""))</f>
        <v/>
      </c>
      <c r="H130" s="177" t="str">
        <f>IFERROR(Tab_Compteur_4[[#This Row],[Montant]]/Tab_Compteur_4[[#This Row],[Delta Jour]],"")</f>
        <v/>
      </c>
      <c r="I130" s="184" t="str">
        <f>IF(SUM(Tab_Compteur_4[[#This Row],[Quantité]],Tab_Compteur_4[[#This Row],[Index]])&lt;=0,"",G130)</f>
        <v/>
      </c>
      <c r="J130" s="185"/>
      <c r="K130" s="36"/>
      <c r="L130" s="36"/>
      <c r="M130" s="36"/>
    </row>
    <row r="131" spans="1:13">
      <c r="A131" s="2">
        <f t="shared" si="3"/>
        <v>1</v>
      </c>
      <c r="B131" s="501"/>
      <c r="C131" s="178"/>
      <c r="D131" s="491"/>
      <c r="E131" s="515"/>
      <c r="F131" s="177">
        <f t="shared" ref="F131:F194" si="4">IFERROR(B131-A131+1,"")</f>
        <v>0</v>
      </c>
      <c r="G131" s="177" t="str">
        <f>IF(IFERROR(IF(Str_TypeDonneesCpt4=Cpt_Index,Tab_Compteur_4[[#This Row],[Index]]-E130,Tab_Compteur_4[[#This Row],[Quantité]])/Tab_Compteur_4[[#This Row],[Delta Jour]],"")&lt;0,"",IFERROR(IF(Str_TypeDonneesCpt4=Cpt_Index,Tab_Compteur_4[[#This Row],[Index]]-E130,Tab_Compteur_4[[#This Row],[Quantité]])/Tab_Compteur_4[[#This Row],[Delta Jour]],""))</f>
        <v/>
      </c>
      <c r="H131" s="177" t="str">
        <f>IFERROR(Tab_Compteur_4[[#This Row],[Montant]]/Tab_Compteur_4[[#This Row],[Delta Jour]],"")</f>
        <v/>
      </c>
      <c r="I131" s="184" t="str">
        <f>IF(SUM(Tab_Compteur_4[[#This Row],[Quantité]],Tab_Compteur_4[[#This Row],[Index]])&lt;=0,"",G131)</f>
        <v/>
      </c>
      <c r="J131" s="185"/>
      <c r="K131" s="36"/>
      <c r="L131" s="36"/>
      <c r="M131" s="36"/>
    </row>
    <row r="132" spans="1:13">
      <c r="A132" s="2">
        <f t="shared" si="3"/>
        <v>1</v>
      </c>
      <c r="B132" s="501"/>
      <c r="C132" s="178"/>
      <c r="D132" s="491"/>
      <c r="E132" s="515"/>
      <c r="F132" s="177">
        <f t="shared" si="4"/>
        <v>0</v>
      </c>
      <c r="G132" s="177" t="str">
        <f>IF(IFERROR(IF(Str_TypeDonneesCpt4=Cpt_Index,Tab_Compteur_4[[#This Row],[Index]]-E131,Tab_Compteur_4[[#This Row],[Quantité]])/Tab_Compteur_4[[#This Row],[Delta Jour]],"")&lt;0,"",IFERROR(IF(Str_TypeDonneesCpt4=Cpt_Index,Tab_Compteur_4[[#This Row],[Index]]-E131,Tab_Compteur_4[[#This Row],[Quantité]])/Tab_Compteur_4[[#This Row],[Delta Jour]],""))</f>
        <v/>
      </c>
      <c r="H132" s="177" t="str">
        <f>IFERROR(Tab_Compteur_4[[#This Row],[Montant]]/Tab_Compteur_4[[#This Row],[Delta Jour]],"")</f>
        <v/>
      </c>
      <c r="I132" s="184" t="str">
        <f>IF(SUM(Tab_Compteur_4[[#This Row],[Quantité]],Tab_Compteur_4[[#This Row],[Index]])&lt;=0,"",G132)</f>
        <v/>
      </c>
      <c r="J132" s="185"/>
      <c r="K132" s="36"/>
      <c r="L132" s="36"/>
      <c r="M132" s="36"/>
    </row>
    <row r="133" spans="1:13">
      <c r="A133" s="2">
        <f t="shared" si="3"/>
        <v>1</v>
      </c>
      <c r="B133" s="501"/>
      <c r="C133" s="178"/>
      <c r="D133" s="491"/>
      <c r="E133" s="515"/>
      <c r="F133" s="177">
        <f t="shared" si="4"/>
        <v>0</v>
      </c>
      <c r="G133" s="177" t="str">
        <f>IF(IFERROR(IF(Str_TypeDonneesCpt4=Cpt_Index,Tab_Compteur_4[[#This Row],[Index]]-E132,Tab_Compteur_4[[#This Row],[Quantité]])/Tab_Compteur_4[[#This Row],[Delta Jour]],"")&lt;0,"",IFERROR(IF(Str_TypeDonneesCpt4=Cpt_Index,Tab_Compteur_4[[#This Row],[Index]]-E132,Tab_Compteur_4[[#This Row],[Quantité]])/Tab_Compteur_4[[#This Row],[Delta Jour]],""))</f>
        <v/>
      </c>
      <c r="H133" s="177" t="str">
        <f>IFERROR(Tab_Compteur_4[[#This Row],[Montant]]/Tab_Compteur_4[[#This Row],[Delta Jour]],"")</f>
        <v/>
      </c>
      <c r="I133" s="184" t="str">
        <f>IF(SUM(Tab_Compteur_4[[#This Row],[Quantité]],Tab_Compteur_4[[#This Row],[Index]])&lt;=0,"",G133)</f>
        <v/>
      </c>
      <c r="J133" s="185"/>
      <c r="K133" s="36"/>
      <c r="L133" s="36"/>
      <c r="M133" s="36"/>
    </row>
    <row r="134" spans="1:13">
      <c r="A134" s="2">
        <f t="shared" ref="A134:A197" si="5">IFERROR(B133+1,0)</f>
        <v>1</v>
      </c>
      <c r="B134" s="501"/>
      <c r="C134" s="178"/>
      <c r="D134" s="491"/>
      <c r="E134" s="515"/>
      <c r="F134" s="177">
        <f t="shared" si="4"/>
        <v>0</v>
      </c>
      <c r="G134" s="177" t="str">
        <f>IF(IFERROR(IF(Str_TypeDonneesCpt4=Cpt_Index,Tab_Compteur_4[[#This Row],[Index]]-E133,Tab_Compteur_4[[#This Row],[Quantité]])/Tab_Compteur_4[[#This Row],[Delta Jour]],"")&lt;0,"",IFERROR(IF(Str_TypeDonneesCpt4=Cpt_Index,Tab_Compteur_4[[#This Row],[Index]]-E133,Tab_Compteur_4[[#This Row],[Quantité]])/Tab_Compteur_4[[#This Row],[Delta Jour]],""))</f>
        <v/>
      </c>
      <c r="H134" s="177" t="str">
        <f>IFERROR(Tab_Compteur_4[[#This Row],[Montant]]/Tab_Compteur_4[[#This Row],[Delta Jour]],"")</f>
        <v/>
      </c>
      <c r="I134" s="184" t="str">
        <f>IF(SUM(Tab_Compteur_4[[#This Row],[Quantité]],Tab_Compteur_4[[#This Row],[Index]])&lt;=0,"",G134)</f>
        <v/>
      </c>
      <c r="J134" s="185"/>
      <c r="K134" s="36"/>
      <c r="L134" s="36"/>
      <c r="M134" s="36"/>
    </row>
    <row r="135" spans="1:13">
      <c r="A135" s="2">
        <f t="shared" si="5"/>
        <v>1</v>
      </c>
      <c r="B135" s="501"/>
      <c r="C135" s="178"/>
      <c r="D135" s="491"/>
      <c r="E135" s="515"/>
      <c r="F135" s="177">
        <f t="shared" si="4"/>
        <v>0</v>
      </c>
      <c r="G135" s="177" t="str">
        <f>IF(IFERROR(IF(Str_TypeDonneesCpt4=Cpt_Index,Tab_Compteur_4[[#This Row],[Index]]-E134,Tab_Compteur_4[[#This Row],[Quantité]])/Tab_Compteur_4[[#This Row],[Delta Jour]],"")&lt;0,"",IFERROR(IF(Str_TypeDonneesCpt4=Cpt_Index,Tab_Compteur_4[[#This Row],[Index]]-E134,Tab_Compteur_4[[#This Row],[Quantité]])/Tab_Compteur_4[[#This Row],[Delta Jour]],""))</f>
        <v/>
      </c>
      <c r="H135" s="177" t="str">
        <f>IFERROR(Tab_Compteur_4[[#This Row],[Montant]]/Tab_Compteur_4[[#This Row],[Delta Jour]],"")</f>
        <v/>
      </c>
      <c r="I135" s="184" t="str">
        <f>IF(SUM(Tab_Compteur_4[[#This Row],[Quantité]],Tab_Compteur_4[[#This Row],[Index]])&lt;=0,"",G135)</f>
        <v/>
      </c>
      <c r="J135" s="185"/>
      <c r="K135" s="36"/>
      <c r="L135" s="36"/>
      <c r="M135" s="36"/>
    </row>
    <row r="136" spans="1:13">
      <c r="A136" s="2">
        <f t="shared" si="5"/>
        <v>1</v>
      </c>
      <c r="B136" s="501"/>
      <c r="C136" s="178"/>
      <c r="D136" s="491"/>
      <c r="E136" s="515"/>
      <c r="F136" s="177">
        <f t="shared" si="4"/>
        <v>0</v>
      </c>
      <c r="G136" s="177" t="str">
        <f>IF(IFERROR(IF(Str_TypeDonneesCpt4=Cpt_Index,Tab_Compteur_4[[#This Row],[Index]]-E135,Tab_Compteur_4[[#This Row],[Quantité]])/Tab_Compteur_4[[#This Row],[Delta Jour]],"")&lt;0,"",IFERROR(IF(Str_TypeDonneesCpt4=Cpt_Index,Tab_Compteur_4[[#This Row],[Index]]-E135,Tab_Compteur_4[[#This Row],[Quantité]])/Tab_Compteur_4[[#This Row],[Delta Jour]],""))</f>
        <v/>
      </c>
      <c r="H136" s="177" t="str">
        <f>IFERROR(Tab_Compteur_4[[#This Row],[Montant]]/Tab_Compteur_4[[#This Row],[Delta Jour]],"")</f>
        <v/>
      </c>
      <c r="I136" s="184" t="str">
        <f>IF(SUM(Tab_Compteur_4[[#This Row],[Quantité]],Tab_Compteur_4[[#This Row],[Index]])&lt;=0,"",G136)</f>
        <v/>
      </c>
      <c r="J136" s="185"/>
      <c r="K136" s="36"/>
      <c r="L136" s="36"/>
      <c r="M136" s="36"/>
    </row>
    <row r="137" spans="1:13">
      <c r="A137" s="2">
        <f t="shared" si="5"/>
        <v>1</v>
      </c>
      <c r="B137" s="501"/>
      <c r="C137" s="178"/>
      <c r="D137" s="491"/>
      <c r="E137" s="515"/>
      <c r="F137" s="177">
        <f t="shared" si="4"/>
        <v>0</v>
      </c>
      <c r="G137" s="177" t="str">
        <f>IF(IFERROR(IF(Str_TypeDonneesCpt4=Cpt_Index,Tab_Compteur_4[[#This Row],[Index]]-E136,Tab_Compteur_4[[#This Row],[Quantité]])/Tab_Compteur_4[[#This Row],[Delta Jour]],"")&lt;0,"",IFERROR(IF(Str_TypeDonneesCpt4=Cpt_Index,Tab_Compteur_4[[#This Row],[Index]]-E136,Tab_Compteur_4[[#This Row],[Quantité]])/Tab_Compteur_4[[#This Row],[Delta Jour]],""))</f>
        <v/>
      </c>
      <c r="H137" s="177" t="str">
        <f>IFERROR(Tab_Compteur_4[[#This Row],[Montant]]/Tab_Compteur_4[[#This Row],[Delta Jour]],"")</f>
        <v/>
      </c>
      <c r="I137" s="184" t="str">
        <f>IF(SUM(Tab_Compteur_4[[#This Row],[Quantité]],Tab_Compteur_4[[#This Row],[Index]])&lt;=0,"",G137)</f>
        <v/>
      </c>
      <c r="J137" s="185"/>
      <c r="K137" s="36"/>
      <c r="L137" s="36"/>
      <c r="M137" s="36"/>
    </row>
    <row r="138" spans="1:13">
      <c r="A138" s="2">
        <f t="shared" si="5"/>
        <v>1</v>
      </c>
      <c r="B138" s="501"/>
      <c r="C138" s="178"/>
      <c r="D138" s="491"/>
      <c r="E138" s="515"/>
      <c r="F138" s="177">
        <f t="shared" si="4"/>
        <v>0</v>
      </c>
      <c r="G138" s="177" t="str">
        <f>IF(IFERROR(IF(Str_TypeDonneesCpt4=Cpt_Index,Tab_Compteur_4[[#This Row],[Index]]-E137,Tab_Compteur_4[[#This Row],[Quantité]])/Tab_Compteur_4[[#This Row],[Delta Jour]],"")&lt;0,"",IFERROR(IF(Str_TypeDonneesCpt4=Cpt_Index,Tab_Compteur_4[[#This Row],[Index]]-E137,Tab_Compteur_4[[#This Row],[Quantité]])/Tab_Compteur_4[[#This Row],[Delta Jour]],""))</f>
        <v/>
      </c>
      <c r="H138" s="177" t="str">
        <f>IFERROR(Tab_Compteur_4[[#This Row],[Montant]]/Tab_Compteur_4[[#This Row],[Delta Jour]],"")</f>
        <v/>
      </c>
      <c r="I138" s="184" t="str">
        <f>IF(SUM(Tab_Compteur_4[[#This Row],[Quantité]],Tab_Compteur_4[[#This Row],[Index]])&lt;=0,"",G138)</f>
        <v/>
      </c>
      <c r="J138" s="185"/>
      <c r="K138" s="36"/>
      <c r="L138" s="36"/>
      <c r="M138" s="36"/>
    </row>
    <row r="139" spans="1:13">
      <c r="A139" s="2">
        <f t="shared" si="5"/>
        <v>1</v>
      </c>
      <c r="B139" s="501"/>
      <c r="C139" s="178"/>
      <c r="D139" s="491"/>
      <c r="E139" s="515"/>
      <c r="F139" s="177">
        <f t="shared" si="4"/>
        <v>0</v>
      </c>
      <c r="G139" s="177" t="str">
        <f>IF(IFERROR(IF(Str_TypeDonneesCpt4=Cpt_Index,Tab_Compteur_4[[#This Row],[Index]]-E138,Tab_Compteur_4[[#This Row],[Quantité]])/Tab_Compteur_4[[#This Row],[Delta Jour]],"")&lt;0,"",IFERROR(IF(Str_TypeDonneesCpt4=Cpt_Index,Tab_Compteur_4[[#This Row],[Index]]-E138,Tab_Compteur_4[[#This Row],[Quantité]])/Tab_Compteur_4[[#This Row],[Delta Jour]],""))</f>
        <v/>
      </c>
      <c r="H139" s="177" t="str">
        <f>IFERROR(Tab_Compteur_4[[#This Row],[Montant]]/Tab_Compteur_4[[#This Row],[Delta Jour]],"")</f>
        <v/>
      </c>
      <c r="I139" s="184" t="str">
        <f>IF(SUM(Tab_Compteur_4[[#This Row],[Quantité]],Tab_Compteur_4[[#This Row],[Index]])&lt;=0,"",G139)</f>
        <v/>
      </c>
      <c r="J139" s="185"/>
      <c r="K139" s="36"/>
      <c r="L139" s="36"/>
      <c r="M139" s="36"/>
    </row>
    <row r="140" spans="1:13">
      <c r="A140" s="2">
        <f t="shared" si="5"/>
        <v>1</v>
      </c>
      <c r="B140" s="501"/>
      <c r="C140" s="178"/>
      <c r="D140" s="491"/>
      <c r="E140" s="515"/>
      <c r="F140" s="177">
        <f t="shared" si="4"/>
        <v>0</v>
      </c>
      <c r="G140" s="177" t="str">
        <f>IF(IFERROR(IF(Str_TypeDonneesCpt4=Cpt_Index,Tab_Compteur_4[[#This Row],[Index]]-E139,Tab_Compteur_4[[#This Row],[Quantité]])/Tab_Compteur_4[[#This Row],[Delta Jour]],"")&lt;0,"",IFERROR(IF(Str_TypeDonneesCpt4=Cpt_Index,Tab_Compteur_4[[#This Row],[Index]]-E139,Tab_Compteur_4[[#This Row],[Quantité]])/Tab_Compteur_4[[#This Row],[Delta Jour]],""))</f>
        <v/>
      </c>
      <c r="H140" s="177" t="str">
        <f>IFERROR(Tab_Compteur_4[[#This Row],[Montant]]/Tab_Compteur_4[[#This Row],[Delta Jour]],"")</f>
        <v/>
      </c>
      <c r="I140" s="184" t="str">
        <f>IF(SUM(Tab_Compteur_4[[#This Row],[Quantité]],Tab_Compteur_4[[#This Row],[Index]])&lt;=0,"",G140)</f>
        <v/>
      </c>
      <c r="J140" s="185"/>
      <c r="K140" s="36"/>
      <c r="L140" s="36"/>
      <c r="M140" s="36"/>
    </row>
    <row r="141" spans="1:13">
      <c r="A141" s="2">
        <f t="shared" si="5"/>
        <v>1</v>
      </c>
      <c r="B141" s="501"/>
      <c r="C141" s="178"/>
      <c r="D141" s="491"/>
      <c r="E141" s="515"/>
      <c r="F141" s="177">
        <f t="shared" si="4"/>
        <v>0</v>
      </c>
      <c r="G141" s="177" t="str">
        <f>IF(IFERROR(IF(Str_TypeDonneesCpt4=Cpt_Index,Tab_Compteur_4[[#This Row],[Index]]-E140,Tab_Compteur_4[[#This Row],[Quantité]])/Tab_Compteur_4[[#This Row],[Delta Jour]],"")&lt;0,"",IFERROR(IF(Str_TypeDonneesCpt4=Cpt_Index,Tab_Compteur_4[[#This Row],[Index]]-E140,Tab_Compteur_4[[#This Row],[Quantité]])/Tab_Compteur_4[[#This Row],[Delta Jour]],""))</f>
        <v/>
      </c>
      <c r="H141" s="177" t="str">
        <f>IFERROR(Tab_Compteur_4[[#This Row],[Montant]]/Tab_Compteur_4[[#This Row],[Delta Jour]],"")</f>
        <v/>
      </c>
      <c r="I141" s="184" t="str">
        <f>IF(SUM(Tab_Compteur_4[[#This Row],[Quantité]],Tab_Compteur_4[[#This Row],[Index]])&lt;=0,"",G141)</f>
        <v/>
      </c>
      <c r="J141" s="185"/>
      <c r="K141" s="36"/>
      <c r="L141" s="36"/>
      <c r="M141" s="36"/>
    </row>
    <row r="142" spans="1:13">
      <c r="A142" s="2">
        <f t="shared" si="5"/>
        <v>1</v>
      </c>
      <c r="B142" s="501"/>
      <c r="C142" s="178"/>
      <c r="D142" s="491"/>
      <c r="E142" s="515"/>
      <c r="F142" s="177">
        <f t="shared" si="4"/>
        <v>0</v>
      </c>
      <c r="G142" s="177" t="str">
        <f>IF(IFERROR(IF(Str_TypeDonneesCpt4=Cpt_Index,Tab_Compteur_4[[#This Row],[Index]]-E141,Tab_Compteur_4[[#This Row],[Quantité]])/Tab_Compteur_4[[#This Row],[Delta Jour]],"")&lt;0,"",IFERROR(IF(Str_TypeDonneesCpt4=Cpt_Index,Tab_Compteur_4[[#This Row],[Index]]-E141,Tab_Compteur_4[[#This Row],[Quantité]])/Tab_Compteur_4[[#This Row],[Delta Jour]],""))</f>
        <v/>
      </c>
      <c r="H142" s="177" t="str">
        <f>IFERROR(Tab_Compteur_4[[#This Row],[Montant]]/Tab_Compteur_4[[#This Row],[Delta Jour]],"")</f>
        <v/>
      </c>
      <c r="I142" s="184" t="str">
        <f>IF(SUM(Tab_Compteur_4[[#This Row],[Quantité]],Tab_Compteur_4[[#This Row],[Index]])&lt;=0,"",G142)</f>
        <v/>
      </c>
      <c r="J142" s="185"/>
      <c r="K142" s="36"/>
      <c r="L142" s="36"/>
      <c r="M142" s="36"/>
    </row>
    <row r="143" spans="1:13">
      <c r="A143" s="2">
        <f t="shared" si="5"/>
        <v>1</v>
      </c>
      <c r="B143" s="501"/>
      <c r="C143" s="178"/>
      <c r="D143" s="491"/>
      <c r="E143" s="515"/>
      <c r="F143" s="177">
        <f t="shared" si="4"/>
        <v>0</v>
      </c>
      <c r="G143" s="177" t="str">
        <f>IF(IFERROR(IF(Str_TypeDonneesCpt4=Cpt_Index,Tab_Compteur_4[[#This Row],[Index]]-E142,Tab_Compteur_4[[#This Row],[Quantité]])/Tab_Compteur_4[[#This Row],[Delta Jour]],"")&lt;0,"",IFERROR(IF(Str_TypeDonneesCpt4=Cpt_Index,Tab_Compteur_4[[#This Row],[Index]]-E142,Tab_Compteur_4[[#This Row],[Quantité]])/Tab_Compteur_4[[#This Row],[Delta Jour]],""))</f>
        <v/>
      </c>
      <c r="H143" s="177" t="str">
        <f>IFERROR(Tab_Compteur_4[[#This Row],[Montant]]/Tab_Compteur_4[[#This Row],[Delta Jour]],"")</f>
        <v/>
      </c>
      <c r="I143" s="184" t="str">
        <f>IF(SUM(Tab_Compteur_4[[#This Row],[Quantité]],Tab_Compteur_4[[#This Row],[Index]])&lt;=0,"",G143)</f>
        <v/>
      </c>
      <c r="J143" s="185"/>
      <c r="K143" s="36"/>
      <c r="L143" s="36"/>
      <c r="M143" s="36"/>
    </row>
    <row r="144" spans="1:13">
      <c r="A144" s="2">
        <f t="shared" si="5"/>
        <v>1</v>
      </c>
      <c r="B144" s="501"/>
      <c r="C144" s="178"/>
      <c r="D144" s="491"/>
      <c r="E144" s="515"/>
      <c r="F144" s="177">
        <f t="shared" si="4"/>
        <v>0</v>
      </c>
      <c r="G144" s="177" t="str">
        <f>IF(IFERROR(IF(Str_TypeDonneesCpt4=Cpt_Index,Tab_Compteur_4[[#This Row],[Index]]-E143,Tab_Compteur_4[[#This Row],[Quantité]])/Tab_Compteur_4[[#This Row],[Delta Jour]],"")&lt;0,"",IFERROR(IF(Str_TypeDonneesCpt4=Cpt_Index,Tab_Compteur_4[[#This Row],[Index]]-E143,Tab_Compteur_4[[#This Row],[Quantité]])/Tab_Compteur_4[[#This Row],[Delta Jour]],""))</f>
        <v/>
      </c>
      <c r="H144" s="177" t="str">
        <f>IFERROR(Tab_Compteur_4[[#This Row],[Montant]]/Tab_Compteur_4[[#This Row],[Delta Jour]],"")</f>
        <v/>
      </c>
      <c r="I144" s="184" t="str">
        <f>IF(SUM(Tab_Compteur_4[[#This Row],[Quantité]],Tab_Compteur_4[[#This Row],[Index]])&lt;=0,"",G144)</f>
        <v/>
      </c>
      <c r="J144" s="185"/>
      <c r="K144" s="36"/>
      <c r="L144" s="36"/>
      <c r="M144" s="36"/>
    </row>
    <row r="145" spans="1:13">
      <c r="A145" s="2">
        <f t="shared" si="5"/>
        <v>1</v>
      </c>
      <c r="B145" s="501"/>
      <c r="C145" s="178"/>
      <c r="D145" s="491"/>
      <c r="E145" s="515"/>
      <c r="F145" s="177">
        <f t="shared" si="4"/>
        <v>0</v>
      </c>
      <c r="G145" s="177" t="str">
        <f>IF(IFERROR(IF(Str_TypeDonneesCpt4=Cpt_Index,Tab_Compteur_4[[#This Row],[Index]]-E144,Tab_Compteur_4[[#This Row],[Quantité]])/Tab_Compteur_4[[#This Row],[Delta Jour]],"")&lt;0,"",IFERROR(IF(Str_TypeDonneesCpt4=Cpt_Index,Tab_Compteur_4[[#This Row],[Index]]-E144,Tab_Compteur_4[[#This Row],[Quantité]])/Tab_Compteur_4[[#This Row],[Delta Jour]],""))</f>
        <v/>
      </c>
      <c r="H145" s="177" t="str">
        <f>IFERROR(Tab_Compteur_4[[#This Row],[Montant]]/Tab_Compteur_4[[#This Row],[Delta Jour]],"")</f>
        <v/>
      </c>
      <c r="I145" s="184" t="str">
        <f>IF(SUM(Tab_Compteur_4[[#This Row],[Quantité]],Tab_Compteur_4[[#This Row],[Index]])&lt;=0,"",G145)</f>
        <v/>
      </c>
      <c r="J145" s="185"/>
      <c r="K145" s="36"/>
      <c r="L145" s="36"/>
      <c r="M145" s="36"/>
    </row>
    <row r="146" spans="1:13">
      <c r="A146" s="2">
        <f t="shared" si="5"/>
        <v>1</v>
      </c>
      <c r="B146" s="501"/>
      <c r="C146" s="178"/>
      <c r="D146" s="491"/>
      <c r="E146" s="515"/>
      <c r="F146" s="177">
        <f t="shared" si="4"/>
        <v>0</v>
      </c>
      <c r="G146" s="177" t="str">
        <f>IF(IFERROR(IF(Str_TypeDonneesCpt4=Cpt_Index,Tab_Compteur_4[[#This Row],[Index]]-E145,Tab_Compteur_4[[#This Row],[Quantité]])/Tab_Compteur_4[[#This Row],[Delta Jour]],"")&lt;0,"",IFERROR(IF(Str_TypeDonneesCpt4=Cpt_Index,Tab_Compteur_4[[#This Row],[Index]]-E145,Tab_Compteur_4[[#This Row],[Quantité]])/Tab_Compteur_4[[#This Row],[Delta Jour]],""))</f>
        <v/>
      </c>
      <c r="H146" s="177" t="str">
        <f>IFERROR(Tab_Compteur_4[[#This Row],[Montant]]/Tab_Compteur_4[[#This Row],[Delta Jour]],"")</f>
        <v/>
      </c>
      <c r="I146" s="184" t="str">
        <f>IF(SUM(Tab_Compteur_4[[#This Row],[Quantité]],Tab_Compteur_4[[#This Row],[Index]])&lt;=0,"",G146)</f>
        <v/>
      </c>
      <c r="J146" s="185"/>
      <c r="K146" s="36"/>
      <c r="L146" s="36"/>
      <c r="M146" s="36"/>
    </row>
    <row r="147" spans="1:13">
      <c r="A147" s="2">
        <f t="shared" si="5"/>
        <v>1</v>
      </c>
      <c r="B147" s="501"/>
      <c r="C147" s="178"/>
      <c r="D147" s="491"/>
      <c r="E147" s="515"/>
      <c r="F147" s="177">
        <f t="shared" si="4"/>
        <v>0</v>
      </c>
      <c r="G147" s="177" t="str">
        <f>IF(IFERROR(IF(Str_TypeDonneesCpt4=Cpt_Index,Tab_Compteur_4[[#This Row],[Index]]-E146,Tab_Compteur_4[[#This Row],[Quantité]])/Tab_Compteur_4[[#This Row],[Delta Jour]],"")&lt;0,"",IFERROR(IF(Str_TypeDonneesCpt4=Cpt_Index,Tab_Compteur_4[[#This Row],[Index]]-E146,Tab_Compteur_4[[#This Row],[Quantité]])/Tab_Compteur_4[[#This Row],[Delta Jour]],""))</f>
        <v/>
      </c>
      <c r="H147" s="177" t="str">
        <f>IFERROR(Tab_Compteur_4[[#This Row],[Montant]]/Tab_Compteur_4[[#This Row],[Delta Jour]],"")</f>
        <v/>
      </c>
      <c r="I147" s="184" t="str">
        <f>IF(SUM(Tab_Compteur_4[[#This Row],[Quantité]],Tab_Compteur_4[[#This Row],[Index]])&lt;=0,"",G147)</f>
        <v/>
      </c>
      <c r="J147" s="185"/>
      <c r="K147" s="36"/>
      <c r="L147" s="36"/>
      <c r="M147" s="36"/>
    </row>
    <row r="148" spans="1:13">
      <c r="A148" s="2">
        <f t="shared" si="5"/>
        <v>1</v>
      </c>
      <c r="B148" s="501"/>
      <c r="C148" s="178"/>
      <c r="D148" s="491"/>
      <c r="E148" s="515"/>
      <c r="F148" s="177">
        <f t="shared" si="4"/>
        <v>0</v>
      </c>
      <c r="G148" s="177" t="str">
        <f>IF(IFERROR(IF(Str_TypeDonneesCpt4=Cpt_Index,Tab_Compteur_4[[#This Row],[Index]]-E147,Tab_Compteur_4[[#This Row],[Quantité]])/Tab_Compteur_4[[#This Row],[Delta Jour]],"")&lt;0,"",IFERROR(IF(Str_TypeDonneesCpt4=Cpt_Index,Tab_Compteur_4[[#This Row],[Index]]-E147,Tab_Compteur_4[[#This Row],[Quantité]])/Tab_Compteur_4[[#This Row],[Delta Jour]],""))</f>
        <v/>
      </c>
      <c r="H148" s="177" t="str">
        <f>IFERROR(Tab_Compteur_4[[#This Row],[Montant]]/Tab_Compteur_4[[#This Row],[Delta Jour]],"")</f>
        <v/>
      </c>
      <c r="I148" s="184" t="str">
        <f>IF(SUM(Tab_Compteur_4[[#This Row],[Quantité]],Tab_Compteur_4[[#This Row],[Index]])&lt;=0,"",G148)</f>
        <v/>
      </c>
      <c r="J148" s="185"/>
      <c r="K148" s="36"/>
      <c r="L148" s="36"/>
      <c r="M148" s="36"/>
    </row>
    <row r="149" spans="1:13">
      <c r="A149" s="2">
        <f t="shared" si="5"/>
        <v>1</v>
      </c>
      <c r="B149" s="501"/>
      <c r="C149" s="178"/>
      <c r="D149" s="491"/>
      <c r="E149" s="515"/>
      <c r="F149" s="177">
        <f t="shared" si="4"/>
        <v>0</v>
      </c>
      <c r="G149" s="177" t="str">
        <f>IF(IFERROR(IF(Str_TypeDonneesCpt4=Cpt_Index,Tab_Compteur_4[[#This Row],[Index]]-E148,Tab_Compteur_4[[#This Row],[Quantité]])/Tab_Compteur_4[[#This Row],[Delta Jour]],"")&lt;0,"",IFERROR(IF(Str_TypeDonneesCpt4=Cpt_Index,Tab_Compteur_4[[#This Row],[Index]]-E148,Tab_Compteur_4[[#This Row],[Quantité]])/Tab_Compteur_4[[#This Row],[Delta Jour]],""))</f>
        <v/>
      </c>
      <c r="H149" s="177" t="str">
        <f>IFERROR(Tab_Compteur_4[[#This Row],[Montant]]/Tab_Compteur_4[[#This Row],[Delta Jour]],"")</f>
        <v/>
      </c>
      <c r="I149" s="184" t="str">
        <f>IF(SUM(Tab_Compteur_4[[#This Row],[Quantité]],Tab_Compteur_4[[#This Row],[Index]])&lt;=0,"",G149)</f>
        <v/>
      </c>
      <c r="J149" s="185"/>
      <c r="K149" s="36"/>
      <c r="L149" s="36"/>
      <c r="M149" s="36"/>
    </row>
    <row r="150" spans="1:13">
      <c r="A150" s="2">
        <f t="shared" si="5"/>
        <v>1</v>
      </c>
      <c r="B150" s="501"/>
      <c r="C150" s="178"/>
      <c r="D150" s="491"/>
      <c r="E150" s="515"/>
      <c r="F150" s="177">
        <f t="shared" si="4"/>
        <v>0</v>
      </c>
      <c r="G150" s="177" t="str">
        <f>IF(IFERROR(IF(Str_TypeDonneesCpt4=Cpt_Index,Tab_Compteur_4[[#This Row],[Index]]-E149,Tab_Compteur_4[[#This Row],[Quantité]])/Tab_Compteur_4[[#This Row],[Delta Jour]],"")&lt;0,"",IFERROR(IF(Str_TypeDonneesCpt4=Cpt_Index,Tab_Compteur_4[[#This Row],[Index]]-E149,Tab_Compteur_4[[#This Row],[Quantité]])/Tab_Compteur_4[[#This Row],[Delta Jour]],""))</f>
        <v/>
      </c>
      <c r="H150" s="177" t="str">
        <f>IFERROR(Tab_Compteur_4[[#This Row],[Montant]]/Tab_Compteur_4[[#This Row],[Delta Jour]],"")</f>
        <v/>
      </c>
      <c r="I150" s="184" t="str">
        <f>IF(SUM(Tab_Compteur_4[[#This Row],[Quantité]],Tab_Compteur_4[[#This Row],[Index]])&lt;=0,"",G150)</f>
        <v/>
      </c>
      <c r="J150" s="185"/>
      <c r="K150" s="36"/>
      <c r="L150" s="36"/>
      <c r="M150" s="36"/>
    </row>
    <row r="151" spans="1:13">
      <c r="A151" s="2">
        <f t="shared" si="5"/>
        <v>1</v>
      </c>
      <c r="B151" s="501"/>
      <c r="C151" s="178"/>
      <c r="D151" s="491"/>
      <c r="E151" s="515"/>
      <c r="F151" s="177">
        <f t="shared" si="4"/>
        <v>0</v>
      </c>
      <c r="G151" s="177" t="str">
        <f>IF(IFERROR(IF(Str_TypeDonneesCpt4=Cpt_Index,Tab_Compteur_4[[#This Row],[Index]]-E150,Tab_Compteur_4[[#This Row],[Quantité]])/Tab_Compteur_4[[#This Row],[Delta Jour]],"")&lt;0,"",IFERROR(IF(Str_TypeDonneesCpt4=Cpt_Index,Tab_Compteur_4[[#This Row],[Index]]-E150,Tab_Compteur_4[[#This Row],[Quantité]])/Tab_Compteur_4[[#This Row],[Delta Jour]],""))</f>
        <v/>
      </c>
      <c r="H151" s="177" t="str">
        <f>IFERROR(Tab_Compteur_4[[#This Row],[Montant]]/Tab_Compteur_4[[#This Row],[Delta Jour]],"")</f>
        <v/>
      </c>
      <c r="I151" s="184" t="str">
        <f>IF(SUM(Tab_Compteur_4[[#This Row],[Quantité]],Tab_Compteur_4[[#This Row],[Index]])&lt;=0,"",G151)</f>
        <v/>
      </c>
      <c r="J151" s="185"/>
      <c r="K151" s="36"/>
      <c r="L151" s="36"/>
      <c r="M151" s="36"/>
    </row>
    <row r="152" spans="1:13">
      <c r="A152" s="2">
        <f t="shared" si="5"/>
        <v>1</v>
      </c>
      <c r="B152" s="501"/>
      <c r="C152" s="178"/>
      <c r="D152" s="491"/>
      <c r="E152" s="515"/>
      <c r="F152" s="177">
        <f t="shared" si="4"/>
        <v>0</v>
      </c>
      <c r="G152" s="177" t="str">
        <f>IF(IFERROR(IF(Str_TypeDonneesCpt4=Cpt_Index,Tab_Compteur_4[[#This Row],[Index]]-E151,Tab_Compteur_4[[#This Row],[Quantité]])/Tab_Compteur_4[[#This Row],[Delta Jour]],"")&lt;0,"",IFERROR(IF(Str_TypeDonneesCpt4=Cpt_Index,Tab_Compteur_4[[#This Row],[Index]]-E151,Tab_Compteur_4[[#This Row],[Quantité]])/Tab_Compteur_4[[#This Row],[Delta Jour]],""))</f>
        <v/>
      </c>
      <c r="H152" s="177" t="str">
        <f>IFERROR(Tab_Compteur_4[[#This Row],[Montant]]/Tab_Compteur_4[[#This Row],[Delta Jour]],"")</f>
        <v/>
      </c>
      <c r="I152" s="184" t="str">
        <f>IF(SUM(Tab_Compteur_4[[#This Row],[Quantité]],Tab_Compteur_4[[#This Row],[Index]])&lt;=0,"",G152)</f>
        <v/>
      </c>
      <c r="J152" s="185"/>
      <c r="K152" s="36"/>
      <c r="L152" s="36"/>
      <c r="M152" s="36"/>
    </row>
    <row r="153" spans="1:13">
      <c r="A153" s="2">
        <f t="shared" si="5"/>
        <v>1</v>
      </c>
      <c r="B153" s="501"/>
      <c r="C153" s="178"/>
      <c r="D153" s="491"/>
      <c r="E153" s="515"/>
      <c r="F153" s="177">
        <f t="shared" si="4"/>
        <v>0</v>
      </c>
      <c r="G153" s="177" t="str">
        <f>IF(IFERROR(IF(Str_TypeDonneesCpt4=Cpt_Index,Tab_Compteur_4[[#This Row],[Index]]-E152,Tab_Compteur_4[[#This Row],[Quantité]])/Tab_Compteur_4[[#This Row],[Delta Jour]],"")&lt;0,"",IFERROR(IF(Str_TypeDonneesCpt4=Cpt_Index,Tab_Compteur_4[[#This Row],[Index]]-E152,Tab_Compteur_4[[#This Row],[Quantité]])/Tab_Compteur_4[[#This Row],[Delta Jour]],""))</f>
        <v/>
      </c>
      <c r="H153" s="177" t="str">
        <f>IFERROR(Tab_Compteur_4[[#This Row],[Montant]]/Tab_Compteur_4[[#This Row],[Delta Jour]],"")</f>
        <v/>
      </c>
      <c r="I153" s="184" t="str">
        <f>IF(SUM(Tab_Compteur_4[[#This Row],[Quantité]],Tab_Compteur_4[[#This Row],[Index]])&lt;=0,"",G153)</f>
        <v/>
      </c>
      <c r="J153" s="185"/>
      <c r="K153" s="36"/>
      <c r="L153" s="36"/>
      <c r="M153" s="36"/>
    </row>
    <row r="154" spans="1:13">
      <c r="A154" s="2">
        <f t="shared" si="5"/>
        <v>1</v>
      </c>
      <c r="B154" s="501"/>
      <c r="C154" s="178"/>
      <c r="D154" s="491"/>
      <c r="E154" s="515"/>
      <c r="F154" s="177">
        <f t="shared" si="4"/>
        <v>0</v>
      </c>
      <c r="G154" s="177" t="str">
        <f>IF(IFERROR(IF(Str_TypeDonneesCpt4=Cpt_Index,Tab_Compteur_4[[#This Row],[Index]]-E153,Tab_Compteur_4[[#This Row],[Quantité]])/Tab_Compteur_4[[#This Row],[Delta Jour]],"")&lt;0,"",IFERROR(IF(Str_TypeDonneesCpt4=Cpt_Index,Tab_Compteur_4[[#This Row],[Index]]-E153,Tab_Compteur_4[[#This Row],[Quantité]])/Tab_Compteur_4[[#This Row],[Delta Jour]],""))</f>
        <v/>
      </c>
      <c r="H154" s="177" t="str">
        <f>IFERROR(Tab_Compteur_4[[#This Row],[Montant]]/Tab_Compteur_4[[#This Row],[Delta Jour]],"")</f>
        <v/>
      </c>
      <c r="I154" s="184" t="str">
        <f>IF(SUM(Tab_Compteur_4[[#This Row],[Quantité]],Tab_Compteur_4[[#This Row],[Index]])&lt;=0,"",G154)</f>
        <v/>
      </c>
      <c r="J154" s="185"/>
      <c r="K154" s="36"/>
      <c r="L154" s="36"/>
      <c r="M154" s="36"/>
    </row>
    <row r="155" spans="1:13">
      <c r="A155" s="2">
        <f t="shared" si="5"/>
        <v>1</v>
      </c>
      <c r="B155" s="501"/>
      <c r="C155" s="178"/>
      <c r="D155" s="491"/>
      <c r="E155" s="515"/>
      <c r="F155" s="177">
        <f t="shared" si="4"/>
        <v>0</v>
      </c>
      <c r="G155" s="177" t="str">
        <f>IF(IFERROR(IF(Str_TypeDonneesCpt4=Cpt_Index,Tab_Compteur_4[[#This Row],[Index]]-E154,Tab_Compteur_4[[#This Row],[Quantité]])/Tab_Compteur_4[[#This Row],[Delta Jour]],"")&lt;0,"",IFERROR(IF(Str_TypeDonneesCpt4=Cpt_Index,Tab_Compteur_4[[#This Row],[Index]]-E154,Tab_Compteur_4[[#This Row],[Quantité]])/Tab_Compteur_4[[#This Row],[Delta Jour]],""))</f>
        <v/>
      </c>
      <c r="H155" s="177" t="str">
        <f>IFERROR(Tab_Compteur_4[[#This Row],[Montant]]/Tab_Compteur_4[[#This Row],[Delta Jour]],"")</f>
        <v/>
      </c>
      <c r="I155" s="184" t="str">
        <f>IF(SUM(Tab_Compteur_4[[#This Row],[Quantité]],Tab_Compteur_4[[#This Row],[Index]])&lt;=0,"",G155)</f>
        <v/>
      </c>
      <c r="J155" s="185"/>
      <c r="K155" s="36"/>
      <c r="L155" s="36"/>
      <c r="M155" s="36"/>
    </row>
    <row r="156" spans="1:13">
      <c r="A156" s="2">
        <f t="shared" si="5"/>
        <v>1</v>
      </c>
      <c r="B156" s="501"/>
      <c r="C156" s="178"/>
      <c r="D156" s="491"/>
      <c r="E156" s="515"/>
      <c r="F156" s="177">
        <f t="shared" si="4"/>
        <v>0</v>
      </c>
      <c r="G156" s="177" t="str">
        <f>IF(IFERROR(IF(Str_TypeDonneesCpt4=Cpt_Index,Tab_Compteur_4[[#This Row],[Index]]-E155,Tab_Compteur_4[[#This Row],[Quantité]])/Tab_Compteur_4[[#This Row],[Delta Jour]],"")&lt;0,"",IFERROR(IF(Str_TypeDonneesCpt4=Cpt_Index,Tab_Compteur_4[[#This Row],[Index]]-E155,Tab_Compteur_4[[#This Row],[Quantité]])/Tab_Compteur_4[[#This Row],[Delta Jour]],""))</f>
        <v/>
      </c>
      <c r="H156" s="177" t="str">
        <f>IFERROR(Tab_Compteur_4[[#This Row],[Montant]]/Tab_Compteur_4[[#This Row],[Delta Jour]],"")</f>
        <v/>
      </c>
      <c r="I156" s="184" t="str">
        <f>IF(SUM(Tab_Compteur_4[[#This Row],[Quantité]],Tab_Compteur_4[[#This Row],[Index]])&lt;=0,"",G156)</f>
        <v/>
      </c>
      <c r="J156" s="185"/>
      <c r="K156" s="36"/>
      <c r="L156" s="36"/>
      <c r="M156" s="36"/>
    </row>
    <row r="157" spans="1:13">
      <c r="A157" s="2">
        <f t="shared" si="5"/>
        <v>1</v>
      </c>
      <c r="B157" s="501"/>
      <c r="C157" s="178"/>
      <c r="D157" s="491"/>
      <c r="E157" s="515"/>
      <c r="F157" s="177">
        <f t="shared" si="4"/>
        <v>0</v>
      </c>
      <c r="G157" s="177" t="str">
        <f>IF(IFERROR(IF(Str_TypeDonneesCpt4=Cpt_Index,Tab_Compteur_4[[#This Row],[Index]]-E156,Tab_Compteur_4[[#This Row],[Quantité]])/Tab_Compteur_4[[#This Row],[Delta Jour]],"")&lt;0,"",IFERROR(IF(Str_TypeDonneesCpt4=Cpt_Index,Tab_Compteur_4[[#This Row],[Index]]-E156,Tab_Compteur_4[[#This Row],[Quantité]])/Tab_Compteur_4[[#This Row],[Delta Jour]],""))</f>
        <v/>
      </c>
      <c r="H157" s="177" t="str">
        <f>IFERROR(Tab_Compteur_4[[#This Row],[Montant]]/Tab_Compteur_4[[#This Row],[Delta Jour]],"")</f>
        <v/>
      </c>
      <c r="I157" s="184" t="str">
        <f>IF(SUM(Tab_Compteur_4[[#This Row],[Quantité]],Tab_Compteur_4[[#This Row],[Index]])&lt;=0,"",G157)</f>
        <v/>
      </c>
      <c r="J157" s="185"/>
      <c r="K157" s="36"/>
      <c r="L157" s="36"/>
      <c r="M157" s="36"/>
    </row>
    <row r="158" spans="1:13">
      <c r="A158" s="2">
        <f t="shared" si="5"/>
        <v>1</v>
      </c>
      <c r="B158" s="501"/>
      <c r="C158" s="178"/>
      <c r="D158" s="491"/>
      <c r="E158" s="515"/>
      <c r="F158" s="177">
        <f t="shared" si="4"/>
        <v>0</v>
      </c>
      <c r="G158" s="177" t="str">
        <f>IF(IFERROR(IF(Str_TypeDonneesCpt4=Cpt_Index,Tab_Compteur_4[[#This Row],[Index]]-E157,Tab_Compteur_4[[#This Row],[Quantité]])/Tab_Compteur_4[[#This Row],[Delta Jour]],"")&lt;0,"",IFERROR(IF(Str_TypeDonneesCpt4=Cpt_Index,Tab_Compteur_4[[#This Row],[Index]]-E157,Tab_Compteur_4[[#This Row],[Quantité]])/Tab_Compteur_4[[#This Row],[Delta Jour]],""))</f>
        <v/>
      </c>
      <c r="H158" s="177" t="str">
        <f>IFERROR(Tab_Compteur_4[[#This Row],[Montant]]/Tab_Compteur_4[[#This Row],[Delta Jour]],"")</f>
        <v/>
      </c>
      <c r="I158" s="184" t="str">
        <f>IF(SUM(Tab_Compteur_4[[#This Row],[Quantité]],Tab_Compteur_4[[#This Row],[Index]])&lt;=0,"",G158)</f>
        <v/>
      </c>
      <c r="J158" s="185"/>
      <c r="K158" s="36"/>
      <c r="L158" s="36"/>
      <c r="M158" s="36"/>
    </row>
    <row r="159" spans="1:13">
      <c r="A159" s="2">
        <f t="shared" si="5"/>
        <v>1</v>
      </c>
      <c r="B159" s="501"/>
      <c r="C159" s="178"/>
      <c r="D159" s="491"/>
      <c r="E159" s="515"/>
      <c r="F159" s="177">
        <f t="shared" si="4"/>
        <v>0</v>
      </c>
      <c r="G159" s="177" t="str">
        <f>IF(IFERROR(IF(Str_TypeDonneesCpt4=Cpt_Index,Tab_Compteur_4[[#This Row],[Index]]-E158,Tab_Compteur_4[[#This Row],[Quantité]])/Tab_Compteur_4[[#This Row],[Delta Jour]],"")&lt;0,"",IFERROR(IF(Str_TypeDonneesCpt4=Cpt_Index,Tab_Compteur_4[[#This Row],[Index]]-E158,Tab_Compteur_4[[#This Row],[Quantité]])/Tab_Compteur_4[[#This Row],[Delta Jour]],""))</f>
        <v/>
      </c>
      <c r="H159" s="177" t="str">
        <f>IFERROR(Tab_Compteur_4[[#This Row],[Montant]]/Tab_Compteur_4[[#This Row],[Delta Jour]],"")</f>
        <v/>
      </c>
      <c r="I159" s="184" t="str">
        <f>IF(SUM(Tab_Compteur_4[[#This Row],[Quantité]],Tab_Compteur_4[[#This Row],[Index]])&lt;=0,"",G159)</f>
        <v/>
      </c>
      <c r="J159" s="185"/>
      <c r="K159" s="36"/>
      <c r="L159" s="36"/>
      <c r="M159" s="36"/>
    </row>
    <row r="160" spans="1:13">
      <c r="A160" s="2">
        <f t="shared" si="5"/>
        <v>1</v>
      </c>
      <c r="B160" s="501"/>
      <c r="C160" s="178"/>
      <c r="D160" s="491"/>
      <c r="E160" s="515"/>
      <c r="F160" s="177">
        <f t="shared" si="4"/>
        <v>0</v>
      </c>
      <c r="G160" s="177" t="str">
        <f>IF(IFERROR(IF(Str_TypeDonneesCpt4=Cpt_Index,Tab_Compteur_4[[#This Row],[Index]]-E159,Tab_Compteur_4[[#This Row],[Quantité]])/Tab_Compteur_4[[#This Row],[Delta Jour]],"")&lt;0,"",IFERROR(IF(Str_TypeDonneesCpt4=Cpt_Index,Tab_Compteur_4[[#This Row],[Index]]-E159,Tab_Compteur_4[[#This Row],[Quantité]])/Tab_Compteur_4[[#This Row],[Delta Jour]],""))</f>
        <v/>
      </c>
      <c r="H160" s="177" t="str">
        <f>IFERROR(Tab_Compteur_4[[#This Row],[Montant]]/Tab_Compteur_4[[#This Row],[Delta Jour]],"")</f>
        <v/>
      </c>
      <c r="I160" s="184" t="str">
        <f>IF(SUM(Tab_Compteur_4[[#This Row],[Quantité]],Tab_Compteur_4[[#This Row],[Index]])&lt;=0,"",G160)</f>
        <v/>
      </c>
      <c r="J160" s="185"/>
      <c r="K160" s="36"/>
      <c r="L160" s="36"/>
      <c r="M160" s="36"/>
    </row>
    <row r="161" spans="1:13">
      <c r="A161" s="2">
        <f t="shared" si="5"/>
        <v>1</v>
      </c>
      <c r="B161" s="501"/>
      <c r="C161" s="178"/>
      <c r="D161" s="491"/>
      <c r="E161" s="515"/>
      <c r="F161" s="177">
        <f t="shared" si="4"/>
        <v>0</v>
      </c>
      <c r="G161" s="177" t="str">
        <f>IF(IFERROR(IF(Str_TypeDonneesCpt4=Cpt_Index,Tab_Compteur_4[[#This Row],[Index]]-E160,Tab_Compteur_4[[#This Row],[Quantité]])/Tab_Compteur_4[[#This Row],[Delta Jour]],"")&lt;0,"",IFERROR(IF(Str_TypeDonneesCpt4=Cpt_Index,Tab_Compteur_4[[#This Row],[Index]]-E160,Tab_Compteur_4[[#This Row],[Quantité]])/Tab_Compteur_4[[#This Row],[Delta Jour]],""))</f>
        <v/>
      </c>
      <c r="H161" s="177" t="str">
        <f>IFERROR(Tab_Compteur_4[[#This Row],[Montant]]/Tab_Compteur_4[[#This Row],[Delta Jour]],"")</f>
        <v/>
      </c>
      <c r="I161" s="184" t="str">
        <f>IF(SUM(Tab_Compteur_4[[#This Row],[Quantité]],Tab_Compteur_4[[#This Row],[Index]])&lt;=0,"",G161)</f>
        <v/>
      </c>
      <c r="J161" s="185"/>
      <c r="K161" s="36"/>
      <c r="L161" s="36"/>
      <c r="M161" s="36"/>
    </row>
    <row r="162" spans="1:13">
      <c r="A162" s="2">
        <f t="shared" si="5"/>
        <v>1</v>
      </c>
      <c r="B162" s="501"/>
      <c r="C162" s="178"/>
      <c r="D162" s="491"/>
      <c r="E162" s="515"/>
      <c r="F162" s="177">
        <f t="shared" si="4"/>
        <v>0</v>
      </c>
      <c r="G162" s="177" t="str">
        <f>IF(IFERROR(IF(Str_TypeDonneesCpt4=Cpt_Index,Tab_Compteur_4[[#This Row],[Index]]-E161,Tab_Compteur_4[[#This Row],[Quantité]])/Tab_Compteur_4[[#This Row],[Delta Jour]],"")&lt;0,"",IFERROR(IF(Str_TypeDonneesCpt4=Cpt_Index,Tab_Compteur_4[[#This Row],[Index]]-E161,Tab_Compteur_4[[#This Row],[Quantité]])/Tab_Compteur_4[[#This Row],[Delta Jour]],""))</f>
        <v/>
      </c>
      <c r="H162" s="177" t="str">
        <f>IFERROR(Tab_Compteur_4[[#This Row],[Montant]]/Tab_Compteur_4[[#This Row],[Delta Jour]],"")</f>
        <v/>
      </c>
      <c r="I162" s="184" t="str">
        <f>IF(SUM(Tab_Compteur_4[[#This Row],[Quantité]],Tab_Compteur_4[[#This Row],[Index]])&lt;=0,"",G162)</f>
        <v/>
      </c>
      <c r="J162" s="185"/>
      <c r="K162" s="36"/>
      <c r="L162" s="36"/>
      <c r="M162" s="36"/>
    </row>
    <row r="163" spans="1:13">
      <c r="A163" s="2">
        <f t="shared" si="5"/>
        <v>1</v>
      </c>
      <c r="B163" s="501"/>
      <c r="C163" s="178"/>
      <c r="D163" s="491"/>
      <c r="E163" s="515"/>
      <c r="F163" s="177">
        <f t="shared" si="4"/>
        <v>0</v>
      </c>
      <c r="G163" s="177" t="str">
        <f>IF(IFERROR(IF(Str_TypeDonneesCpt4=Cpt_Index,Tab_Compteur_4[[#This Row],[Index]]-E162,Tab_Compteur_4[[#This Row],[Quantité]])/Tab_Compteur_4[[#This Row],[Delta Jour]],"")&lt;0,"",IFERROR(IF(Str_TypeDonneesCpt4=Cpt_Index,Tab_Compteur_4[[#This Row],[Index]]-E162,Tab_Compteur_4[[#This Row],[Quantité]])/Tab_Compteur_4[[#This Row],[Delta Jour]],""))</f>
        <v/>
      </c>
      <c r="H163" s="177" t="str">
        <f>IFERROR(Tab_Compteur_4[[#This Row],[Montant]]/Tab_Compteur_4[[#This Row],[Delta Jour]],"")</f>
        <v/>
      </c>
      <c r="I163" s="184" t="str">
        <f>IF(SUM(Tab_Compteur_4[[#This Row],[Quantité]],Tab_Compteur_4[[#This Row],[Index]])&lt;=0,"",G163)</f>
        <v/>
      </c>
      <c r="J163" s="185"/>
      <c r="K163" s="36"/>
      <c r="L163" s="36"/>
      <c r="M163" s="36"/>
    </row>
    <row r="164" spans="1:13">
      <c r="A164" s="2">
        <f t="shared" si="5"/>
        <v>1</v>
      </c>
      <c r="B164" s="501"/>
      <c r="C164" s="178"/>
      <c r="D164" s="491"/>
      <c r="E164" s="515"/>
      <c r="F164" s="177">
        <f t="shared" si="4"/>
        <v>0</v>
      </c>
      <c r="G164" s="177" t="str">
        <f>IF(IFERROR(IF(Str_TypeDonneesCpt4=Cpt_Index,Tab_Compteur_4[[#This Row],[Index]]-E163,Tab_Compteur_4[[#This Row],[Quantité]])/Tab_Compteur_4[[#This Row],[Delta Jour]],"")&lt;0,"",IFERROR(IF(Str_TypeDonneesCpt4=Cpt_Index,Tab_Compteur_4[[#This Row],[Index]]-E163,Tab_Compteur_4[[#This Row],[Quantité]])/Tab_Compteur_4[[#This Row],[Delta Jour]],""))</f>
        <v/>
      </c>
      <c r="H164" s="177" t="str">
        <f>IFERROR(Tab_Compteur_4[[#This Row],[Montant]]/Tab_Compteur_4[[#This Row],[Delta Jour]],"")</f>
        <v/>
      </c>
      <c r="I164" s="184" t="str">
        <f>IF(SUM(Tab_Compteur_4[[#This Row],[Quantité]],Tab_Compteur_4[[#This Row],[Index]])&lt;=0,"",G164)</f>
        <v/>
      </c>
      <c r="J164" s="185"/>
      <c r="K164" s="36"/>
      <c r="L164" s="36"/>
      <c r="M164" s="36"/>
    </row>
    <row r="165" spans="1:13">
      <c r="A165" s="2">
        <f t="shared" si="5"/>
        <v>1</v>
      </c>
      <c r="B165" s="501"/>
      <c r="C165" s="178"/>
      <c r="D165" s="491"/>
      <c r="E165" s="515"/>
      <c r="F165" s="177">
        <f t="shared" si="4"/>
        <v>0</v>
      </c>
      <c r="G165" s="177" t="str">
        <f>IF(IFERROR(IF(Str_TypeDonneesCpt4=Cpt_Index,Tab_Compteur_4[[#This Row],[Index]]-E164,Tab_Compteur_4[[#This Row],[Quantité]])/Tab_Compteur_4[[#This Row],[Delta Jour]],"")&lt;0,"",IFERROR(IF(Str_TypeDonneesCpt4=Cpt_Index,Tab_Compteur_4[[#This Row],[Index]]-E164,Tab_Compteur_4[[#This Row],[Quantité]])/Tab_Compteur_4[[#This Row],[Delta Jour]],""))</f>
        <v/>
      </c>
      <c r="H165" s="177" t="str">
        <f>IFERROR(Tab_Compteur_4[[#This Row],[Montant]]/Tab_Compteur_4[[#This Row],[Delta Jour]],"")</f>
        <v/>
      </c>
      <c r="I165" s="184" t="str">
        <f>IF(SUM(Tab_Compteur_4[[#This Row],[Quantité]],Tab_Compteur_4[[#This Row],[Index]])&lt;=0,"",G165)</f>
        <v/>
      </c>
      <c r="J165" s="185"/>
      <c r="K165" s="36"/>
      <c r="L165" s="36"/>
      <c r="M165" s="36"/>
    </row>
    <row r="166" spans="1:13">
      <c r="A166" s="2">
        <f t="shared" si="5"/>
        <v>1</v>
      </c>
      <c r="B166" s="501"/>
      <c r="C166" s="178"/>
      <c r="D166" s="491"/>
      <c r="E166" s="515"/>
      <c r="F166" s="177">
        <f t="shared" si="4"/>
        <v>0</v>
      </c>
      <c r="G166" s="177" t="str">
        <f>IF(IFERROR(IF(Str_TypeDonneesCpt4=Cpt_Index,Tab_Compteur_4[[#This Row],[Index]]-E165,Tab_Compteur_4[[#This Row],[Quantité]])/Tab_Compteur_4[[#This Row],[Delta Jour]],"")&lt;0,"",IFERROR(IF(Str_TypeDonneesCpt4=Cpt_Index,Tab_Compteur_4[[#This Row],[Index]]-E165,Tab_Compteur_4[[#This Row],[Quantité]])/Tab_Compteur_4[[#This Row],[Delta Jour]],""))</f>
        <v/>
      </c>
      <c r="H166" s="177" t="str">
        <f>IFERROR(Tab_Compteur_4[[#This Row],[Montant]]/Tab_Compteur_4[[#This Row],[Delta Jour]],"")</f>
        <v/>
      </c>
      <c r="I166" s="184" t="str">
        <f>IF(SUM(Tab_Compteur_4[[#This Row],[Quantité]],Tab_Compteur_4[[#This Row],[Index]])&lt;=0,"",G166)</f>
        <v/>
      </c>
      <c r="J166" s="185"/>
      <c r="K166" s="36"/>
      <c r="L166" s="36"/>
      <c r="M166" s="36"/>
    </row>
    <row r="167" spans="1:13">
      <c r="A167" s="2">
        <f t="shared" si="5"/>
        <v>1</v>
      </c>
      <c r="B167" s="501"/>
      <c r="C167" s="178"/>
      <c r="D167" s="491"/>
      <c r="E167" s="515"/>
      <c r="F167" s="177">
        <f t="shared" si="4"/>
        <v>0</v>
      </c>
      <c r="G167" s="177" t="str">
        <f>IF(IFERROR(IF(Str_TypeDonneesCpt4=Cpt_Index,Tab_Compteur_4[[#This Row],[Index]]-E166,Tab_Compteur_4[[#This Row],[Quantité]])/Tab_Compteur_4[[#This Row],[Delta Jour]],"")&lt;0,"",IFERROR(IF(Str_TypeDonneesCpt4=Cpt_Index,Tab_Compteur_4[[#This Row],[Index]]-E166,Tab_Compteur_4[[#This Row],[Quantité]])/Tab_Compteur_4[[#This Row],[Delta Jour]],""))</f>
        <v/>
      </c>
      <c r="H167" s="177" t="str">
        <f>IFERROR(Tab_Compteur_4[[#This Row],[Montant]]/Tab_Compteur_4[[#This Row],[Delta Jour]],"")</f>
        <v/>
      </c>
      <c r="I167" s="184" t="str">
        <f>IF(SUM(Tab_Compteur_4[[#This Row],[Quantité]],Tab_Compteur_4[[#This Row],[Index]])&lt;=0,"",G167)</f>
        <v/>
      </c>
      <c r="J167" s="185"/>
      <c r="K167" s="36"/>
      <c r="L167" s="36"/>
      <c r="M167" s="36"/>
    </row>
    <row r="168" spans="1:13">
      <c r="A168" s="2">
        <f t="shared" si="5"/>
        <v>1</v>
      </c>
      <c r="B168" s="501"/>
      <c r="C168" s="178"/>
      <c r="D168" s="491"/>
      <c r="E168" s="515"/>
      <c r="F168" s="177">
        <f t="shared" si="4"/>
        <v>0</v>
      </c>
      <c r="G168" s="177" t="str">
        <f>IF(IFERROR(IF(Str_TypeDonneesCpt4=Cpt_Index,Tab_Compteur_4[[#This Row],[Index]]-E167,Tab_Compteur_4[[#This Row],[Quantité]])/Tab_Compteur_4[[#This Row],[Delta Jour]],"")&lt;0,"",IFERROR(IF(Str_TypeDonneesCpt4=Cpt_Index,Tab_Compteur_4[[#This Row],[Index]]-E167,Tab_Compteur_4[[#This Row],[Quantité]])/Tab_Compteur_4[[#This Row],[Delta Jour]],""))</f>
        <v/>
      </c>
      <c r="H168" s="177" t="str">
        <f>IFERROR(Tab_Compteur_4[[#This Row],[Montant]]/Tab_Compteur_4[[#This Row],[Delta Jour]],"")</f>
        <v/>
      </c>
      <c r="I168" s="184" t="str">
        <f>IF(SUM(Tab_Compteur_4[[#This Row],[Quantité]],Tab_Compteur_4[[#This Row],[Index]])&lt;=0,"",G168)</f>
        <v/>
      </c>
      <c r="J168" s="185"/>
      <c r="K168" s="36"/>
      <c r="L168" s="36"/>
      <c r="M168" s="36"/>
    </row>
    <row r="169" spans="1:13">
      <c r="A169" s="2">
        <f t="shared" si="5"/>
        <v>1</v>
      </c>
      <c r="B169" s="501"/>
      <c r="C169" s="178"/>
      <c r="D169" s="491"/>
      <c r="E169" s="515"/>
      <c r="F169" s="177">
        <f t="shared" si="4"/>
        <v>0</v>
      </c>
      <c r="G169" s="177" t="str">
        <f>IF(IFERROR(IF(Str_TypeDonneesCpt4=Cpt_Index,Tab_Compteur_4[[#This Row],[Index]]-E168,Tab_Compteur_4[[#This Row],[Quantité]])/Tab_Compteur_4[[#This Row],[Delta Jour]],"")&lt;0,"",IFERROR(IF(Str_TypeDonneesCpt4=Cpt_Index,Tab_Compteur_4[[#This Row],[Index]]-E168,Tab_Compteur_4[[#This Row],[Quantité]])/Tab_Compteur_4[[#This Row],[Delta Jour]],""))</f>
        <v/>
      </c>
      <c r="H169" s="177" t="str">
        <f>IFERROR(Tab_Compteur_4[[#This Row],[Montant]]/Tab_Compteur_4[[#This Row],[Delta Jour]],"")</f>
        <v/>
      </c>
      <c r="I169" s="184" t="str">
        <f>IF(SUM(Tab_Compteur_4[[#This Row],[Quantité]],Tab_Compteur_4[[#This Row],[Index]])&lt;=0,"",G169)</f>
        <v/>
      </c>
      <c r="J169" s="185"/>
      <c r="K169" s="36"/>
      <c r="L169" s="36"/>
      <c r="M169" s="36"/>
    </row>
    <row r="170" spans="1:13">
      <c r="A170" s="2">
        <f t="shared" si="5"/>
        <v>1</v>
      </c>
      <c r="B170" s="501"/>
      <c r="C170" s="178"/>
      <c r="D170" s="491"/>
      <c r="E170" s="515"/>
      <c r="F170" s="177">
        <f t="shared" si="4"/>
        <v>0</v>
      </c>
      <c r="G170" s="177" t="str">
        <f>IF(IFERROR(IF(Str_TypeDonneesCpt4=Cpt_Index,Tab_Compteur_4[[#This Row],[Index]]-E169,Tab_Compteur_4[[#This Row],[Quantité]])/Tab_Compteur_4[[#This Row],[Delta Jour]],"")&lt;0,"",IFERROR(IF(Str_TypeDonneesCpt4=Cpt_Index,Tab_Compteur_4[[#This Row],[Index]]-E169,Tab_Compteur_4[[#This Row],[Quantité]])/Tab_Compteur_4[[#This Row],[Delta Jour]],""))</f>
        <v/>
      </c>
      <c r="H170" s="177" t="str">
        <f>IFERROR(Tab_Compteur_4[[#This Row],[Montant]]/Tab_Compteur_4[[#This Row],[Delta Jour]],"")</f>
        <v/>
      </c>
      <c r="I170" s="184" t="str">
        <f>IF(SUM(Tab_Compteur_4[[#This Row],[Quantité]],Tab_Compteur_4[[#This Row],[Index]])&lt;=0,"",G170)</f>
        <v/>
      </c>
      <c r="J170" s="185"/>
      <c r="K170" s="36"/>
      <c r="L170" s="36"/>
      <c r="M170" s="36"/>
    </row>
    <row r="171" spans="1:13">
      <c r="A171" s="2">
        <f t="shared" si="5"/>
        <v>1</v>
      </c>
      <c r="B171" s="501"/>
      <c r="C171" s="178"/>
      <c r="D171" s="491"/>
      <c r="E171" s="515"/>
      <c r="F171" s="177">
        <f t="shared" si="4"/>
        <v>0</v>
      </c>
      <c r="G171" s="177" t="str">
        <f>IF(IFERROR(IF(Str_TypeDonneesCpt4=Cpt_Index,Tab_Compteur_4[[#This Row],[Index]]-E170,Tab_Compteur_4[[#This Row],[Quantité]])/Tab_Compteur_4[[#This Row],[Delta Jour]],"")&lt;0,"",IFERROR(IF(Str_TypeDonneesCpt4=Cpt_Index,Tab_Compteur_4[[#This Row],[Index]]-E170,Tab_Compteur_4[[#This Row],[Quantité]])/Tab_Compteur_4[[#This Row],[Delta Jour]],""))</f>
        <v/>
      </c>
      <c r="H171" s="177" t="str">
        <f>IFERROR(Tab_Compteur_4[[#This Row],[Montant]]/Tab_Compteur_4[[#This Row],[Delta Jour]],"")</f>
        <v/>
      </c>
      <c r="I171" s="184" t="str">
        <f>IF(SUM(Tab_Compteur_4[[#This Row],[Quantité]],Tab_Compteur_4[[#This Row],[Index]])&lt;=0,"",G171)</f>
        <v/>
      </c>
      <c r="J171" s="185"/>
      <c r="K171" s="36"/>
      <c r="L171" s="36"/>
      <c r="M171" s="36"/>
    </row>
    <row r="172" spans="1:13">
      <c r="A172" s="2">
        <f t="shared" si="5"/>
        <v>1</v>
      </c>
      <c r="B172" s="501"/>
      <c r="C172" s="178"/>
      <c r="D172" s="491"/>
      <c r="E172" s="515"/>
      <c r="F172" s="177">
        <f t="shared" si="4"/>
        <v>0</v>
      </c>
      <c r="G172" s="177" t="str">
        <f>IF(IFERROR(IF(Str_TypeDonneesCpt4=Cpt_Index,Tab_Compteur_4[[#This Row],[Index]]-E171,Tab_Compteur_4[[#This Row],[Quantité]])/Tab_Compteur_4[[#This Row],[Delta Jour]],"")&lt;0,"",IFERROR(IF(Str_TypeDonneesCpt4=Cpt_Index,Tab_Compteur_4[[#This Row],[Index]]-E171,Tab_Compteur_4[[#This Row],[Quantité]])/Tab_Compteur_4[[#This Row],[Delta Jour]],""))</f>
        <v/>
      </c>
      <c r="H172" s="177" t="str">
        <f>IFERROR(Tab_Compteur_4[[#This Row],[Montant]]/Tab_Compteur_4[[#This Row],[Delta Jour]],"")</f>
        <v/>
      </c>
      <c r="I172" s="184" t="str">
        <f>IF(SUM(Tab_Compteur_4[[#This Row],[Quantité]],Tab_Compteur_4[[#This Row],[Index]])&lt;=0,"",G172)</f>
        <v/>
      </c>
      <c r="J172" s="185"/>
      <c r="K172" s="36"/>
      <c r="L172" s="36"/>
      <c r="M172" s="36"/>
    </row>
    <row r="173" spans="1:13">
      <c r="A173" s="2">
        <f t="shared" si="5"/>
        <v>1</v>
      </c>
      <c r="B173" s="501"/>
      <c r="C173" s="178"/>
      <c r="D173" s="491"/>
      <c r="E173" s="515"/>
      <c r="F173" s="177">
        <f t="shared" si="4"/>
        <v>0</v>
      </c>
      <c r="G173" s="177" t="str">
        <f>IF(IFERROR(IF(Str_TypeDonneesCpt4=Cpt_Index,Tab_Compteur_4[[#This Row],[Index]]-E172,Tab_Compteur_4[[#This Row],[Quantité]])/Tab_Compteur_4[[#This Row],[Delta Jour]],"")&lt;0,"",IFERROR(IF(Str_TypeDonneesCpt4=Cpt_Index,Tab_Compteur_4[[#This Row],[Index]]-E172,Tab_Compteur_4[[#This Row],[Quantité]])/Tab_Compteur_4[[#This Row],[Delta Jour]],""))</f>
        <v/>
      </c>
      <c r="H173" s="177" t="str">
        <f>IFERROR(Tab_Compteur_4[[#This Row],[Montant]]/Tab_Compteur_4[[#This Row],[Delta Jour]],"")</f>
        <v/>
      </c>
      <c r="I173" s="184" t="str">
        <f>IF(SUM(Tab_Compteur_4[[#This Row],[Quantité]],Tab_Compteur_4[[#This Row],[Index]])&lt;=0,"",G173)</f>
        <v/>
      </c>
      <c r="J173" s="185"/>
      <c r="K173" s="36"/>
      <c r="L173" s="36"/>
      <c r="M173" s="36"/>
    </row>
    <row r="174" spans="1:13">
      <c r="A174" s="2">
        <f t="shared" si="5"/>
        <v>1</v>
      </c>
      <c r="B174" s="501"/>
      <c r="C174" s="178"/>
      <c r="D174" s="491"/>
      <c r="E174" s="515"/>
      <c r="F174" s="177">
        <f t="shared" si="4"/>
        <v>0</v>
      </c>
      <c r="G174" s="177" t="str">
        <f>IF(IFERROR(IF(Str_TypeDonneesCpt4=Cpt_Index,Tab_Compteur_4[[#This Row],[Index]]-E173,Tab_Compteur_4[[#This Row],[Quantité]])/Tab_Compteur_4[[#This Row],[Delta Jour]],"")&lt;0,"",IFERROR(IF(Str_TypeDonneesCpt4=Cpt_Index,Tab_Compteur_4[[#This Row],[Index]]-E173,Tab_Compteur_4[[#This Row],[Quantité]])/Tab_Compteur_4[[#This Row],[Delta Jour]],""))</f>
        <v/>
      </c>
      <c r="H174" s="177" t="str">
        <f>IFERROR(Tab_Compteur_4[[#This Row],[Montant]]/Tab_Compteur_4[[#This Row],[Delta Jour]],"")</f>
        <v/>
      </c>
      <c r="I174" s="184" t="str">
        <f>IF(SUM(Tab_Compteur_4[[#This Row],[Quantité]],Tab_Compteur_4[[#This Row],[Index]])&lt;=0,"",G174)</f>
        <v/>
      </c>
      <c r="J174" s="185"/>
      <c r="K174" s="36"/>
      <c r="L174" s="36"/>
      <c r="M174" s="36"/>
    </row>
    <row r="175" spans="1:13">
      <c r="A175" s="2">
        <f t="shared" si="5"/>
        <v>1</v>
      </c>
      <c r="B175" s="501"/>
      <c r="C175" s="178"/>
      <c r="D175" s="491"/>
      <c r="E175" s="515"/>
      <c r="F175" s="177">
        <f t="shared" si="4"/>
        <v>0</v>
      </c>
      <c r="G175" s="177" t="str">
        <f>IF(IFERROR(IF(Str_TypeDonneesCpt4=Cpt_Index,Tab_Compteur_4[[#This Row],[Index]]-E174,Tab_Compteur_4[[#This Row],[Quantité]])/Tab_Compteur_4[[#This Row],[Delta Jour]],"")&lt;0,"",IFERROR(IF(Str_TypeDonneesCpt4=Cpt_Index,Tab_Compteur_4[[#This Row],[Index]]-E174,Tab_Compteur_4[[#This Row],[Quantité]])/Tab_Compteur_4[[#This Row],[Delta Jour]],""))</f>
        <v/>
      </c>
      <c r="H175" s="177" t="str">
        <f>IFERROR(Tab_Compteur_4[[#This Row],[Montant]]/Tab_Compteur_4[[#This Row],[Delta Jour]],"")</f>
        <v/>
      </c>
      <c r="I175" s="184" t="str">
        <f>IF(SUM(Tab_Compteur_4[[#This Row],[Quantité]],Tab_Compteur_4[[#This Row],[Index]])&lt;=0,"",G175)</f>
        <v/>
      </c>
      <c r="J175" s="185"/>
      <c r="K175" s="36"/>
      <c r="L175" s="36"/>
      <c r="M175" s="36"/>
    </row>
    <row r="176" spans="1:13">
      <c r="A176" s="2">
        <f t="shared" si="5"/>
        <v>1</v>
      </c>
      <c r="B176" s="501"/>
      <c r="C176" s="178"/>
      <c r="D176" s="491"/>
      <c r="E176" s="515"/>
      <c r="F176" s="177">
        <f t="shared" si="4"/>
        <v>0</v>
      </c>
      <c r="G176" s="177" t="str">
        <f>IF(IFERROR(IF(Str_TypeDonneesCpt4=Cpt_Index,Tab_Compteur_4[[#This Row],[Index]]-E175,Tab_Compteur_4[[#This Row],[Quantité]])/Tab_Compteur_4[[#This Row],[Delta Jour]],"")&lt;0,"",IFERROR(IF(Str_TypeDonneesCpt4=Cpt_Index,Tab_Compteur_4[[#This Row],[Index]]-E175,Tab_Compteur_4[[#This Row],[Quantité]])/Tab_Compteur_4[[#This Row],[Delta Jour]],""))</f>
        <v/>
      </c>
      <c r="H176" s="177" t="str">
        <f>IFERROR(Tab_Compteur_4[[#This Row],[Montant]]/Tab_Compteur_4[[#This Row],[Delta Jour]],"")</f>
        <v/>
      </c>
      <c r="I176" s="184" t="str">
        <f>IF(SUM(Tab_Compteur_4[[#This Row],[Quantité]],Tab_Compteur_4[[#This Row],[Index]])&lt;=0,"",G176)</f>
        <v/>
      </c>
      <c r="J176" s="185"/>
      <c r="K176" s="36"/>
      <c r="L176" s="36"/>
      <c r="M176" s="36"/>
    </row>
    <row r="177" spans="1:13">
      <c r="A177" s="2">
        <f t="shared" si="5"/>
        <v>1</v>
      </c>
      <c r="B177" s="501"/>
      <c r="C177" s="178"/>
      <c r="D177" s="491"/>
      <c r="E177" s="515"/>
      <c r="F177" s="177">
        <f t="shared" si="4"/>
        <v>0</v>
      </c>
      <c r="G177" s="177" t="str">
        <f>IF(IFERROR(IF(Str_TypeDonneesCpt4=Cpt_Index,Tab_Compteur_4[[#This Row],[Index]]-E176,Tab_Compteur_4[[#This Row],[Quantité]])/Tab_Compteur_4[[#This Row],[Delta Jour]],"")&lt;0,"",IFERROR(IF(Str_TypeDonneesCpt4=Cpt_Index,Tab_Compteur_4[[#This Row],[Index]]-E176,Tab_Compteur_4[[#This Row],[Quantité]])/Tab_Compteur_4[[#This Row],[Delta Jour]],""))</f>
        <v/>
      </c>
      <c r="H177" s="177" t="str">
        <f>IFERROR(Tab_Compteur_4[[#This Row],[Montant]]/Tab_Compteur_4[[#This Row],[Delta Jour]],"")</f>
        <v/>
      </c>
      <c r="I177" s="184" t="str">
        <f>IF(SUM(Tab_Compteur_4[[#This Row],[Quantité]],Tab_Compteur_4[[#This Row],[Index]])&lt;=0,"",G177)</f>
        <v/>
      </c>
      <c r="J177" s="185"/>
      <c r="K177" s="36"/>
      <c r="L177" s="36"/>
      <c r="M177" s="36"/>
    </row>
    <row r="178" spans="1:13">
      <c r="A178" s="2">
        <f t="shared" si="5"/>
        <v>1</v>
      </c>
      <c r="B178" s="501"/>
      <c r="C178" s="178"/>
      <c r="D178" s="491"/>
      <c r="E178" s="515"/>
      <c r="F178" s="177">
        <f t="shared" si="4"/>
        <v>0</v>
      </c>
      <c r="G178" s="177" t="str">
        <f>IF(IFERROR(IF(Str_TypeDonneesCpt4=Cpt_Index,Tab_Compteur_4[[#This Row],[Index]]-E177,Tab_Compteur_4[[#This Row],[Quantité]])/Tab_Compteur_4[[#This Row],[Delta Jour]],"")&lt;0,"",IFERROR(IF(Str_TypeDonneesCpt4=Cpt_Index,Tab_Compteur_4[[#This Row],[Index]]-E177,Tab_Compteur_4[[#This Row],[Quantité]])/Tab_Compteur_4[[#This Row],[Delta Jour]],""))</f>
        <v/>
      </c>
      <c r="H178" s="177" t="str">
        <f>IFERROR(Tab_Compteur_4[[#This Row],[Montant]]/Tab_Compteur_4[[#This Row],[Delta Jour]],"")</f>
        <v/>
      </c>
      <c r="I178" s="184" t="str">
        <f>IF(SUM(Tab_Compteur_4[[#This Row],[Quantité]],Tab_Compteur_4[[#This Row],[Index]])&lt;=0,"",G178)</f>
        <v/>
      </c>
      <c r="J178" s="185"/>
      <c r="K178" s="36"/>
      <c r="L178" s="36"/>
      <c r="M178" s="36"/>
    </row>
    <row r="179" spans="1:13">
      <c r="A179" s="2">
        <f t="shared" si="5"/>
        <v>1</v>
      </c>
      <c r="B179" s="501"/>
      <c r="C179" s="178"/>
      <c r="D179" s="491"/>
      <c r="E179" s="515"/>
      <c r="F179" s="177">
        <f t="shared" si="4"/>
        <v>0</v>
      </c>
      <c r="G179" s="177" t="str">
        <f>IF(IFERROR(IF(Str_TypeDonneesCpt4=Cpt_Index,Tab_Compteur_4[[#This Row],[Index]]-E178,Tab_Compteur_4[[#This Row],[Quantité]])/Tab_Compteur_4[[#This Row],[Delta Jour]],"")&lt;0,"",IFERROR(IF(Str_TypeDonneesCpt4=Cpt_Index,Tab_Compteur_4[[#This Row],[Index]]-E178,Tab_Compteur_4[[#This Row],[Quantité]])/Tab_Compteur_4[[#This Row],[Delta Jour]],""))</f>
        <v/>
      </c>
      <c r="H179" s="177" t="str">
        <f>IFERROR(Tab_Compteur_4[[#This Row],[Montant]]/Tab_Compteur_4[[#This Row],[Delta Jour]],"")</f>
        <v/>
      </c>
      <c r="I179" s="184" t="str">
        <f>IF(SUM(Tab_Compteur_4[[#This Row],[Quantité]],Tab_Compteur_4[[#This Row],[Index]])&lt;=0,"",G179)</f>
        <v/>
      </c>
      <c r="J179" s="185"/>
      <c r="K179" s="36"/>
      <c r="L179" s="36"/>
      <c r="M179" s="36"/>
    </row>
    <row r="180" spans="1:13">
      <c r="A180" s="2">
        <f t="shared" si="5"/>
        <v>1</v>
      </c>
      <c r="B180" s="501"/>
      <c r="C180" s="178"/>
      <c r="D180" s="491"/>
      <c r="E180" s="515"/>
      <c r="F180" s="177">
        <f t="shared" si="4"/>
        <v>0</v>
      </c>
      <c r="G180" s="177" t="str">
        <f>IF(IFERROR(IF(Str_TypeDonneesCpt4=Cpt_Index,Tab_Compteur_4[[#This Row],[Index]]-E179,Tab_Compteur_4[[#This Row],[Quantité]])/Tab_Compteur_4[[#This Row],[Delta Jour]],"")&lt;0,"",IFERROR(IF(Str_TypeDonneesCpt4=Cpt_Index,Tab_Compteur_4[[#This Row],[Index]]-E179,Tab_Compteur_4[[#This Row],[Quantité]])/Tab_Compteur_4[[#This Row],[Delta Jour]],""))</f>
        <v/>
      </c>
      <c r="H180" s="177" t="str">
        <f>IFERROR(Tab_Compteur_4[[#This Row],[Montant]]/Tab_Compteur_4[[#This Row],[Delta Jour]],"")</f>
        <v/>
      </c>
      <c r="I180" s="184" t="str">
        <f>IF(SUM(Tab_Compteur_4[[#This Row],[Quantité]],Tab_Compteur_4[[#This Row],[Index]])&lt;=0,"",G180)</f>
        <v/>
      </c>
      <c r="J180" s="185"/>
      <c r="K180" s="36"/>
      <c r="L180" s="36"/>
      <c r="M180" s="36"/>
    </row>
    <row r="181" spans="1:13">
      <c r="A181" s="2">
        <f t="shared" si="5"/>
        <v>1</v>
      </c>
      <c r="B181" s="501"/>
      <c r="C181" s="178"/>
      <c r="D181" s="491"/>
      <c r="E181" s="515"/>
      <c r="F181" s="177">
        <f t="shared" si="4"/>
        <v>0</v>
      </c>
      <c r="G181" s="177" t="str">
        <f>IF(IFERROR(IF(Str_TypeDonneesCpt4=Cpt_Index,Tab_Compteur_4[[#This Row],[Index]]-E180,Tab_Compteur_4[[#This Row],[Quantité]])/Tab_Compteur_4[[#This Row],[Delta Jour]],"")&lt;0,"",IFERROR(IF(Str_TypeDonneesCpt4=Cpt_Index,Tab_Compteur_4[[#This Row],[Index]]-E180,Tab_Compteur_4[[#This Row],[Quantité]])/Tab_Compteur_4[[#This Row],[Delta Jour]],""))</f>
        <v/>
      </c>
      <c r="H181" s="177" t="str">
        <f>IFERROR(Tab_Compteur_4[[#This Row],[Montant]]/Tab_Compteur_4[[#This Row],[Delta Jour]],"")</f>
        <v/>
      </c>
      <c r="I181" s="184" t="str">
        <f>IF(SUM(Tab_Compteur_4[[#This Row],[Quantité]],Tab_Compteur_4[[#This Row],[Index]])&lt;=0,"",G181)</f>
        <v/>
      </c>
      <c r="J181" s="185"/>
      <c r="K181" s="36"/>
      <c r="L181" s="36"/>
      <c r="M181" s="36"/>
    </row>
    <row r="182" spans="1:13">
      <c r="A182" s="2">
        <f t="shared" si="5"/>
        <v>1</v>
      </c>
      <c r="B182" s="501"/>
      <c r="C182" s="178"/>
      <c r="D182" s="491"/>
      <c r="E182" s="515"/>
      <c r="F182" s="177">
        <f t="shared" si="4"/>
        <v>0</v>
      </c>
      <c r="G182" s="177" t="str">
        <f>IF(IFERROR(IF(Str_TypeDonneesCpt4=Cpt_Index,Tab_Compteur_4[[#This Row],[Index]]-E181,Tab_Compteur_4[[#This Row],[Quantité]])/Tab_Compteur_4[[#This Row],[Delta Jour]],"")&lt;0,"",IFERROR(IF(Str_TypeDonneesCpt4=Cpt_Index,Tab_Compteur_4[[#This Row],[Index]]-E181,Tab_Compteur_4[[#This Row],[Quantité]])/Tab_Compteur_4[[#This Row],[Delta Jour]],""))</f>
        <v/>
      </c>
      <c r="H182" s="177" t="str">
        <f>IFERROR(Tab_Compteur_4[[#This Row],[Montant]]/Tab_Compteur_4[[#This Row],[Delta Jour]],"")</f>
        <v/>
      </c>
      <c r="I182" s="184" t="str">
        <f>IF(SUM(Tab_Compteur_4[[#This Row],[Quantité]],Tab_Compteur_4[[#This Row],[Index]])&lt;=0,"",G182)</f>
        <v/>
      </c>
      <c r="J182" s="185"/>
      <c r="K182" s="36"/>
      <c r="L182" s="36"/>
      <c r="M182" s="36"/>
    </row>
    <row r="183" spans="1:13">
      <c r="A183" s="2">
        <f t="shared" si="5"/>
        <v>1</v>
      </c>
      <c r="B183" s="501"/>
      <c r="C183" s="178"/>
      <c r="D183" s="491"/>
      <c r="E183" s="515"/>
      <c r="F183" s="177">
        <f t="shared" si="4"/>
        <v>0</v>
      </c>
      <c r="G183" s="177" t="str">
        <f>IF(IFERROR(IF(Str_TypeDonneesCpt4=Cpt_Index,Tab_Compteur_4[[#This Row],[Index]]-E182,Tab_Compteur_4[[#This Row],[Quantité]])/Tab_Compteur_4[[#This Row],[Delta Jour]],"")&lt;0,"",IFERROR(IF(Str_TypeDonneesCpt4=Cpt_Index,Tab_Compteur_4[[#This Row],[Index]]-E182,Tab_Compteur_4[[#This Row],[Quantité]])/Tab_Compteur_4[[#This Row],[Delta Jour]],""))</f>
        <v/>
      </c>
      <c r="H183" s="177" t="str">
        <f>IFERROR(Tab_Compteur_4[[#This Row],[Montant]]/Tab_Compteur_4[[#This Row],[Delta Jour]],"")</f>
        <v/>
      </c>
      <c r="I183" s="184" t="str">
        <f>IF(SUM(Tab_Compteur_4[[#This Row],[Quantité]],Tab_Compteur_4[[#This Row],[Index]])&lt;=0,"",G183)</f>
        <v/>
      </c>
      <c r="J183" s="185"/>
      <c r="K183" s="36"/>
      <c r="L183" s="36"/>
      <c r="M183" s="36"/>
    </row>
    <row r="184" spans="1:13">
      <c r="A184" s="2">
        <f t="shared" si="5"/>
        <v>1</v>
      </c>
      <c r="B184" s="501"/>
      <c r="C184" s="178"/>
      <c r="D184" s="491"/>
      <c r="E184" s="515"/>
      <c r="F184" s="177">
        <f t="shared" si="4"/>
        <v>0</v>
      </c>
      <c r="G184" s="177" t="str">
        <f>IF(IFERROR(IF(Str_TypeDonneesCpt4=Cpt_Index,Tab_Compteur_4[[#This Row],[Index]]-E183,Tab_Compteur_4[[#This Row],[Quantité]])/Tab_Compteur_4[[#This Row],[Delta Jour]],"")&lt;0,"",IFERROR(IF(Str_TypeDonneesCpt4=Cpt_Index,Tab_Compteur_4[[#This Row],[Index]]-E183,Tab_Compteur_4[[#This Row],[Quantité]])/Tab_Compteur_4[[#This Row],[Delta Jour]],""))</f>
        <v/>
      </c>
      <c r="H184" s="177" t="str">
        <f>IFERROR(Tab_Compteur_4[[#This Row],[Montant]]/Tab_Compteur_4[[#This Row],[Delta Jour]],"")</f>
        <v/>
      </c>
      <c r="I184" s="184" t="str">
        <f>IF(SUM(Tab_Compteur_4[[#This Row],[Quantité]],Tab_Compteur_4[[#This Row],[Index]])&lt;=0,"",G184)</f>
        <v/>
      </c>
      <c r="J184" s="185"/>
      <c r="K184" s="36"/>
      <c r="L184" s="36"/>
      <c r="M184" s="36"/>
    </row>
    <row r="185" spans="1:13">
      <c r="A185" s="2">
        <f t="shared" si="5"/>
        <v>1</v>
      </c>
      <c r="B185" s="501"/>
      <c r="C185" s="178"/>
      <c r="D185" s="491"/>
      <c r="E185" s="515"/>
      <c r="F185" s="177">
        <f t="shared" si="4"/>
        <v>0</v>
      </c>
      <c r="G185" s="177" t="str">
        <f>IF(IFERROR(IF(Str_TypeDonneesCpt4=Cpt_Index,Tab_Compteur_4[[#This Row],[Index]]-E184,Tab_Compteur_4[[#This Row],[Quantité]])/Tab_Compteur_4[[#This Row],[Delta Jour]],"")&lt;0,"",IFERROR(IF(Str_TypeDonneesCpt4=Cpt_Index,Tab_Compteur_4[[#This Row],[Index]]-E184,Tab_Compteur_4[[#This Row],[Quantité]])/Tab_Compteur_4[[#This Row],[Delta Jour]],""))</f>
        <v/>
      </c>
      <c r="H185" s="177" t="str">
        <f>IFERROR(Tab_Compteur_4[[#This Row],[Montant]]/Tab_Compteur_4[[#This Row],[Delta Jour]],"")</f>
        <v/>
      </c>
      <c r="I185" s="184" t="str">
        <f>IF(SUM(Tab_Compteur_4[[#This Row],[Quantité]],Tab_Compteur_4[[#This Row],[Index]])&lt;=0,"",G185)</f>
        <v/>
      </c>
      <c r="J185" s="185"/>
      <c r="K185" s="36"/>
      <c r="L185" s="36"/>
      <c r="M185" s="36"/>
    </row>
    <row r="186" spans="1:13">
      <c r="A186" s="2">
        <f t="shared" si="5"/>
        <v>1</v>
      </c>
      <c r="B186" s="501"/>
      <c r="C186" s="178"/>
      <c r="D186" s="491"/>
      <c r="E186" s="515"/>
      <c r="F186" s="177">
        <f t="shared" si="4"/>
        <v>0</v>
      </c>
      <c r="G186" s="177" t="str">
        <f>IF(IFERROR(IF(Str_TypeDonneesCpt4=Cpt_Index,Tab_Compteur_4[[#This Row],[Index]]-E185,Tab_Compteur_4[[#This Row],[Quantité]])/Tab_Compteur_4[[#This Row],[Delta Jour]],"")&lt;0,"",IFERROR(IF(Str_TypeDonneesCpt4=Cpt_Index,Tab_Compteur_4[[#This Row],[Index]]-E185,Tab_Compteur_4[[#This Row],[Quantité]])/Tab_Compteur_4[[#This Row],[Delta Jour]],""))</f>
        <v/>
      </c>
      <c r="H186" s="177" t="str">
        <f>IFERROR(Tab_Compteur_4[[#This Row],[Montant]]/Tab_Compteur_4[[#This Row],[Delta Jour]],"")</f>
        <v/>
      </c>
      <c r="I186" s="184" t="str">
        <f>IF(SUM(Tab_Compteur_4[[#This Row],[Quantité]],Tab_Compteur_4[[#This Row],[Index]])&lt;=0,"",G186)</f>
        <v/>
      </c>
      <c r="J186" s="185"/>
      <c r="K186" s="36"/>
      <c r="L186" s="36"/>
      <c r="M186" s="36"/>
    </row>
    <row r="187" spans="1:13">
      <c r="A187" s="2">
        <f t="shared" si="5"/>
        <v>1</v>
      </c>
      <c r="B187" s="501"/>
      <c r="C187" s="178"/>
      <c r="D187" s="491"/>
      <c r="E187" s="515"/>
      <c r="F187" s="177">
        <f t="shared" si="4"/>
        <v>0</v>
      </c>
      <c r="G187" s="177" t="str">
        <f>IF(IFERROR(IF(Str_TypeDonneesCpt4=Cpt_Index,Tab_Compteur_4[[#This Row],[Index]]-E186,Tab_Compteur_4[[#This Row],[Quantité]])/Tab_Compteur_4[[#This Row],[Delta Jour]],"")&lt;0,"",IFERROR(IF(Str_TypeDonneesCpt4=Cpt_Index,Tab_Compteur_4[[#This Row],[Index]]-E186,Tab_Compteur_4[[#This Row],[Quantité]])/Tab_Compteur_4[[#This Row],[Delta Jour]],""))</f>
        <v/>
      </c>
      <c r="H187" s="177" t="str">
        <f>IFERROR(Tab_Compteur_4[[#This Row],[Montant]]/Tab_Compteur_4[[#This Row],[Delta Jour]],"")</f>
        <v/>
      </c>
      <c r="I187" s="184" t="str">
        <f>IF(SUM(Tab_Compteur_4[[#This Row],[Quantité]],Tab_Compteur_4[[#This Row],[Index]])&lt;=0,"",G187)</f>
        <v/>
      </c>
      <c r="J187" s="185"/>
      <c r="K187" s="36"/>
      <c r="L187" s="36"/>
      <c r="M187" s="36"/>
    </row>
    <row r="188" spans="1:13">
      <c r="A188" s="2">
        <f t="shared" si="5"/>
        <v>1</v>
      </c>
      <c r="B188" s="501"/>
      <c r="C188" s="178"/>
      <c r="D188" s="491"/>
      <c r="E188" s="515"/>
      <c r="F188" s="177">
        <f t="shared" si="4"/>
        <v>0</v>
      </c>
      <c r="G188" s="177" t="str">
        <f>IF(IFERROR(IF(Str_TypeDonneesCpt4=Cpt_Index,Tab_Compteur_4[[#This Row],[Index]]-E187,Tab_Compteur_4[[#This Row],[Quantité]])/Tab_Compteur_4[[#This Row],[Delta Jour]],"")&lt;0,"",IFERROR(IF(Str_TypeDonneesCpt4=Cpt_Index,Tab_Compteur_4[[#This Row],[Index]]-E187,Tab_Compteur_4[[#This Row],[Quantité]])/Tab_Compteur_4[[#This Row],[Delta Jour]],""))</f>
        <v/>
      </c>
      <c r="H188" s="177" t="str">
        <f>IFERROR(Tab_Compteur_4[[#This Row],[Montant]]/Tab_Compteur_4[[#This Row],[Delta Jour]],"")</f>
        <v/>
      </c>
      <c r="I188" s="184" t="str">
        <f>IF(SUM(Tab_Compteur_4[[#This Row],[Quantité]],Tab_Compteur_4[[#This Row],[Index]])&lt;=0,"",G188)</f>
        <v/>
      </c>
      <c r="J188" s="185"/>
      <c r="K188" s="36"/>
      <c r="L188" s="36"/>
      <c r="M188" s="36"/>
    </row>
    <row r="189" spans="1:13">
      <c r="A189" s="2">
        <f t="shared" si="5"/>
        <v>1</v>
      </c>
      <c r="B189" s="501"/>
      <c r="C189" s="178"/>
      <c r="D189" s="491"/>
      <c r="E189" s="515"/>
      <c r="F189" s="177">
        <f t="shared" si="4"/>
        <v>0</v>
      </c>
      <c r="G189" s="177" t="str">
        <f>IF(IFERROR(IF(Str_TypeDonneesCpt4=Cpt_Index,Tab_Compteur_4[[#This Row],[Index]]-E188,Tab_Compteur_4[[#This Row],[Quantité]])/Tab_Compteur_4[[#This Row],[Delta Jour]],"")&lt;0,"",IFERROR(IF(Str_TypeDonneesCpt4=Cpt_Index,Tab_Compteur_4[[#This Row],[Index]]-E188,Tab_Compteur_4[[#This Row],[Quantité]])/Tab_Compteur_4[[#This Row],[Delta Jour]],""))</f>
        <v/>
      </c>
      <c r="H189" s="177" t="str">
        <f>IFERROR(Tab_Compteur_4[[#This Row],[Montant]]/Tab_Compteur_4[[#This Row],[Delta Jour]],"")</f>
        <v/>
      </c>
      <c r="I189" s="184" t="str">
        <f>IF(SUM(Tab_Compteur_4[[#This Row],[Quantité]],Tab_Compteur_4[[#This Row],[Index]])&lt;=0,"",G189)</f>
        <v/>
      </c>
      <c r="J189" s="185"/>
      <c r="K189" s="36"/>
      <c r="L189" s="36"/>
      <c r="M189" s="36"/>
    </row>
    <row r="190" spans="1:13">
      <c r="A190" s="2">
        <f t="shared" si="5"/>
        <v>1</v>
      </c>
      <c r="B190" s="501"/>
      <c r="C190" s="178"/>
      <c r="D190" s="491"/>
      <c r="E190" s="515"/>
      <c r="F190" s="177">
        <f t="shared" si="4"/>
        <v>0</v>
      </c>
      <c r="G190" s="177" t="str">
        <f>IF(IFERROR(IF(Str_TypeDonneesCpt4=Cpt_Index,Tab_Compteur_4[[#This Row],[Index]]-E189,Tab_Compteur_4[[#This Row],[Quantité]])/Tab_Compteur_4[[#This Row],[Delta Jour]],"")&lt;0,"",IFERROR(IF(Str_TypeDonneesCpt4=Cpt_Index,Tab_Compteur_4[[#This Row],[Index]]-E189,Tab_Compteur_4[[#This Row],[Quantité]])/Tab_Compteur_4[[#This Row],[Delta Jour]],""))</f>
        <v/>
      </c>
      <c r="H190" s="177" t="str">
        <f>IFERROR(Tab_Compteur_4[[#This Row],[Montant]]/Tab_Compteur_4[[#This Row],[Delta Jour]],"")</f>
        <v/>
      </c>
      <c r="I190" s="184" t="str">
        <f>IF(SUM(Tab_Compteur_4[[#This Row],[Quantité]],Tab_Compteur_4[[#This Row],[Index]])&lt;=0,"",G190)</f>
        <v/>
      </c>
      <c r="J190" s="185"/>
      <c r="K190" s="36"/>
      <c r="L190" s="36"/>
      <c r="M190" s="36"/>
    </row>
    <row r="191" spans="1:13">
      <c r="A191" s="2">
        <f t="shared" si="5"/>
        <v>1</v>
      </c>
      <c r="B191" s="501"/>
      <c r="C191" s="178"/>
      <c r="D191" s="491"/>
      <c r="E191" s="515"/>
      <c r="F191" s="177">
        <f t="shared" si="4"/>
        <v>0</v>
      </c>
      <c r="G191" s="177" t="str">
        <f>IF(IFERROR(IF(Str_TypeDonneesCpt4=Cpt_Index,Tab_Compteur_4[[#This Row],[Index]]-E190,Tab_Compteur_4[[#This Row],[Quantité]])/Tab_Compteur_4[[#This Row],[Delta Jour]],"")&lt;0,"",IFERROR(IF(Str_TypeDonneesCpt4=Cpt_Index,Tab_Compteur_4[[#This Row],[Index]]-E190,Tab_Compteur_4[[#This Row],[Quantité]])/Tab_Compteur_4[[#This Row],[Delta Jour]],""))</f>
        <v/>
      </c>
      <c r="H191" s="177" t="str">
        <f>IFERROR(Tab_Compteur_4[[#This Row],[Montant]]/Tab_Compteur_4[[#This Row],[Delta Jour]],"")</f>
        <v/>
      </c>
      <c r="I191" s="184" t="str">
        <f>IF(SUM(Tab_Compteur_4[[#This Row],[Quantité]],Tab_Compteur_4[[#This Row],[Index]])&lt;=0,"",G191)</f>
        <v/>
      </c>
      <c r="J191" s="185"/>
      <c r="K191" s="36"/>
      <c r="L191" s="36"/>
      <c r="M191" s="36"/>
    </row>
    <row r="192" spans="1:13">
      <c r="A192" s="2">
        <f t="shared" si="5"/>
        <v>1</v>
      </c>
      <c r="B192" s="501"/>
      <c r="C192" s="178"/>
      <c r="D192" s="491"/>
      <c r="E192" s="515"/>
      <c r="F192" s="177">
        <f t="shared" si="4"/>
        <v>0</v>
      </c>
      <c r="G192" s="177" t="str">
        <f>IF(IFERROR(IF(Str_TypeDonneesCpt4=Cpt_Index,Tab_Compteur_4[[#This Row],[Index]]-E191,Tab_Compteur_4[[#This Row],[Quantité]])/Tab_Compteur_4[[#This Row],[Delta Jour]],"")&lt;0,"",IFERROR(IF(Str_TypeDonneesCpt4=Cpt_Index,Tab_Compteur_4[[#This Row],[Index]]-E191,Tab_Compteur_4[[#This Row],[Quantité]])/Tab_Compteur_4[[#This Row],[Delta Jour]],""))</f>
        <v/>
      </c>
      <c r="H192" s="177" t="str">
        <f>IFERROR(Tab_Compteur_4[[#This Row],[Montant]]/Tab_Compteur_4[[#This Row],[Delta Jour]],"")</f>
        <v/>
      </c>
      <c r="I192" s="184" t="str">
        <f>IF(SUM(Tab_Compteur_4[[#This Row],[Quantité]],Tab_Compteur_4[[#This Row],[Index]])&lt;=0,"",G192)</f>
        <v/>
      </c>
      <c r="J192" s="185"/>
      <c r="K192" s="36"/>
      <c r="L192" s="36"/>
      <c r="M192" s="36"/>
    </row>
    <row r="193" spans="1:13">
      <c r="A193" s="2">
        <f t="shared" si="5"/>
        <v>1</v>
      </c>
      <c r="B193" s="501"/>
      <c r="C193" s="178"/>
      <c r="D193" s="491"/>
      <c r="E193" s="515"/>
      <c r="F193" s="177">
        <f t="shared" si="4"/>
        <v>0</v>
      </c>
      <c r="G193" s="177" t="str">
        <f>IF(IFERROR(IF(Str_TypeDonneesCpt4=Cpt_Index,Tab_Compteur_4[[#This Row],[Index]]-E192,Tab_Compteur_4[[#This Row],[Quantité]])/Tab_Compteur_4[[#This Row],[Delta Jour]],"")&lt;0,"",IFERROR(IF(Str_TypeDonneesCpt4=Cpt_Index,Tab_Compteur_4[[#This Row],[Index]]-E192,Tab_Compteur_4[[#This Row],[Quantité]])/Tab_Compteur_4[[#This Row],[Delta Jour]],""))</f>
        <v/>
      </c>
      <c r="H193" s="177" t="str">
        <f>IFERROR(Tab_Compteur_4[[#This Row],[Montant]]/Tab_Compteur_4[[#This Row],[Delta Jour]],"")</f>
        <v/>
      </c>
      <c r="I193" s="184" t="str">
        <f>IF(SUM(Tab_Compteur_4[[#This Row],[Quantité]],Tab_Compteur_4[[#This Row],[Index]])&lt;=0,"",G193)</f>
        <v/>
      </c>
      <c r="J193" s="185"/>
      <c r="K193" s="36"/>
      <c r="L193" s="36"/>
      <c r="M193" s="36"/>
    </row>
    <row r="194" spans="1:13">
      <c r="A194" s="2">
        <f t="shared" si="5"/>
        <v>1</v>
      </c>
      <c r="B194" s="501"/>
      <c r="C194" s="178"/>
      <c r="D194" s="491"/>
      <c r="E194" s="515"/>
      <c r="F194" s="177">
        <f t="shared" si="4"/>
        <v>0</v>
      </c>
      <c r="G194" s="177" t="str">
        <f>IF(IFERROR(IF(Str_TypeDonneesCpt4=Cpt_Index,Tab_Compteur_4[[#This Row],[Index]]-E193,Tab_Compteur_4[[#This Row],[Quantité]])/Tab_Compteur_4[[#This Row],[Delta Jour]],"")&lt;0,"",IFERROR(IF(Str_TypeDonneesCpt4=Cpt_Index,Tab_Compteur_4[[#This Row],[Index]]-E193,Tab_Compteur_4[[#This Row],[Quantité]])/Tab_Compteur_4[[#This Row],[Delta Jour]],""))</f>
        <v/>
      </c>
      <c r="H194" s="177" t="str">
        <f>IFERROR(Tab_Compteur_4[[#This Row],[Montant]]/Tab_Compteur_4[[#This Row],[Delta Jour]],"")</f>
        <v/>
      </c>
      <c r="I194" s="184" t="str">
        <f>IF(SUM(Tab_Compteur_4[[#This Row],[Quantité]],Tab_Compteur_4[[#This Row],[Index]])&lt;=0,"",G194)</f>
        <v/>
      </c>
      <c r="J194" s="185"/>
      <c r="K194" s="36"/>
      <c r="L194" s="36"/>
      <c r="M194" s="36"/>
    </row>
    <row r="195" spans="1:13">
      <c r="A195" s="2">
        <f t="shared" si="5"/>
        <v>1</v>
      </c>
      <c r="B195" s="501"/>
      <c r="C195" s="178"/>
      <c r="D195" s="491"/>
      <c r="E195" s="515"/>
      <c r="F195" s="177">
        <f t="shared" ref="F195:F243" si="6">IFERROR(B195-A195+1,"")</f>
        <v>0</v>
      </c>
      <c r="G195" s="177" t="str">
        <f>IF(IFERROR(IF(Str_TypeDonneesCpt4=Cpt_Index,Tab_Compteur_4[[#This Row],[Index]]-E194,Tab_Compteur_4[[#This Row],[Quantité]])/Tab_Compteur_4[[#This Row],[Delta Jour]],"")&lt;0,"",IFERROR(IF(Str_TypeDonneesCpt4=Cpt_Index,Tab_Compteur_4[[#This Row],[Index]]-E194,Tab_Compteur_4[[#This Row],[Quantité]])/Tab_Compteur_4[[#This Row],[Delta Jour]],""))</f>
        <v/>
      </c>
      <c r="H195" s="177" t="str">
        <f>IFERROR(Tab_Compteur_4[[#This Row],[Montant]]/Tab_Compteur_4[[#This Row],[Delta Jour]],"")</f>
        <v/>
      </c>
      <c r="I195" s="184" t="str">
        <f>IF(SUM(Tab_Compteur_4[[#This Row],[Quantité]],Tab_Compteur_4[[#This Row],[Index]])&lt;=0,"",G195)</f>
        <v/>
      </c>
      <c r="J195" s="185"/>
      <c r="K195" s="36"/>
      <c r="L195" s="36"/>
      <c r="M195" s="36"/>
    </row>
    <row r="196" spans="1:13">
      <c r="A196" s="2">
        <f t="shared" si="5"/>
        <v>1</v>
      </c>
      <c r="B196" s="501"/>
      <c r="C196" s="178"/>
      <c r="D196" s="491"/>
      <c r="E196" s="515"/>
      <c r="F196" s="177">
        <f t="shared" si="6"/>
        <v>0</v>
      </c>
      <c r="G196" s="177" t="str">
        <f>IF(IFERROR(IF(Str_TypeDonneesCpt4=Cpt_Index,Tab_Compteur_4[[#This Row],[Index]]-E195,Tab_Compteur_4[[#This Row],[Quantité]])/Tab_Compteur_4[[#This Row],[Delta Jour]],"")&lt;0,"",IFERROR(IF(Str_TypeDonneesCpt4=Cpt_Index,Tab_Compteur_4[[#This Row],[Index]]-E195,Tab_Compteur_4[[#This Row],[Quantité]])/Tab_Compteur_4[[#This Row],[Delta Jour]],""))</f>
        <v/>
      </c>
      <c r="H196" s="177" t="str">
        <f>IFERROR(Tab_Compteur_4[[#This Row],[Montant]]/Tab_Compteur_4[[#This Row],[Delta Jour]],"")</f>
        <v/>
      </c>
      <c r="I196" s="184" t="str">
        <f>IF(SUM(Tab_Compteur_4[[#This Row],[Quantité]],Tab_Compteur_4[[#This Row],[Index]])&lt;=0,"",G196)</f>
        <v/>
      </c>
      <c r="J196" s="185"/>
      <c r="K196" s="36"/>
      <c r="L196" s="36"/>
      <c r="M196" s="36"/>
    </row>
    <row r="197" spans="1:13">
      <c r="A197" s="2">
        <f t="shared" si="5"/>
        <v>1</v>
      </c>
      <c r="B197" s="501"/>
      <c r="C197" s="178"/>
      <c r="D197" s="491"/>
      <c r="E197" s="515"/>
      <c r="F197" s="177">
        <f t="shared" si="6"/>
        <v>0</v>
      </c>
      <c r="G197" s="177" t="str">
        <f>IF(IFERROR(IF(Str_TypeDonneesCpt4=Cpt_Index,Tab_Compteur_4[[#This Row],[Index]]-E196,Tab_Compteur_4[[#This Row],[Quantité]])/Tab_Compteur_4[[#This Row],[Delta Jour]],"")&lt;0,"",IFERROR(IF(Str_TypeDonneesCpt4=Cpt_Index,Tab_Compteur_4[[#This Row],[Index]]-E196,Tab_Compteur_4[[#This Row],[Quantité]])/Tab_Compteur_4[[#This Row],[Delta Jour]],""))</f>
        <v/>
      </c>
      <c r="H197" s="177" t="str">
        <f>IFERROR(Tab_Compteur_4[[#This Row],[Montant]]/Tab_Compteur_4[[#This Row],[Delta Jour]],"")</f>
        <v/>
      </c>
      <c r="I197" s="184" t="str">
        <f>IF(SUM(Tab_Compteur_4[[#This Row],[Quantité]],Tab_Compteur_4[[#This Row],[Index]])&lt;=0,"",G197)</f>
        <v/>
      </c>
      <c r="J197" s="185"/>
      <c r="K197" s="36"/>
      <c r="L197" s="36"/>
      <c r="M197" s="36"/>
    </row>
    <row r="198" spans="1:13">
      <c r="A198" s="2">
        <f t="shared" ref="A198:A243" si="7">IFERROR(B197+1,0)</f>
        <v>1</v>
      </c>
      <c r="B198" s="501"/>
      <c r="C198" s="178"/>
      <c r="D198" s="491"/>
      <c r="E198" s="515"/>
      <c r="F198" s="177">
        <f t="shared" si="6"/>
        <v>0</v>
      </c>
      <c r="G198" s="177" t="str">
        <f>IF(IFERROR(IF(Str_TypeDonneesCpt4=Cpt_Index,Tab_Compteur_4[[#This Row],[Index]]-E197,Tab_Compteur_4[[#This Row],[Quantité]])/Tab_Compteur_4[[#This Row],[Delta Jour]],"")&lt;0,"",IFERROR(IF(Str_TypeDonneesCpt4=Cpt_Index,Tab_Compteur_4[[#This Row],[Index]]-E197,Tab_Compteur_4[[#This Row],[Quantité]])/Tab_Compteur_4[[#This Row],[Delta Jour]],""))</f>
        <v/>
      </c>
      <c r="H198" s="177" t="str">
        <f>IFERROR(Tab_Compteur_4[[#This Row],[Montant]]/Tab_Compteur_4[[#This Row],[Delta Jour]],"")</f>
        <v/>
      </c>
      <c r="I198" s="184" t="str">
        <f>IF(SUM(Tab_Compteur_4[[#This Row],[Quantité]],Tab_Compteur_4[[#This Row],[Index]])&lt;=0,"",G198)</f>
        <v/>
      </c>
      <c r="J198" s="185"/>
      <c r="K198" s="36"/>
      <c r="L198" s="36"/>
      <c r="M198" s="36"/>
    </row>
    <row r="199" spans="1:13">
      <c r="A199" s="2">
        <f t="shared" si="7"/>
        <v>1</v>
      </c>
      <c r="B199" s="501"/>
      <c r="C199" s="178"/>
      <c r="D199" s="491"/>
      <c r="E199" s="515"/>
      <c r="F199" s="177">
        <f t="shared" si="6"/>
        <v>0</v>
      </c>
      <c r="G199" s="177" t="str">
        <f>IF(IFERROR(IF(Str_TypeDonneesCpt4=Cpt_Index,Tab_Compteur_4[[#This Row],[Index]]-E198,Tab_Compteur_4[[#This Row],[Quantité]])/Tab_Compteur_4[[#This Row],[Delta Jour]],"")&lt;0,"",IFERROR(IF(Str_TypeDonneesCpt4=Cpt_Index,Tab_Compteur_4[[#This Row],[Index]]-E198,Tab_Compteur_4[[#This Row],[Quantité]])/Tab_Compteur_4[[#This Row],[Delta Jour]],""))</f>
        <v/>
      </c>
      <c r="H199" s="177" t="str">
        <f>IFERROR(Tab_Compteur_4[[#This Row],[Montant]]/Tab_Compteur_4[[#This Row],[Delta Jour]],"")</f>
        <v/>
      </c>
      <c r="I199" s="184" t="str">
        <f>IF(SUM(Tab_Compteur_4[[#This Row],[Quantité]],Tab_Compteur_4[[#This Row],[Index]])&lt;=0,"",G199)</f>
        <v/>
      </c>
      <c r="J199" s="185"/>
      <c r="K199" s="36"/>
      <c r="L199" s="36"/>
      <c r="M199" s="36"/>
    </row>
    <row r="200" spans="1:13">
      <c r="A200" s="2">
        <f t="shared" si="7"/>
        <v>1</v>
      </c>
      <c r="B200" s="501"/>
      <c r="C200" s="178"/>
      <c r="D200" s="491"/>
      <c r="E200" s="515"/>
      <c r="F200" s="177">
        <f t="shared" si="6"/>
        <v>0</v>
      </c>
      <c r="G200" s="177" t="str">
        <f>IF(IFERROR(IF(Str_TypeDonneesCpt4=Cpt_Index,Tab_Compteur_4[[#This Row],[Index]]-E199,Tab_Compteur_4[[#This Row],[Quantité]])/Tab_Compteur_4[[#This Row],[Delta Jour]],"")&lt;0,"",IFERROR(IF(Str_TypeDonneesCpt4=Cpt_Index,Tab_Compteur_4[[#This Row],[Index]]-E199,Tab_Compteur_4[[#This Row],[Quantité]])/Tab_Compteur_4[[#This Row],[Delta Jour]],""))</f>
        <v/>
      </c>
      <c r="H200" s="177" t="str">
        <f>IFERROR(Tab_Compteur_4[[#This Row],[Montant]]/Tab_Compteur_4[[#This Row],[Delta Jour]],"")</f>
        <v/>
      </c>
      <c r="I200" s="184" t="str">
        <f>IF(SUM(Tab_Compteur_4[[#This Row],[Quantité]],Tab_Compteur_4[[#This Row],[Index]])&lt;=0,"",G200)</f>
        <v/>
      </c>
      <c r="J200" s="185"/>
      <c r="K200" s="36"/>
      <c r="L200" s="36"/>
      <c r="M200" s="36"/>
    </row>
    <row r="201" spans="1:13">
      <c r="A201" s="2">
        <f t="shared" si="7"/>
        <v>1</v>
      </c>
      <c r="B201" s="501"/>
      <c r="C201" s="178"/>
      <c r="D201" s="491"/>
      <c r="E201" s="515"/>
      <c r="F201" s="177">
        <f t="shared" si="6"/>
        <v>0</v>
      </c>
      <c r="G201" s="177" t="str">
        <f>IF(IFERROR(IF(Str_TypeDonneesCpt4=Cpt_Index,Tab_Compteur_4[[#This Row],[Index]]-E200,Tab_Compteur_4[[#This Row],[Quantité]])/Tab_Compteur_4[[#This Row],[Delta Jour]],"")&lt;0,"",IFERROR(IF(Str_TypeDonneesCpt4=Cpt_Index,Tab_Compteur_4[[#This Row],[Index]]-E200,Tab_Compteur_4[[#This Row],[Quantité]])/Tab_Compteur_4[[#This Row],[Delta Jour]],""))</f>
        <v/>
      </c>
      <c r="H201" s="177" t="str">
        <f>IFERROR(Tab_Compteur_4[[#This Row],[Montant]]/Tab_Compteur_4[[#This Row],[Delta Jour]],"")</f>
        <v/>
      </c>
      <c r="I201" s="184" t="str">
        <f>IF(SUM(Tab_Compteur_4[[#This Row],[Quantité]],Tab_Compteur_4[[#This Row],[Index]])&lt;=0,"",G201)</f>
        <v/>
      </c>
      <c r="J201" s="185"/>
      <c r="K201" s="36"/>
      <c r="L201" s="36"/>
      <c r="M201" s="36"/>
    </row>
    <row r="202" spans="1:13">
      <c r="A202" s="2">
        <f t="shared" si="7"/>
        <v>1</v>
      </c>
      <c r="B202" s="501"/>
      <c r="C202" s="178"/>
      <c r="D202" s="491"/>
      <c r="E202" s="515"/>
      <c r="F202" s="177">
        <f t="shared" si="6"/>
        <v>0</v>
      </c>
      <c r="G202" s="177" t="str">
        <f>IF(IFERROR(IF(Str_TypeDonneesCpt4=Cpt_Index,Tab_Compteur_4[[#This Row],[Index]]-E201,Tab_Compteur_4[[#This Row],[Quantité]])/Tab_Compteur_4[[#This Row],[Delta Jour]],"")&lt;0,"",IFERROR(IF(Str_TypeDonneesCpt4=Cpt_Index,Tab_Compteur_4[[#This Row],[Index]]-E201,Tab_Compteur_4[[#This Row],[Quantité]])/Tab_Compteur_4[[#This Row],[Delta Jour]],""))</f>
        <v/>
      </c>
      <c r="H202" s="177" t="str">
        <f>IFERROR(Tab_Compteur_4[[#This Row],[Montant]]/Tab_Compteur_4[[#This Row],[Delta Jour]],"")</f>
        <v/>
      </c>
      <c r="I202" s="184" t="str">
        <f>IF(SUM(Tab_Compteur_4[[#This Row],[Quantité]],Tab_Compteur_4[[#This Row],[Index]])&lt;=0,"",G202)</f>
        <v/>
      </c>
      <c r="J202" s="185"/>
      <c r="K202" s="36"/>
      <c r="L202" s="36"/>
      <c r="M202" s="36"/>
    </row>
    <row r="203" spans="1:13">
      <c r="A203" s="2">
        <f t="shared" si="7"/>
        <v>1</v>
      </c>
      <c r="B203" s="501"/>
      <c r="C203" s="178"/>
      <c r="D203" s="491"/>
      <c r="E203" s="515"/>
      <c r="F203" s="177">
        <f t="shared" si="6"/>
        <v>0</v>
      </c>
      <c r="G203" s="177" t="str">
        <f>IF(IFERROR(IF(Str_TypeDonneesCpt4=Cpt_Index,Tab_Compteur_4[[#This Row],[Index]]-E202,Tab_Compteur_4[[#This Row],[Quantité]])/Tab_Compteur_4[[#This Row],[Delta Jour]],"")&lt;0,"",IFERROR(IF(Str_TypeDonneesCpt4=Cpt_Index,Tab_Compteur_4[[#This Row],[Index]]-E202,Tab_Compteur_4[[#This Row],[Quantité]])/Tab_Compteur_4[[#This Row],[Delta Jour]],""))</f>
        <v/>
      </c>
      <c r="H203" s="177" t="str">
        <f>IFERROR(Tab_Compteur_4[[#This Row],[Montant]]/Tab_Compteur_4[[#This Row],[Delta Jour]],"")</f>
        <v/>
      </c>
      <c r="I203" s="184" t="str">
        <f>IF(SUM(Tab_Compteur_4[[#This Row],[Quantité]],Tab_Compteur_4[[#This Row],[Index]])&lt;=0,"",G203)</f>
        <v/>
      </c>
      <c r="J203" s="185"/>
      <c r="K203" s="36"/>
      <c r="L203" s="36"/>
      <c r="M203" s="36"/>
    </row>
    <row r="204" spans="1:13">
      <c r="A204" s="2">
        <f t="shared" si="7"/>
        <v>1</v>
      </c>
      <c r="B204" s="501"/>
      <c r="C204" s="178"/>
      <c r="D204" s="491"/>
      <c r="E204" s="515"/>
      <c r="F204" s="177">
        <f t="shared" si="6"/>
        <v>0</v>
      </c>
      <c r="G204" s="177" t="str">
        <f>IF(IFERROR(IF(Str_TypeDonneesCpt4=Cpt_Index,Tab_Compteur_4[[#This Row],[Index]]-E203,Tab_Compteur_4[[#This Row],[Quantité]])/Tab_Compteur_4[[#This Row],[Delta Jour]],"")&lt;0,"",IFERROR(IF(Str_TypeDonneesCpt4=Cpt_Index,Tab_Compteur_4[[#This Row],[Index]]-E203,Tab_Compteur_4[[#This Row],[Quantité]])/Tab_Compteur_4[[#This Row],[Delta Jour]],""))</f>
        <v/>
      </c>
      <c r="H204" s="177" t="str">
        <f>IFERROR(Tab_Compteur_4[[#This Row],[Montant]]/Tab_Compteur_4[[#This Row],[Delta Jour]],"")</f>
        <v/>
      </c>
      <c r="I204" s="184" t="str">
        <f>IF(SUM(Tab_Compteur_4[[#This Row],[Quantité]],Tab_Compteur_4[[#This Row],[Index]])&lt;=0,"",G204)</f>
        <v/>
      </c>
      <c r="J204" s="185"/>
      <c r="K204" s="36"/>
      <c r="L204" s="36"/>
      <c r="M204" s="36"/>
    </row>
    <row r="205" spans="1:13">
      <c r="A205" s="2">
        <f t="shared" si="7"/>
        <v>1</v>
      </c>
      <c r="B205" s="501"/>
      <c r="C205" s="178"/>
      <c r="D205" s="491"/>
      <c r="E205" s="515"/>
      <c r="F205" s="177">
        <f t="shared" si="6"/>
        <v>0</v>
      </c>
      <c r="G205" s="177" t="str">
        <f>IF(IFERROR(IF(Str_TypeDonneesCpt4=Cpt_Index,Tab_Compteur_4[[#This Row],[Index]]-E204,Tab_Compteur_4[[#This Row],[Quantité]])/Tab_Compteur_4[[#This Row],[Delta Jour]],"")&lt;0,"",IFERROR(IF(Str_TypeDonneesCpt4=Cpt_Index,Tab_Compteur_4[[#This Row],[Index]]-E204,Tab_Compteur_4[[#This Row],[Quantité]])/Tab_Compteur_4[[#This Row],[Delta Jour]],""))</f>
        <v/>
      </c>
      <c r="H205" s="177" t="str">
        <f>IFERROR(Tab_Compteur_4[[#This Row],[Montant]]/Tab_Compteur_4[[#This Row],[Delta Jour]],"")</f>
        <v/>
      </c>
      <c r="I205" s="184" t="str">
        <f>IF(SUM(Tab_Compteur_4[[#This Row],[Quantité]],Tab_Compteur_4[[#This Row],[Index]])&lt;=0,"",G205)</f>
        <v/>
      </c>
      <c r="J205" s="185"/>
      <c r="K205" s="36"/>
      <c r="L205" s="36"/>
      <c r="M205" s="36"/>
    </row>
    <row r="206" spans="1:13">
      <c r="A206" s="2">
        <f t="shared" si="7"/>
        <v>1</v>
      </c>
      <c r="B206" s="501"/>
      <c r="C206" s="178"/>
      <c r="D206" s="491"/>
      <c r="E206" s="515"/>
      <c r="F206" s="177">
        <f t="shared" si="6"/>
        <v>0</v>
      </c>
      <c r="G206" s="177" t="str">
        <f>IF(IFERROR(IF(Str_TypeDonneesCpt4=Cpt_Index,Tab_Compteur_4[[#This Row],[Index]]-E205,Tab_Compteur_4[[#This Row],[Quantité]])/Tab_Compteur_4[[#This Row],[Delta Jour]],"")&lt;0,"",IFERROR(IF(Str_TypeDonneesCpt4=Cpt_Index,Tab_Compteur_4[[#This Row],[Index]]-E205,Tab_Compteur_4[[#This Row],[Quantité]])/Tab_Compteur_4[[#This Row],[Delta Jour]],""))</f>
        <v/>
      </c>
      <c r="H206" s="177" t="str">
        <f>IFERROR(Tab_Compteur_4[[#This Row],[Montant]]/Tab_Compteur_4[[#This Row],[Delta Jour]],"")</f>
        <v/>
      </c>
      <c r="I206" s="184" t="str">
        <f>IF(SUM(Tab_Compteur_4[[#This Row],[Quantité]],Tab_Compteur_4[[#This Row],[Index]])&lt;=0,"",G206)</f>
        <v/>
      </c>
      <c r="J206" s="185"/>
      <c r="K206" s="36"/>
      <c r="L206" s="36"/>
      <c r="M206" s="36"/>
    </row>
    <row r="207" spans="1:13">
      <c r="A207" s="2">
        <f t="shared" si="7"/>
        <v>1</v>
      </c>
      <c r="B207" s="501"/>
      <c r="C207" s="178"/>
      <c r="D207" s="491"/>
      <c r="E207" s="515"/>
      <c r="F207" s="177">
        <f t="shared" si="6"/>
        <v>0</v>
      </c>
      <c r="G207" s="177" t="str">
        <f>IF(IFERROR(IF(Str_TypeDonneesCpt4=Cpt_Index,Tab_Compteur_4[[#This Row],[Index]]-E206,Tab_Compteur_4[[#This Row],[Quantité]])/Tab_Compteur_4[[#This Row],[Delta Jour]],"")&lt;0,"",IFERROR(IF(Str_TypeDonneesCpt4=Cpt_Index,Tab_Compteur_4[[#This Row],[Index]]-E206,Tab_Compteur_4[[#This Row],[Quantité]])/Tab_Compteur_4[[#This Row],[Delta Jour]],""))</f>
        <v/>
      </c>
      <c r="H207" s="177" t="str">
        <f>IFERROR(Tab_Compteur_4[[#This Row],[Montant]]/Tab_Compteur_4[[#This Row],[Delta Jour]],"")</f>
        <v/>
      </c>
      <c r="I207" s="184" t="str">
        <f>IF(SUM(Tab_Compteur_4[[#This Row],[Quantité]],Tab_Compteur_4[[#This Row],[Index]])&lt;=0,"",G207)</f>
        <v/>
      </c>
      <c r="J207" s="185"/>
      <c r="K207" s="36"/>
      <c r="L207" s="36"/>
      <c r="M207" s="36"/>
    </row>
    <row r="208" spans="1:13">
      <c r="A208" s="2">
        <f t="shared" si="7"/>
        <v>1</v>
      </c>
      <c r="B208" s="501"/>
      <c r="C208" s="178"/>
      <c r="D208" s="491"/>
      <c r="E208" s="515"/>
      <c r="F208" s="177">
        <f t="shared" si="6"/>
        <v>0</v>
      </c>
      <c r="G208" s="177" t="str">
        <f>IF(IFERROR(IF(Str_TypeDonneesCpt4=Cpt_Index,Tab_Compteur_4[[#This Row],[Index]]-E207,Tab_Compteur_4[[#This Row],[Quantité]])/Tab_Compteur_4[[#This Row],[Delta Jour]],"")&lt;0,"",IFERROR(IF(Str_TypeDonneesCpt4=Cpt_Index,Tab_Compteur_4[[#This Row],[Index]]-E207,Tab_Compteur_4[[#This Row],[Quantité]])/Tab_Compteur_4[[#This Row],[Delta Jour]],""))</f>
        <v/>
      </c>
      <c r="H208" s="177" t="str">
        <f>IFERROR(Tab_Compteur_4[[#This Row],[Montant]]/Tab_Compteur_4[[#This Row],[Delta Jour]],"")</f>
        <v/>
      </c>
      <c r="I208" s="184" t="str">
        <f>IF(SUM(Tab_Compteur_4[[#This Row],[Quantité]],Tab_Compteur_4[[#This Row],[Index]])&lt;=0,"",G208)</f>
        <v/>
      </c>
      <c r="J208" s="185"/>
      <c r="K208" s="36"/>
      <c r="L208" s="36"/>
      <c r="M208" s="36"/>
    </row>
    <row r="209" spans="1:13">
      <c r="A209" s="2">
        <f t="shared" si="7"/>
        <v>1</v>
      </c>
      <c r="B209" s="501"/>
      <c r="C209" s="178"/>
      <c r="D209" s="491"/>
      <c r="E209" s="515"/>
      <c r="F209" s="177">
        <f t="shared" si="6"/>
        <v>0</v>
      </c>
      <c r="G209" s="177" t="str">
        <f>IF(IFERROR(IF(Str_TypeDonneesCpt4=Cpt_Index,Tab_Compteur_4[[#This Row],[Index]]-E208,Tab_Compteur_4[[#This Row],[Quantité]])/Tab_Compteur_4[[#This Row],[Delta Jour]],"")&lt;0,"",IFERROR(IF(Str_TypeDonneesCpt4=Cpt_Index,Tab_Compteur_4[[#This Row],[Index]]-E208,Tab_Compteur_4[[#This Row],[Quantité]])/Tab_Compteur_4[[#This Row],[Delta Jour]],""))</f>
        <v/>
      </c>
      <c r="H209" s="177" t="str">
        <f>IFERROR(Tab_Compteur_4[[#This Row],[Montant]]/Tab_Compteur_4[[#This Row],[Delta Jour]],"")</f>
        <v/>
      </c>
      <c r="I209" s="184" t="str">
        <f>IF(SUM(Tab_Compteur_4[[#This Row],[Quantité]],Tab_Compteur_4[[#This Row],[Index]])&lt;=0,"",G209)</f>
        <v/>
      </c>
      <c r="J209" s="185"/>
      <c r="K209" s="36"/>
      <c r="L209" s="36"/>
      <c r="M209" s="36"/>
    </row>
    <row r="210" spans="1:13">
      <c r="A210" s="2">
        <f t="shared" si="7"/>
        <v>1</v>
      </c>
      <c r="B210" s="501"/>
      <c r="C210" s="178"/>
      <c r="D210" s="491"/>
      <c r="E210" s="515"/>
      <c r="F210" s="177">
        <f t="shared" si="6"/>
        <v>0</v>
      </c>
      <c r="G210" s="177" t="str">
        <f>IF(IFERROR(IF(Str_TypeDonneesCpt4=Cpt_Index,Tab_Compteur_4[[#This Row],[Index]]-E209,Tab_Compteur_4[[#This Row],[Quantité]])/Tab_Compteur_4[[#This Row],[Delta Jour]],"")&lt;0,"",IFERROR(IF(Str_TypeDonneesCpt4=Cpt_Index,Tab_Compteur_4[[#This Row],[Index]]-E209,Tab_Compteur_4[[#This Row],[Quantité]])/Tab_Compteur_4[[#This Row],[Delta Jour]],""))</f>
        <v/>
      </c>
      <c r="H210" s="177" t="str">
        <f>IFERROR(Tab_Compteur_4[[#This Row],[Montant]]/Tab_Compteur_4[[#This Row],[Delta Jour]],"")</f>
        <v/>
      </c>
      <c r="I210" s="184" t="str">
        <f>IF(SUM(Tab_Compteur_4[[#This Row],[Quantité]],Tab_Compteur_4[[#This Row],[Index]])&lt;=0,"",G210)</f>
        <v/>
      </c>
      <c r="J210" s="185"/>
      <c r="K210" s="36"/>
      <c r="L210" s="36"/>
      <c r="M210" s="36"/>
    </row>
    <row r="211" spans="1:13">
      <c r="A211" s="2">
        <f t="shared" si="7"/>
        <v>1</v>
      </c>
      <c r="B211" s="501"/>
      <c r="C211" s="178"/>
      <c r="D211" s="491"/>
      <c r="E211" s="515"/>
      <c r="F211" s="177">
        <f t="shared" si="6"/>
        <v>0</v>
      </c>
      <c r="G211" s="177" t="str">
        <f>IF(IFERROR(IF(Str_TypeDonneesCpt4=Cpt_Index,Tab_Compteur_4[[#This Row],[Index]]-E210,Tab_Compteur_4[[#This Row],[Quantité]])/Tab_Compteur_4[[#This Row],[Delta Jour]],"")&lt;0,"",IFERROR(IF(Str_TypeDonneesCpt4=Cpt_Index,Tab_Compteur_4[[#This Row],[Index]]-E210,Tab_Compteur_4[[#This Row],[Quantité]])/Tab_Compteur_4[[#This Row],[Delta Jour]],""))</f>
        <v/>
      </c>
      <c r="H211" s="177" t="str">
        <f>IFERROR(Tab_Compteur_4[[#This Row],[Montant]]/Tab_Compteur_4[[#This Row],[Delta Jour]],"")</f>
        <v/>
      </c>
      <c r="I211" s="184" t="str">
        <f>IF(SUM(Tab_Compteur_4[[#This Row],[Quantité]],Tab_Compteur_4[[#This Row],[Index]])&lt;=0,"",G211)</f>
        <v/>
      </c>
      <c r="J211" s="185"/>
      <c r="K211" s="36"/>
      <c r="L211" s="36"/>
      <c r="M211" s="36"/>
    </row>
    <row r="212" spans="1:13">
      <c r="A212" s="2">
        <f t="shared" si="7"/>
        <v>1</v>
      </c>
      <c r="B212" s="501"/>
      <c r="C212" s="178"/>
      <c r="D212" s="491"/>
      <c r="E212" s="515"/>
      <c r="F212" s="177">
        <f t="shared" si="6"/>
        <v>0</v>
      </c>
      <c r="G212" s="177" t="str">
        <f>IF(IFERROR(IF(Str_TypeDonneesCpt4=Cpt_Index,Tab_Compteur_4[[#This Row],[Index]]-E211,Tab_Compteur_4[[#This Row],[Quantité]])/Tab_Compteur_4[[#This Row],[Delta Jour]],"")&lt;0,"",IFERROR(IF(Str_TypeDonneesCpt4=Cpt_Index,Tab_Compteur_4[[#This Row],[Index]]-E211,Tab_Compteur_4[[#This Row],[Quantité]])/Tab_Compteur_4[[#This Row],[Delta Jour]],""))</f>
        <v/>
      </c>
      <c r="H212" s="177" t="str">
        <f>IFERROR(Tab_Compteur_4[[#This Row],[Montant]]/Tab_Compteur_4[[#This Row],[Delta Jour]],"")</f>
        <v/>
      </c>
      <c r="I212" s="184" t="str">
        <f>IF(SUM(Tab_Compteur_4[[#This Row],[Quantité]],Tab_Compteur_4[[#This Row],[Index]])&lt;=0,"",G212)</f>
        <v/>
      </c>
      <c r="J212" s="185"/>
      <c r="K212" s="36"/>
      <c r="L212" s="36"/>
      <c r="M212" s="36"/>
    </row>
    <row r="213" spans="1:13">
      <c r="A213" s="2">
        <f t="shared" si="7"/>
        <v>1</v>
      </c>
      <c r="B213" s="501"/>
      <c r="C213" s="178"/>
      <c r="D213" s="491"/>
      <c r="E213" s="515"/>
      <c r="F213" s="177">
        <f t="shared" si="6"/>
        <v>0</v>
      </c>
      <c r="G213" s="177" t="str">
        <f>IF(IFERROR(IF(Str_TypeDonneesCpt4=Cpt_Index,Tab_Compteur_4[[#This Row],[Index]]-E212,Tab_Compteur_4[[#This Row],[Quantité]])/Tab_Compteur_4[[#This Row],[Delta Jour]],"")&lt;0,"",IFERROR(IF(Str_TypeDonneesCpt4=Cpt_Index,Tab_Compteur_4[[#This Row],[Index]]-E212,Tab_Compteur_4[[#This Row],[Quantité]])/Tab_Compteur_4[[#This Row],[Delta Jour]],""))</f>
        <v/>
      </c>
      <c r="H213" s="177" t="str">
        <f>IFERROR(Tab_Compteur_4[[#This Row],[Montant]]/Tab_Compteur_4[[#This Row],[Delta Jour]],"")</f>
        <v/>
      </c>
      <c r="I213" s="184" t="str">
        <f>IF(SUM(Tab_Compteur_4[[#This Row],[Quantité]],Tab_Compteur_4[[#This Row],[Index]])&lt;=0,"",G213)</f>
        <v/>
      </c>
      <c r="J213" s="185"/>
      <c r="K213" s="36"/>
      <c r="L213" s="36"/>
      <c r="M213" s="36"/>
    </row>
    <row r="214" spans="1:13">
      <c r="A214" s="2">
        <f t="shared" si="7"/>
        <v>1</v>
      </c>
      <c r="B214" s="501"/>
      <c r="C214" s="178"/>
      <c r="D214" s="491"/>
      <c r="E214" s="515"/>
      <c r="F214" s="177">
        <f t="shared" si="6"/>
        <v>0</v>
      </c>
      <c r="G214" s="177" t="str">
        <f>IF(IFERROR(IF(Str_TypeDonneesCpt4=Cpt_Index,Tab_Compteur_4[[#This Row],[Index]]-E213,Tab_Compteur_4[[#This Row],[Quantité]])/Tab_Compteur_4[[#This Row],[Delta Jour]],"")&lt;0,"",IFERROR(IF(Str_TypeDonneesCpt4=Cpt_Index,Tab_Compteur_4[[#This Row],[Index]]-E213,Tab_Compteur_4[[#This Row],[Quantité]])/Tab_Compteur_4[[#This Row],[Delta Jour]],""))</f>
        <v/>
      </c>
      <c r="H214" s="177" t="str">
        <f>IFERROR(Tab_Compteur_4[[#This Row],[Montant]]/Tab_Compteur_4[[#This Row],[Delta Jour]],"")</f>
        <v/>
      </c>
      <c r="I214" s="184" t="str">
        <f>IF(SUM(Tab_Compteur_4[[#This Row],[Quantité]],Tab_Compteur_4[[#This Row],[Index]])&lt;=0,"",G214)</f>
        <v/>
      </c>
      <c r="J214" s="185"/>
      <c r="K214" s="36"/>
      <c r="L214" s="36"/>
      <c r="M214" s="36"/>
    </row>
    <row r="215" spans="1:13">
      <c r="A215" s="2">
        <f t="shared" si="7"/>
        <v>1</v>
      </c>
      <c r="B215" s="501"/>
      <c r="C215" s="178"/>
      <c r="D215" s="491"/>
      <c r="E215" s="515"/>
      <c r="F215" s="177">
        <f t="shared" si="6"/>
        <v>0</v>
      </c>
      <c r="G215" s="177" t="str">
        <f>IF(IFERROR(IF(Str_TypeDonneesCpt4=Cpt_Index,Tab_Compteur_4[[#This Row],[Index]]-E214,Tab_Compteur_4[[#This Row],[Quantité]])/Tab_Compteur_4[[#This Row],[Delta Jour]],"")&lt;0,"",IFERROR(IF(Str_TypeDonneesCpt4=Cpt_Index,Tab_Compteur_4[[#This Row],[Index]]-E214,Tab_Compteur_4[[#This Row],[Quantité]])/Tab_Compteur_4[[#This Row],[Delta Jour]],""))</f>
        <v/>
      </c>
      <c r="H215" s="177" t="str">
        <f>IFERROR(Tab_Compteur_4[[#This Row],[Montant]]/Tab_Compteur_4[[#This Row],[Delta Jour]],"")</f>
        <v/>
      </c>
      <c r="I215" s="184" t="str">
        <f>IF(SUM(Tab_Compteur_4[[#This Row],[Quantité]],Tab_Compteur_4[[#This Row],[Index]])&lt;=0,"",G215)</f>
        <v/>
      </c>
      <c r="J215" s="185"/>
      <c r="K215" s="36"/>
      <c r="L215" s="36"/>
      <c r="M215" s="36"/>
    </row>
    <row r="216" spans="1:13">
      <c r="A216" s="2">
        <f t="shared" si="7"/>
        <v>1</v>
      </c>
      <c r="B216" s="501"/>
      <c r="C216" s="178"/>
      <c r="D216" s="491"/>
      <c r="E216" s="515"/>
      <c r="F216" s="177">
        <f t="shared" si="6"/>
        <v>0</v>
      </c>
      <c r="G216" s="177" t="str">
        <f>IF(IFERROR(IF(Str_TypeDonneesCpt4=Cpt_Index,Tab_Compteur_4[[#This Row],[Index]]-E215,Tab_Compteur_4[[#This Row],[Quantité]])/Tab_Compteur_4[[#This Row],[Delta Jour]],"")&lt;0,"",IFERROR(IF(Str_TypeDonneesCpt4=Cpt_Index,Tab_Compteur_4[[#This Row],[Index]]-E215,Tab_Compteur_4[[#This Row],[Quantité]])/Tab_Compteur_4[[#This Row],[Delta Jour]],""))</f>
        <v/>
      </c>
      <c r="H216" s="177" t="str">
        <f>IFERROR(Tab_Compteur_4[[#This Row],[Montant]]/Tab_Compteur_4[[#This Row],[Delta Jour]],"")</f>
        <v/>
      </c>
      <c r="I216" s="184" t="str">
        <f>IF(SUM(Tab_Compteur_4[[#This Row],[Quantité]],Tab_Compteur_4[[#This Row],[Index]])&lt;=0,"",G216)</f>
        <v/>
      </c>
      <c r="J216" s="185"/>
      <c r="K216" s="36"/>
      <c r="L216" s="36"/>
      <c r="M216" s="36"/>
    </row>
    <row r="217" spans="1:13">
      <c r="A217" s="2">
        <f t="shared" si="7"/>
        <v>1</v>
      </c>
      <c r="B217" s="501"/>
      <c r="C217" s="178"/>
      <c r="D217" s="491"/>
      <c r="E217" s="515"/>
      <c r="F217" s="177">
        <f t="shared" si="6"/>
        <v>0</v>
      </c>
      <c r="G217" s="177" t="str">
        <f>IF(IFERROR(IF(Str_TypeDonneesCpt4=Cpt_Index,Tab_Compteur_4[[#This Row],[Index]]-E216,Tab_Compteur_4[[#This Row],[Quantité]])/Tab_Compteur_4[[#This Row],[Delta Jour]],"")&lt;0,"",IFERROR(IF(Str_TypeDonneesCpt4=Cpt_Index,Tab_Compteur_4[[#This Row],[Index]]-E216,Tab_Compteur_4[[#This Row],[Quantité]])/Tab_Compteur_4[[#This Row],[Delta Jour]],""))</f>
        <v/>
      </c>
      <c r="H217" s="177" t="str">
        <f>IFERROR(Tab_Compteur_4[[#This Row],[Montant]]/Tab_Compteur_4[[#This Row],[Delta Jour]],"")</f>
        <v/>
      </c>
      <c r="I217" s="184" t="str">
        <f>IF(SUM(Tab_Compteur_4[[#This Row],[Quantité]],Tab_Compteur_4[[#This Row],[Index]])&lt;=0,"",G217)</f>
        <v/>
      </c>
      <c r="J217" s="185"/>
      <c r="K217" s="36"/>
      <c r="L217" s="36"/>
      <c r="M217" s="36"/>
    </row>
    <row r="218" spans="1:13">
      <c r="A218" s="2">
        <f t="shared" si="7"/>
        <v>1</v>
      </c>
      <c r="B218" s="501"/>
      <c r="C218" s="178"/>
      <c r="D218" s="491"/>
      <c r="E218" s="515"/>
      <c r="F218" s="177">
        <f t="shared" si="6"/>
        <v>0</v>
      </c>
      <c r="G218" s="177" t="str">
        <f>IF(IFERROR(IF(Str_TypeDonneesCpt4=Cpt_Index,Tab_Compteur_4[[#This Row],[Index]]-E217,Tab_Compteur_4[[#This Row],[Quantité]])/Tab_Compteur_4[[#This Row],[Delta Jour]],"")&lt;0,"",IFERROR(IF(Str_TypeDonneesCpt4=Cpt_Index,Tab_Compteur_4[[#This Row],[Index]]-E217,Tab_Compteur_4[[#This Row],[Quantité]])/Tab_Compteur_4[[#This Row],[Delta Jour]],""))</f>
        <v/>
      </c>
      <c r="H218" s="177" t="str">
        <f>IFERROR(Tab_Compteur_4[[#This Row],[Montant]]/Tab_Compteur_4[[#This Row],[Delta Jour]],"")</f>
        <v/>
      </c>
      <c r="I218" s="184" t="str">
        <f>IF(SUM(Tab_Compteur_4[[#This Row],[Quantité]],Tab_Compteur_4[[#This Row],[Index]])&lt;=0,"",G218)</f>
        <v/>
      </c>
      <c r="J218" s="185"/>
      <c r="K218" s="36"/>
      <c r="L218" s="36"/>
      <c r="M218" s="36"/>
    </row>
    <row r="219" spans="1:13">
      <c r="A219" s="2">
        <f t="shared" si="7"/>
        <v>1</v>
      </c>
      <c r="B219" s="501"/>
      <c r="C219" s="178"/>
      <c r="D219" s="491"/>
      <c r="E219" s="515"/>
      <c r="F219" s="177">
        <f t="shared" si="6"/>
        <v>0</v>
      </c>
      <c r="G219" s="177" t="str">
        <f>IF(IFERROR(IF(Str_TypeDonneesCpt4=Cpt_Index,Tab_Compteur_4[[#This Row],[Index]]-E218,Tab_Compteur_4[[#This Row],[Quantité]])/Tab_Compteur_4[[#This Row],[Delta Jour]],"")&lt;0,"",IFERROR(IF(Str_TypeDonneesCpt4=Cpt_Index,Tab_Compteur_4[[#This Row],[Index]]-E218,Tab_Compteur_4[[#This Row],[Quantité]])/Tab_Compteur_4[[#This Row],[Delta Jour]],""))</f>
        <v/>
      </c>
      <c r="H219" s="177" t="str">
        <f>IFERROR(Tab_Compteur_4[[#This Row],[Montant]]/Tab_Compteur_4[[#This Row],[Delta Jour]],"")</f>
        <v/>
      </c>
      <c r="I219" s="184" t="str">
        <f>IF(SUM(Tab_Compteur_4[[#This Row],[Quantité]],Tab_Compteur_4[[#This Row],[Index]])&lt;=0,"",G219)</f>
        <v/>
      </c>
      <c r="J219" s="185"/>
      <c r="K219" s="36"/>
      <c r="L219" s="36"/>
      <c r="M219" s="36"/>
    </row>
    <row r="220" spans="1:13">
      <c r="A220" s="2">
        <f t="shared" si="7"/>
        <v>1</v>
      </c>
      <c r="B220" s="501"/>
      <c r="C220" s="178"/>
      <c r="D220" s="491"/>
      <c r="E220" s="515"/>
      <c r="F220" s="177">
        <f t="shared" si="6"/>
        <v>0</v>
      </c>
      <c r="G220" s="177" t="str">
        <f>IF(IFERROR(IF(Str_TypeDonneesCpt4=Cpt_Index,Tab_Compteur_4[[#This Row],[Index]]-E219,Tab_Compteur_4[[#This Row],[Quantité]])/Tab_Compteur_4[[#This Row],[Delta Jour]],"")&lt;0,"",IFERROR(IF(Str_TypeDonneesCpt4=Cpt_Index,Tab_Compteur_4[[#This Row],[Index]]-E219,Tab_Compteur_4[[#This Row],[Quantité]])/Tab_Compteur_4[[#This Row],[Delta Jour]],""))</f>
        <v/>
      </c>
      <c r="H220" s="177" t="str">
        <f>IFERROR(Tab_Compteur_4[[#This Row],[Montant]]/Tab_Compteur_4[[#This Row],[Delta Jour]],"")</f>
        <v/>
      </c>
      <c r="I220" s="184" t="str">
        <f>IF(SUM(Tab_Compteur_4[[#This Row],[Quantité]],Tab_Compteur_4[[#This Row],[Index]])&lt;=0,"",G220)</f>
        <v/>
      </c>
      <c r="J220" s="185"/>
      <c r="K220" s="36"/>
      <c r="L220" s="36"/>
      <c r="M220" s="36"/>
    </row>
    <row r="221" spans="1:13">
      <c r="A221" s="2">
        <f t="shared" si="7"/>
        <v>1</v>
      </c>
      <c r="B221" s="501"/>
      <c r="C221" s="178"/>
      <c r="D221" s="491"/>
      <c r="E221" s="515"/>
      <c r="F221" s="177">
        <f t="shared" si="6"/>
        <v>0</v>
      </c>
      <c r="G221" s="177" t="str">
        <f>IF(IFERROR(IF(Str_TypeDonneesCpt4=Cpt_Index,Tab_Compteur_4[[#This Row],[Index]]-E220,Tab_Compteur_4[[#This Row],[Quantité]])/Tab_Compteur_4[[#This Row],[Delta Jour]],"")&lt;0,"",IFERROR(IF(Str_TypeDonneesCpt4=Cpt_Index,Tab_Compteur_4[[#This Row],[Index]]-E220,Tab_Compteur_4[[#This Row],[Quantité]])/Tab_Compteur_4[[#This Row],[Delta Jour]],""))</f>
        <v/>
      </c>
      <c r="H221" s="177" t="str">
        <f>IFERROR(Tab_Compteur_4[[#This Row],[Montant]]/Tab_Compteur_4[[#This Row],[Delta Jour]],"")</f>
        <v/>
      </c>
      <c r="I221" s="184" t="str">
        <f>IF(SUM(Tab_Compteur_4[[#This Row],[Quantité]],Tab_Compteur_4[[#This Row],[Index]])&lt;=0,"",G221)</f>
        <v/>
      </c>
      <c r="J221" s="185"/>
      <c r="K221" s="36"/>
      <c r="L221" s="36"/>
      <c r="M221" s="36"/>
    </row>
    <row r="222" spans="1:13">
      <c r="A222" s="2">
        <f t="shared" si="7"/>
        <v>1</v>
      </c>
      <c r="B222" s="501"/>
      <c r="C222" s="178"/>
      <c r="D222" s="491"/>
      <c r="E222" s="515"/>
      <c r="F222" s="177">
        <f t="shared" si="6"/>
        <v>0</v>
      </c>
      <c r="G222" s="177" t="str">
        <f>IF(IFERROR(IF(Str_TypeDonneesCpt4=Cpt_Index,Tab_Compteur_4[[#This Row],[Index]]-E221,Tab_Compteur_4[[#This Row],[Quantité]])/Tab_Compteur_4[[#This Row],[Delta Jour]],"")&lt;0,"",IFERROR(IF(Str_TypeDonneesCpt4=Cpt_Index,Tab_Compteur_4[[#This Row],[Index]]-E221,Tab_Compteur_4[[#This Row],[Quantité]])/Tab_Compteur_4[[#This Row],[Delta Jour]],""))</f>
        <v/>
      </c>
      <c r="H222" s="177" t="str">
        <f>IFERROR(Tab_Compteur_4[[#This Row],[Montant]]/Tab_Compteur_4[[#This Row],[Delta Jour]],"")</f>
        <v/>
      </c>
      <c r="I222" s="184" t="str">
        <f>IF(SUM(Tab_Compteur_4[[#This Row],[Quantité]],Tab_Compteur_4[[#This Row],[Index]])&lt;=0,"",G222)</f>
        <v/>
      </c>
      <c r="J222" s="185"/>
      <c r="K222" s="36"/>
      <c r="L222" s="36"/>
      <c r="M222" s="36"/>
    </row>
    <row r="223" spans="1:13">
      <c r="A223" s="2">
        <f t="shared" si="7"/>
        <v>1</v>
      </c>
      <c r="B223" s="501"/>
      <c r="C223" s="178"/>
      <c r="D223" s="491"/>
      <c r="E223" s="515"/>
      <c r="F223" s="177">
        <f t="shared" si="6"/>
        <v>0</v>
      </c>
      <c r="G223" s="177" t="str">
        <f>IF(IFERROR(IF(Str_TypeDonneesCpt4=Cpt_Index,Tab_Compteur_4[[#This Row],[Index]]-E222,Tab_Compteur_4[[#This Row],[Quantité]])/Tab_Compteur_4[[#This Row],[Delta Jour]],"")&lt;0,"",IFERROR(IF(Str_TypeDonneesCpt4=Cpt_Index,Tab_Compteur_4[[#This Row],[Index]]-E222,Tab_Compteur_4[[#This Row],[Quantité]])/Tab_Compteur_4[[#This Row],[Delta Jour]],""))</f>
        <v/>
      </c>
      <c r="H223" s="177" t="str">
        <f>IFERROR(Tab_Compteur_4[[#This Row],[Montant]]/Tab_Compteur_4[[#This Row],[Delta Jour]],"")</f>
        <v/>
      </c>
      <c r="I223" s="184" t="str">
        <f>IF(SUM(Tab_Compteur_4[[#This Row],[Quantité]],Tab_Compteur_4[[#This Row],[Index]])&lt;=0,"",G223)</f>
        <v/>
      </c>
      <c r="J223" s="185"/>
      <c r="K223" s="36"/>
      <c r="L223" s="36"/>
      <c r="M223" s="36"/>
    </row>
    <row r="224" spans="1:13">
      <c r="A224" s="2">
        <f t="shared" si="7"/>
        <v>1</v>
      </c>
      <c r="B224" s="501"/>
      <c r="C224" s="178"/>
      <c r="D224" s="491"/>
      <c r="E224" s="515"/>
      <c r="F224" s="177">
        <f t="shared" si="6"/>
        <v>0</v>
      </c>
      <c r="G224" s="177" t="str">
        <f>IF(IFERROR(IF(Str_TypeDonneesCpt4=Cpt_Index,Tab_Compteur_4[[#This Row],[Index]]-E223,Tab_Compteur_4[[#This Row],[Quantité]])/Tab_Compteur_4[[#This Row],[Delta Jour]],"")&lt;0,"",IFERROR(IF(Str_TypeDonneesCpt4=Cpt_Index,Tab_Compteur_4[[#This Row],[Index]]-E223,Tab_Compteur_4[[#This Row],[Quantité]])/Tab_Compteur_4[[#This Row],[Delta Jour]],""))</f>
        <v/>
      </c>
      <c r="H224" s="177" t="str">
        <f>IFERROR(Tab_Compteur_4[[#This Row],[Montant]]/Tab_Compteur_4[[#This Row],[Delta Jour]],"")</f>
        <v/>
      </c>
      <c r="I224" s="184" t="str">
        <f>IF(SUM(Tab_Compteur_4[[#This Row],[Quantité]],Tab_Compteur_4[[#This Row],[Index]])&lt;=0,"",G224)</f>
        <v/>
      </c>
      <c r="J224" s="185"/>
      <c r="K224" s="36"/>
      <c r="L224" s="36"/>
      <c r="M224" s="36"/>
    </row>
    <row r="225" spans="1:13">
      <c r="A225" s="2">
        <f t="shared" si="7"/>
        <v>1</v>
      </c>
      <c r="B225" s="501"/>
      <c r="C225" s="178"/>
      <c r="D225" s="491"/>
      <c r="E225" s="515"/>
      <c r="F225" s="177">
        <f t="shared" si="6"/>
        <v>0</v>
      </c>
      <c r="G225" s="177" t="str">
        <f>IF(IFERROR(IF(Str_TypeDonneesCpt4=Cpt_Index,Tab_Compteur_4[[#This Row],[Index]]-E224,Tab_Compteur_4[[#This Row],[Quantité]])/Tab_Compteur_4[[#This Row],[Delta Jour]],"")&lt;0,"",IFERROR(IF(Str_TypeDonneesCpt4=Cpt_Index,Tab_Compteur_4[[#This Row],[Index]]-E224,Tab_Compteur_4[[#This Row],[Quantité]])/Tab_Compteur_4[[#This Row],[Delta Jour]],""))</f>
        <v/>
      </c>
      <c r="H225" s="177" t="str">
        <f>IFERROR(Tab_Compteur_4[[#This Row],[Montant]]/Tab_Compteur_4[[#This Row],[Delta Jour]],"")</f>
        <v/>
      </c>
      <c r="I225" s="184" t="str">
        <f>IF(SUM(Tab_Compteur_4[[#This Row],[Quantité]],Tab_Compteur_4[[#This Row],[Index]])&lt;=0,"",G225)</f>
        <v/>
      </c>
      <c r="J225" s="185"/>
      <c r="K225" s="36"/>
      <c r="L225" s="36"/>
      <c r="M225" s="36"/>
    </row>
    <row r="226" spans="1:13">
      <c r="A226" s="2">
        <f t="shared" si="7"/>
        <v>1</v>
      </c>
      <c r="B226" s="501"/>
      <c r="C226" s="178"/>
      <c r="D226" s="491"/>
      <c r="E226" s="515"/>
      <c r="F226" s="177">
        <f t="shared" si="6"/>
        <v>0</v>
      </c>
      <c r="G226" s="177" t="str">
        <f>IF(IFERROR(IF(Str_TypeDonneesCpt4=Cpt_Index,Tab_Compteur_4[[#This Row],[Index]]-E225,Tab_Compteur_4[[#This Row],[Quantité]])/Tab_Compteur_4[[#This Row],[Delta Jour]],"")&lt;0,"",IFERROR(IF(Str_TypeDonneesCpt4=Cpt_Index,Tab_Compteur_4[[#This Row],[Index]]-E225,Tab_Compteur_4[[#This Row],[Quantité]])/Tab_Compteur_4[[#This Row],[Delta Jour]],""))</f>
        <v/>
      </c>
      <c r="H226" s="177" t="str">
        <f>IFERROR(Tab_Compteur_4[[#This Row],[Montant]]/Tab_Compteur_4[[#This Row],[Delta Jour]],"")</f>
        <v/>
      </c>
      <c r="I226" s="184" t="str">
        <f>IF(SUM(Tab_Compteur_4[[#This Row],[Quantité]],Tab_Compteur_4[[#This Row],[Index]])&lt;=0,"",G226)</f>
        <v/>
      </c>
      <c r="J226" s="185"/>
      <c r="K226" s="36"/>
      <c r="L226" s="36"/>
      <c r="M226" s="36"/>
    </row>
    <row r="227" spans="1:13">
      <c r="A227" s="2">
        <f t="shared" si="7"/>
        <v>1</v>
      </c>
      <c r="B227" s="501"/>
      <c r="C227" s="178"/>
      <c r="D227" s="491"/>
      <c r="E227" s="515"/>
      <c r="F227" s="177">
        <f t="shared" si="6"/>
        <v>0</v>
      </c>
      <c r="G227" s="177" t="str">
        <f>IF(IFERROR(IF(Str_TypeDonneesCpt4=Cpt_Index,Tab_Compteur_4[[#This Row],[Index]]-E226,Tab_Compteur_4[[#This Row],[Quantité]])/Tab_Compteur_4[[#This Row],[Delta Jour]],"")&lt;0,"",IFERROR(IF(Str_TypeDonneesCpt4=Cpt_Index,Tab_Compteur_4[[#This Row],[Index]]-E226,Tab_Compteur_4[[#This Row],[Quantité]])/Tab_Compteur_4[[#This Row],[Delta Jour]],""))</f>
        <v/>
      </c>
      <c r="H227" s="177" t="str">
        <f>IFERROR(Tab_Compteur_4[[#This Row],[Montant]]/Tab_Compteur_4[[#This Row],[Delta Jour]],"")</f>
        <v/>
      </c>
      <c r="I227" s="184" t="str">
        <f>IF(SUM(Tab_Compteur_4[[#This Row],[Quantité]],Tab_Compteur_4[[#This Row],[Index]])&lt;=0,"",G227)</f>
        <v/>
      </c>
      <c r="J227" s="185"/>
      <c r="K227" s="36"/>
      <c r="L227" s="36"/>
      <c r="M227" s="36"/>
    </row>
    <row r="228" spans="1:13">
      <c r="A228" s="2">
        <f t="shared" si="7"/>
        <v>1</v>
      </c>
      <c r="B228" s="501"/>
      <c r="C228" s="178"/>
      <c r="D228" s="491"/>
      <c r="E228" s="515"/>
      <c r="F228" s="177">
        <f t="shared" si="6"/>
        <v>0</v>
      </c>
      <c r="G228" s="177" t="str">
        <f>IF(IFERROR(IF(Str_TypeDonneesCpt4=Cpt_Index,Tab_Compteur_4[[#This Row],[Index]]-E227,Tab_Compteur_4[[#This Row],[Quantité]])/Tab_Compteur_4[[#This Row],[Delta Jour]],"")&lt;0,"",IFERROR(IF(Str_TypeDonneesCpt4=Cpt_Index,Tab_Compteur_4[[#This Row],[Index]]-E227,Tab_Compteur_4[[#This Row],[Quantité]])/Tab_Compteur_4[[#This Row],[Delta Jour]],""))</f>
        <v/>
      </c>
      <c r="H228" s="177" t="str">
        <f>IFERROR(Tab_Compteur_4[[#This Row],[Montant]]/Tab_Compteur_4[[#This Row],[Delta Jour]],"")</f>
        <v/>
      </c>
      <c r="I228" s="184" t="str">
        <f>IF(SUM(Tab_Compteur_4[[#This Row],[Quantité]],Tab_Compteur_4[[#This Row],[Index]])&lt;=0,"",G228)</f>
        <v/>
      </c>
      <c r="J228" s="185"/>
      <c r="K228" s="36"/>
      <c r="L228" s="36"/>
      <c r="M228" s="36"/>
    </row>
    <row r="229" spans="1:13">
      <c r="A229" s="2">
        <f t="shared" si="7"/>
        <v>1</v>
      </c>
      <c r="B229" s="501"/>
      <c r="C229" s="178"/>
      <c r="D229" s="491"/>
      <c r="E229" s="515"/>
      <c r="F229" s="177">
        <f t="shared" si="6"/>
        <v>0</v>
      </c>
      <c r="G229" s="177" t="str">
        <f>IF(IFERROR(IF(Str_TypeDonneesCpt4=Cpt_Index,Tab_Compteur_4[[#This Row],[Index]]-E228,Tab_Compteur_4[[#This Row],[Quantité]])/Tab_Compteur_4[[#This Row],[Delta Jour]],"")&lt;0,"",IFERROR(IF(Str_TypeDonneesCpt4=Cpt_Index,Tab_Compteur_4[[#This Row],[Index]]-E228,Tab_Compteur_4[[#This Row],[Quantité]])/Tab_Compteur_4[[#This Row],[Delta Jour]],""))</f>
        <v/>
      </c>
      <c r="H229" s="177" t="str">
        <f>IFERROR(Tab_Compteur_4[[#This Row],[Montant]]/Tab_Compteur_4[[#This Row],[Delta Jour]],"")</f>
        <v/>
      </c>
      <c r="I229" s="184" t="str">
        <f>IF(SUM(Tab_Compteur_4[[#This Row],[Quantité]],Tab_Compteur_4[[#This Row],[Index]])&lt;=0,"",G229)</f>
        <v/>
      </c>
      <c r="J229" s="185"/>
      <c r="K229" s="36"/>
      <c r="L229" s="36"/>
      <c r="M229" s="36"/>
    </row>
    <row r="230" spans="1:13">
      <c r="A230" s="2">
        <f t="shared" si="7"/>
        <v>1</v>
      </c>
      <c r="B230" s="501"/>
      <c r="C230" s="178"/>
      <c r="D230" s="491"/>
      <c r="E230" s="515"/>
      <c r="F230" s="177">
        <f t="shared" si="6"/>
        <v>0</v>
      </c>
      <c r="G230" s="177" t="str">
        <f>IF(IFERROR(IF(Str_TypeDonneesCpt4=Cpt_Index,Tab_Compteur_4[[#This Row],[Index]]-E229,Tab_Compteur_4[[#This Row],[Quantité]])/Tab_Compteur_4[[#This Row],[Delta Jour]],"")&lt;0,"",IFERROR(IF(Str_TypeDonneesCpt4=Cpt_Index,Tab_Compteur_4[[#This Row],[Index]]-E229,Tab_Compteur_4[[#This Row],[Quantité]])/Tab_Compteur_4[[#This Row],[Delta Jour]],""))</f>
        <v/>
      </c>
      <c r="H230" s="177" t="str">
        <f>IFERROR(Tab_Compteur_4[[#This Row],[Montant]]/Tab_Compteur_4[[#This Row],[Delta Jour]],"")</f>
        <v/>
      </c>
      <c r="I230" s="184" t="str">
        <f>IF(SUM(Tab_Compteur_4[[#This Row],[Quantité]],Tab_Compteur_4[[#This Row],[Index]])&lt;=0,"",G230)</f>
        <v/>
      </c>
      <c r="J230" s="185"/>
      <c r="K230" s="36"/>
      <c r="L230" s="36"/>
      <c r="M230" s="36"/>
    </row>
    <row r="231" spans="1:13">
      <c r="A231" s="2">
        <f t="shared" si="7"/>
        <v>1</v>
      </c>
      <c r="B231" s="501"/>
      <c r="C231" s="178"/>
      <c r="D231" s="491"/>
      <c r="E231" s="515"/>
      <c r="F231" s="177">
        <f t="shared" si="6"/>
        <v>0</v>
      </c>
      <c r="G231" s="177" t="str">
        <f>IF(IFERROR(IF(Str_TypeDonneesCpt4=Cpt_Index,Tab_Compteur_4[[#This Row],[Index]]-E230,Tab_Compteur_4[[#This Row],[Quantité]])/Tab_Compteur_4[[#This Row],[Delta Jour]],"")&lt;0,"",IFERROR(IF(Str_TypeDonneesCpt4=Cpt_Index,Tab_Compteur_4[[#This Row],[Index]]-E230,Tab_Compteur_4[[#This Row],[Quantité]])/Tab_Compteur_4[[#This Row],[Delta Jour]],""))</f>
        <v/>
      </c>
      <c r="H231" s="177" t="str">
        <f>IFERROR(Tab_Compteur_4[[#This Row],[Montant]]/Tab_Compteur_4[[#This Row],[Delta Jour]],"")</f>
        <v/>
      </c>
      <c r="I231" s="184" t="str">
        <f>IF(SUM(Tab_Compteur_4[[#This Row],[Quantité]],Tab_Compteur_4[[#This Row],[Index]])&lt;=0,"",G231)</f>
        <v/>
      </c>
      <c r="J231" s="185"/>
      <c r="K231" s="36"/>
      <c r="L231" s="36"/>
      <c r="M231" s="36"/>
    </row>
    <row r="232" spans="1:13">
      <c r="A232" s="2">
        <f t="shared" si="7"/>
        <v>1</v>
      </c>
      <c r="B232" s="501"/>
      <c r="C232" s="178"/>
      <c r="D232" s="491"/>
      <c r="E232" s="515"/>
      <c r="F232" s="177">
        <f t="shared" si="6"/>
        <v>0</v>
      </c>
      <c r="G232" s="177" t="str">
        <f>IF(IFERROR(IF(Str_TypeDonneesCpt4=Cpt_Index,Tab_Compteur_4[[#This Row],[Index]]-E231,Tab_Compteur_4[[#This Row],[Quantité]])/Tab_Compteur_4[[#This Row],[Delta Jour]],"")&lt;0,"",IFERROR(IF(Str_TypeDonneesCpt4=Cpt_Index,Tab_Compteur_4[[#This Row],[Index]]-E231,Tab_Compteur_4[[#This Row],[Quantité]])/Tab_Compteur_4[[#This Row],[Delta Jour]],""))</f>
        <v/>
      </c>
      <c r="H232" s="177" t="str">
        <f>IFERROR(Tab_Compteur_4[[#This Row],[Montant]]/Tab_Compteur_4[[#This Row],[Delta Jour]],"")</f>
        <v/>
      </c>
      <c r="I232" s="184" t="str">
        <f>IF(SUM(Tab_Compteur_4[[#This Row],[Quantité]],Tab_Compteur_4[[#This Row],[Index]])&lt;=0,"",G232)</f>
        <v/>
      </c>
      <c r="J232" s="185"/>
      <c r="K232" s="36"/>
      <c r="L232" s="36"/>
      <c r="M232" s="36"/>
    </row>
    <row r="233" spans="1:13">
      <c r="A233" s="2">
        <f t="shared" si="7"/>
        <v>1</v>
      </c>
      <c r="B233" s="501"/>
      <c r="C233" s="178"/>
      <c r="D233" s="491"/>
      <c r="E233" s="515"/>
      <c r="F233" s="177">
        <f t="shared" si="6"/>
        <v>0</v>
      </c>
      <c r="G233" s="177" t="str">
        <f>IF(IFERROR(IF(Str_TypeDonneesCpt4=Cpt_Index,Tab_Compteur_4[[#This Row],[Index]]-E232,Tab_Compteur_4[[#This Row],[Quantité]])/Tab_Compteur_4[[#This Row],[Delta Jour]],"")&lt;0,"",IFERROR(IF(Str_TypeDonneesCpt4=Cpt_Index,Tab_Compteur_4[[#This Row],[Index]]-E232,Tab_Compteur_4[[#This Row],[Quantité]])/Tab_Compteur_4[[#This Row],[Delta Jour]],""))</f>
        <v/>
      </c>
      <c r="H233" s="177" t="str">
        <f>IFERROR(Tab_Compteur_4[[#This Row],[Montant]]/Tab_Compteur_4[[#This Row],[Delta Jour]],"")</f>
        <v/>
      </c>
      <c r="I233" s="184" t="str">
        <f>IF(SUM(Tab_Compteur_4[[#This Row],[Quantité]],Tab_Compteur_4[[#This Row],[Index]])&lt;=0,"",G233)</f>
        <v/>
      </c>
      <c r="J233" s="185"/>
      <c r="K233" s="36"/>
      <c r="L233" s="36"/>
      <c r="M233" s="36"/>
    </row>
    <row r="234" spans="1:13">
      <c r="A234" s="2">
        <f t="shared" si="7"/>
        <v>1</v>
      </c>
      <c r="B234" s="501"/>
      <c r="C234" s="178"/>
      <c r="D234" s="491"/>
      <c r="E234" s="515"/>
      <c r="F234" s="177">
        <f t="shared" si="6"/>
        <v>0</v>
      </c>
      <c r="G234" s="177" t="str">
        <f>IF(IFERROR(IF(Str_TypeDonneesCpt4=Cpt_Index,Tab_Compteur_4[[#This Row],[Index]]-E233,Tab_Compteur_4[[#This Row],[Quantité]])/Tab_Compteur_4[[#This Row],[Delta Jour]],"")&lt;0,"",IFERROR(IF(Str_TypeDonneesCpt4=Cpt_Index,Tab_Compteur_4[[#This Row],[Index]]-E233,Tab_Compteur_4[[#This Row],[Quantité]])/Tab_Compteur_4[[#This Row],[Delta Jour]],""))</f>
        <v/>
      </c>
      <c r="H234" s="177" t="str">
        <f>IFERROR(Tab_Compteur_4[[#This Row],[Montant]]/Tab_Compteur_4[[#This Row],[Delta Jour]],"")</f>
        <v/>
      </c>
      <c r="I234" s="184" t="str">
        <f>IF(SUM(Tab_Compteur_4[[#This Row],[Quantité]],Tab_Compteur_4[[#This Row],[Index]])&lt;=0,"",G234)</f>
        <v/>
      </c>
      <c r="J234" s="185"/>
      <c r="K234" s="36"/>
      <c r="L234" s="36"/>
      <c r="M234" s="36"/>
    </row>
    <row r="235" spans="1:13">
      <c r="A235" s="2">
        <f t="shared" si="7"/>
        <v>1</v>
      </c>
      <c r="B235" s="501"/>
      <c r="C235" s="178"/>
      <c r="D235" s="491"/>
      <c r="E235" s="515"/>
      <c r="F235" s="177">
        <f t="shared" si="6"/>
        <v>0</v>
      </c>
      <c r="G235" s="177" t="str">
        <f>IF(IFERROR(IF(Str_TypeDonneesCpt4=Cpt_Index,Tab_Compteur_4[[#This Row],[Index]]-E234,Tab_Compteur_4[[#This Row],[Quantité]])/Tab_Compteur_4[[#This Row],[Delta Jour]],"")&lt;0,"",IFERROR(IF(Str_TypeDonneesCpt4=Cpt_Index,Tab_Compteur_4[[#This Row],[Index]]-E234,Tab_Compteur_4[[#This Row],[Quantité]])/Tab_Compteur_4[[#This Row],[Delta Jour]],""))</f>
        <v/>
      </c>
      <c r="H235" s="177" t="str">
        <f>IFERROR(Tab_Compteur_4[[#This Row],[Montant]]/Tab_Compteur_4[[#This Row],[Delta Jour]],"")</f>
        <v/>
      </c>
      <c r="I235" s="184" t="str">
        <f>IF(SUM(Tab_Compteur_4[[#This Row],[Quantité]],Tab_Compteur_4[[#This Row],[Index]])&lt;=0,"",G235)</f>
        <v/>
      </c>
      <c r="J235" s="185"/>
      <c r="K235" s="36"/>
      <c r="L235" s="36"/>
      <c r="M235" s="36"/>
    </row>
    <row r="236" spans="1:13">
      <c r="A236" s="2">
        <f t="shared" si="7"/>
        <v>1</v>
      </c>
      <c r="B236" s="501"/>
      <c r="C236" s="178"/>
      <c r="D236" s="491"/>
      <c r="E236" s="515"/>
      <c r="F236" s="177">
        <f t="shared" si="6"/>
        <v>0</v>
      </c>
      <c r="G236" s="177" t="str">
        <f>IF(IFERROR(IF(Str_TypeDonneesCpt4=Cpt_Index,Tab_Compteur_4[[#This Row],[Index]]-E235,Tab_Compteur_4[[#This Row],[Quantité]])/Tab_Compteur_4[[#This Row],[Delta Jour]],"")&lt;0,"",IFERROR(IF(Str_TypeDonneesCpt4=Cpt_Index,Tab_Compteur_4[[#This Row],[Index]]-E235,Tab_Compteur_4[[#This Row],[Quantité]])/Tab_Compteur_4[[#This Row],[Delta Jour]],""))</f>
        <v/>
      </c>
      <c r="H236" s="177" t="str">
        <f>IFERROR(Tab_Compteur_4[[#This Row],[Montant]]/Tab_Compteur_4[[#This Row],[Delta Jour]],"")</f>
        <v/>
      </c>
      <c r="I236" s="184" t="str">
        <f>IF(SUM(Tab_Compteur_4[[#This Row],[Quantité]],Tab_Compteur_4[[#This Row],[Index]])&lt;=0,"",G236)</f>
        <v/>
      </c>
      <c r="J236" s="185"/>
      <c r="K236" s="36"/>
      <c r="L236" s="36"/>
      <c r="M236" s="36"/>
    </row>
    <row r="237" spans="1:13">
      <c r="A237" s="2">
        <f t="shared" si="7"/>
        <v>1</v>
      </c>
      <c r="B237" s="501"/>
      <c r="C237" s="178"/>
      <c r="D237" s="491"/>
      <c r="E237" s="515"/>
      <c r="F237" s="177">
        <f t="shared" si="6"/>
        <v>0</v>
      </c>
      <c r="G237" s="177" t="str">
        <f>IF(IFERROR(IF(Str_TypeDonneesCpt4=Cpt_Index,Tab_Compteur_4[[#This Row],[Index]]-E236,Tab_Compteur_4[[#This Row],[Quantité]])/Tab_Compteur_4[[#This Row],[Delta Jour]],"")&lt;0,"",IFERROR(IF(Str_TypeDonneesCpt4=Cpt_Index,Tab_Compteur_4[[#This Row],[Index]]-E236,Tab_Compteur_4[[#This Row],[Quantité]])/Tab_Compteur_4[[#This Row],[Delta Jour]],""))</f>
        <v/>
      </c>
      <c r="H237" s="177" t="str">
        <f>IFERROR(Tab_Compteur_4[[#This Row],[Montant]]/Tab_Compteur_4[[#This Row],[Delta Jour]],"")</f>
        <v/>
      </c>
      <c r="I237" s="184" t="str">
        <f>IF(SUM(Tab_Compteur_4[[#This Row],[Quantité]],Tab_Compteur_4[[#This Row],[Index]])&lt;=0,"",G237)</f>
        <v/>
      </c>
      <c r="J237" s="185"/>
      <c r="K237" s="36"/>
      <c r="L237" s="36"/>
      <c r="M237" s="36"/>
    </row>
    <row r="238" spans="1:13">
      <c r="A238" s="2">
        <f t="shared" si="7"/>
        <v>1</v>
      </c>
      <c r="B238" s="501"/>
      <c r="C238" s="178"/>
      <c r="D238" s="491"/>
      <c r="E238" s="515"/>
      <c r="F238" s="177">
        <f t="shared" si="6"/>
        <v>0</v>
      </c>
      <c r="G238" s="177" t="str">
        <f>IF(IFERROR(IF(Str_TypeDonneesCpt4=Cpt_Index,Tab_Compteur_4[[#This Row],[Index]]-E237,Tab_Compteur_4[[#This Row],[Quantité]])/Tab_Compteur_4[[#This Row],[Delta Jour]],"")&lt;0,"",IFERROR(IF(Str_TypeDonneesCpt4=Cpt_Index,Tab_Compteur_4[[#This Row],[Index]]-E237,Tab_Compteur_4[[#This Row],[Quantité]])/Tab_Compteur_4[[#This Row],[Delta Jour]],""))</f>
        <v/>
      </c>
      <c r="H238" s="177" t="str">
        <f>IFERROR(Tab_Compteur_4[[#This Row],[Montant]]/Tab_Compteur_4[[#This Row],[Delta Jour]],"")</f>
        <v/>
      </c>
      <c r="I238" s="184" t="str">
        <f>IF(SUM(Tab_Compteur_4[[#This Row],[Quantité]],Tab_Compteur_4[[#This Row],[Index]])&lt;=0,"",G238)</f>
        <v/>
      </c>
      <c r="J238" s="185"/>
      <c r="K238" s="36"/>
      <c r="L238" s="36"/>
      <c r="M238" s="36"/>
    </row>
    <row r="239" spans="1:13">
      <c r="A239" s="2">
        <f t="shared" si="7"/>
        <v>1</v>
      </c>
      <c r="B239" s="501"/>
      <c r="C239" s="178"/>
      <c r="D239" s="491"/>
      <c r="E239" s="515"/>
      <c r="F239" s="177">
        <f t="shared" si="6"/>
        <v>0</v>
      </c>
      <c r="G239" s="177" t="str">
        <f>IF(IFERROR(IF(Str_TypeDonneesCpt4=Cpt_Index,Tab_Compteur_4[[#This Row],[Index]]-E238,Tab_Compteur_4[[#This Row],[Quantité]])/Tab_Compteur_4[[#This Row],[Delta Jour]],"")&lt;0,"",IFERROR(IF(Str_TypeDonneesCpt4=Cpt_Index,Tab_Compteur_4[[#This Row],[Index]]-E238,Tab_Compteur_4[[#This Row],[Quantité]])/Tab_Compteur_4[[#This Row],[Delta Jour]],""))</f>
        <v/>
      </c>
      <c r="H239" s="177" t="str">
        <f>IFERROR(Tab_Compteur_4[[#This Row],[Montant]]/Tab_Compteur_4[[#This Row],[Delta Jour]],"")</f>
        <v/>
      </c>
      <c r="I239" s="184" t="str">
        <f>IF(SUM(Tab_Compteur_4[[#This Row],[Quantité]],Tab_Compteur_4[[#This Row],[Index]])&lt;=0,"",G239)</f>
        <v/>
      </c>
      <c r="J239" s="185"/>
      <c r="K239" s="36"/>
      <c r="L239" s="36"/>
      <c r="M239" s="36"/>
    </row>
    <row r="240" spans="1:13">
      <c r="A240" s="2">
        <f t="shared" si="7"/>
        <v>1</v>
      </c>
      <c r="B240" s="501"/>
      <c r="C240" s="178"/>
      <c r="D240" s="491"/>
      <c r="E240" s="515"/>
      <c r="F240" s="177">
        <f t="shared" si="6"/>
        <v>0</v>
      </c>
      <c r="G240" s="177" t="str">
        <f>IF(IFERROR(IF(Str_TypeDonneesCpt4=Cpt_Index,Tab_Compteur_4[[#This Row],[Index]]-E239,Tab_Compteur_4[[#This Row],[Quantité]])/Tab_Compteur_4[[#This Row],[Delta Jour]],"")&lt;0,"",IFERROR(IF(Str_TypeDonneesCpt4=Cpt_Index,Tab_Compteur_4[[#This Row],[Index]]-E239,Tab_Compteur_4[[#This Row],[Quantité]])/Tab_Compteur_4[[#This Row],[Delta Jour]],""))</f>
        <v/>
      </c>
      <c r="H240" s="177" t="str">
        <f>IFERROR(Tab_Compteur_4[[#This Row],[Montant]]/Tab_Compteur_4[[#This Row],[Delta Jour]],"")</f>
        <v/>
      </c>
      <c r="I240" s="184" t="str">
        <f>IF(SUM(Tab_Compteur_4[[#This Row],[Quantité]],Tab_Compteur_4[[#This Row],[Index]])&lt;=0,"",G240)</f>
        <v/>
      </c>
      <c r="J240" s="185"/>
      <c r="K240" s="36"/>
      <c r="L240" s="36"/>
      <c r="M240" s="36"/>
    </row>
    <row r="241" spans="1:13">
      <c r="A241" s="2">
        <f t="shared" si="7"/>
        <v>1</v>
      </c>
      <c r="B241" s="501"/>
      <c r="C241" s="178"/>
      <c r="D241" s="491"/>
      <c r="E241" s="515"/>
      <c r="F241" s="177">
        <f t="shared" si="6"/>
        <v>0</v>
      </c>
      <c r="G241" s="177" t="str">
        <f>IF(IFERROR(IF(Str_TypeDonneesCpt4=Cpt_Index,Tab_Compteur_4[[#This Row],[Index]]-E240,Tab_Compteur_4[[#This Row],[Quantité]])/Tab_Compteur_4[[#This Row],[Delta Jour]],"")&lt;0,"",IFERROR(IF(Str_TypeDonneesCpt4=Cpt_Index,Tab_Compteur_4[[#This Row],[Index]]-E240,Tab_Compteur_4[[#This Row],[Quantité]])/Tab_Compteur_4[[#This Row],[Delta Jour]],""))</f>
        <v/>
      </c>
      <c r="H241" s="177" t="str">
        <f>IFERROR(Tab_Compteur_4[[#This Row],[Montant]]/Tab_Compteur_4[[#This Row],[Delta Jour]],"")</f>
        <v/>
      </c>
      <c r="I241" s="184" t="str">
        <f>IF(SUM(Tab_Compteur_4[[#This Row],[Quantité]],Tab_Compteur_4[[#This Row],[Index]])&lt;=0,"",G241)</f>
        <v/>
      </c>
      <c r="J241" s="185"/>
      <c r="K241" s="36"/>
      <c r="L241" s="36"/>
      <c r="M241" s="36"/>
    </row>
    <row r="242" spans="1:13">
      <c r="A242" s="2">
        <f t="shared" si="7"/>
        <v>1</v>
      </c>
      <c r="B242" s="501"/>
      <c r="C242" s="178"/>
      <c r="D242" s="491"/>
      <c r="E242" s="515"/>
      <c r="F242" s="177">
        <f t="shared" si="6"/>
        <v>0</v>
      </c>
      <c r="G242" s="177" t="str">
        <f>IF(IFERROR(IF(Str_TypeDonneesCpt4=Cpt_Index,Tab_Compteur_4[[#This Row],[Index]]-E241,Tab_Compteur_4[[#This Row],[Quantité]])/Tab_Compteur_4[[#This Row],[Delta Jour]],"")&lt;0,"",IFERROR(IF(Str_TypeDonneesCpt4=Cpt_Index,Tab_Compteur_4[[#This Row],[Index]]-E241,Tab_Compteur_4[[#This Row],[Quantité]])/Tab_Compteur_4[[#This Row],[Delta Jour]],""))</f>
        <v/>
      </c>
      <c r="H242" s="177" t="str">
        <f>IFERROR(Tab_Compteur_4[[#This Row],[Montant]]/Tab_Compteur_4[[#This Row],[Delta Jour]],"")</f>
        <v/>
      </c>
      <c r="I242" s="184" t="str">
        <f>IF(SUM(Tab_Compteur_4[[#This Row],[Quantité]],Tab_Compteur_4[[#This Row],[Index]])&lt;=0,"",G242)</f>
        <v/>
      </c>
      <c r="J242" s="185"/>
      <c r="K242" s="36"/>
      <c r="L242" s="36"/>
      <c r="M242" s="36"/>
    </row>
    <row r="243" spans="1:13">
      <c r="A243" s="2">
        <f t="shared" si="7"/>
        <v>1</v>
      </c>
      <c r="B243" s="501"/>
      <c r="C243" s="178"/>
      <c r="D243" s="491"/>
      <c r="E243" s="515"/>
      <c r="F243" s="177">
        <f t="shared" si="6"/>
        <v>0</v>
      </c>
      <c r="G243" s="177" t="str">
        <f>IF(IFERROR(IF(Str_TypeDonneesCpt4=Cpt_Index,Tab_Compteur_4[[#This Row],[Index]]-E242,Tab_Compteur_4[[#This Row],[Quantité]])/Tab_Compteur_4[[#This Row],[Delta Jour]],"")&lt;0,"",IFERROR(IF(Str_TypeDonneesCpt4=Cpt_Index,Tab_Compteur_4[[#This Row],[Index]]-E242,Tab_Compteur_4[[#This Row],[Quantité]])/Tab_Compteur_4[[#This Row],[Delta Jour]],""))</f>
        <v/>
      </c>
      <c r="H243" s="177" t="str">
        <f>IFERROR(Tab_Compteur_4[[#This Row],[Montant]]/Tab_Compteur_4[[#This Row],[Delta Jour]],"")</f>
        <v/>
      </c>
      <c r="I243" s="184" t="str">
        <f>IF(SUM(Tab_Compteur_4[[#This Row],[Quantité]],Tab_Compteur_4[[#This Row],[Index]])&lt;=0,"",G243)</f>
        <v/>
      </c>
      <c r="J243" s="185"/>
      <c r="K243" s="36"/>
      <c r="L243" s="36"/>
      <c r="M243" s="36"/>
    </row>
  </sheetData>
  <sheetProtection selectLockedCells="1"/>
  <protectedRanges>
    <protectedRange sqref="C6:D18 A4:D5 A6:B243" name="Données_compteur4_1"/>
    <protectedRange sqref="C19:D59" name="Donnée_compteur1"/>
    <protectedRange sqref="L2:M2 J34:M243 K5:M7 J8:M10 J2:J7 K3:M3 C60:D243 K244:N1048576" name="Données_compteur4"/>
    <protectedRange sqref="J11:M33" name="Données_compteur3_3_1"/>
    <protectedRange sqref="E2" name="Compteur_1_1"/>
    <protectedRange sqref="I2" name="Compteur_1_1_1"/>
    <protectedRange sqref="K4:L4" name="Compteur_1"/>
    <protectedRange sqref="L1 E1 I1" name="Compteur_1_2"/>
  </protectedRanges>
  <mergeCells count="2">
    <mergeCell ref="L2:M2"/>
    <mergeCell ref="K11:M33"/>
  </mergeCells>
  <conditionalFormatting sqref="B15:B243">
    <cfRule type="expression" dxfId="80" priority="3">
      <formula>$B15&lt;$A15</formula>
    </cfRule>
  </conditionalFormatting>
  <conditionalFormatting sqref="B5:B14">
    <cfRule type="expression" dxfId="79" priority="2">
      <formula>$B5&lt;$A5</formula>
    </cfRule>
  </conditionalFormatting>
  <conditionalFormatting sqref="B4">
    <cfRule type="expression" dxfId="78" priority="1">
      <formula>$B4&lt;$A4</formula>
    </cfRule>
  </conditionalFormatting>
  <pageMargins left="0.7" right="0.7" top="0.75" bottom="0.75" header="0.3" footer="0.3"/>
  <pageSetup paperSize="9" orientation="portrait" r:id="rId1"/>
  <drawing r:id="rId2"/>
  <legacyDrawing r:id="rId3"/>
  <tableParts count="1">
    <tablePart r:id="rId4"/>
  </tablePart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8"/>
  <dimension ref="A1:O243"/>
  <sheetViews>
    <sheetView workbookViewId="0">
      <pane ySplit="3" topLeftCell="A4" activePane="bottomLeft" state="frozen"/>
      <selection pane="bottomLeft" activeCell="B4" sqref="B4"/>
    </sheetView>
  </sheetViews>
  <sheetFormatPr baseColWidth="10" defaultColWidth="0" defaultRowHeight="14.5" zeroHeight="1"/>
  <cols>
    <col min="1" max="1" width="15.26953125" customWidth="1"/>
    <col min="2" max="2" width="19.36328125" style="177" customWidth="1"/>
    <col min="3" max="3" width="13.81640625" customWidth="1"/>
    <col min="4" max="4" width="15.36328125" style="492" customWidth="1"/>
    <col min="5" max="5" width="11.36328125" customWidth="1"/>
    <col min="6" max="8" width="11.36328125" hidden="1" customWidth="1"/>
    <col min="9" max="9" width="10.81640625" customWidth="1"/>
    <col min="10" max="10" width="13.7265625" style="184" customWidth="1"/>
    <col min="11" max="11" width="21.7265625" customWidth="1"/>
    <col min="12" max="13" width="11.36328125" customWidth="1"/>
    <col min="14" max="14" width="21.7265625" customWidth="1"/>
    <col min="15" max="15" width="0" hidden="1" customWidth="1"/>
    <col min="16" max="16384" width="11.36328125" hidden="1"/>
  </cols>
  <sheetData>
    <row r="1" spans="1:13" ht="34.15" customHeight="1">
      <c r="A1" s="55" t="s">
        <v>393</v>
      </c>
      <c r="B1" s="199" t="s">
        <v>394</v>
      </c>
      <c r="C1" s="122" t="s">
        <v>395</v>
      </c>
      <c r="D1" s="510" t="str">
        <f>CONCATENATE("Montant ",Controle_des_données!$A$40)</f>
        <v>Montant 0</v>
      </c>
      <c r="E1" s="28" t="s">
        <v>214</v>
      </c>
      <c r="F1" s="27" t="s">
        <v>396</v>
      </c>
      <c r="G1" s="28" t="s">
        <v>397</v>
      </c>
      <c r="H1" s="28" t="s">
        <v>398</v>
      </c>
      <c r="I1" s="28" t="s">
        <v>399</v>
      </c>
      <c r="J1" s="172" t="s">
        <v>400</v>
      </c>
      <c r="K1" s="164" t="s">
        <v>19</v>
      </c>
      <c r="L1" s="170" t="str">
        <f>IF(Site!C42="", "Compteur 5",Site!C42)</f>
        <v>Compteur 5</v>
      </c>
    </row>
    <row r="2" spans="1:13" ht="20.25" hidden="1" customHeight="1">
      <c r="A2" s="55" t="s">
        <v>393</v>
      </c>
      <c r="B2" s="204" t="s">
        <v>394</v>
      </c>
      <c r="C2" s="56" t="s">
        <v>395</v>
      </c>
      <c r="D2" s="489" t="s">
        <v>428</v>
      </c>
      <c r="E2" s="28" t="s">
        <v>214</v>
      </c>
      <c r="F2" s="27" t="s">
        <v>396</v>
      </c>
      <c r="G2" s="28" t="s">
        <v>397</v>
      </c>
      <c r="H2" s="28" t="s">
        <v>398</v>
      </c>
      <c r="I2" s="184" t="s">
        <v>399</v>
      </c>
      <c r="J2" s="28" t="s">
        <v>400</v>
      </c>
      <c r="K2" s="164"/>
      <c r="L2" s="824"/>
      <c r="M2" s="825"/>
    </row>
    <row r="3" spans="1:13" hidden="1">
      <c r="A3" s="2"/>
      <c r="B3" s="203">
        <f>A4-1</f>
        <v>-1</v>
      </c>
      <c r="C3" s="54">
        <v>0</v>
      </c>
      <c r="D3" s="492">
        <v>0</v>
      </c>
      <c r="F3">
        <f t="shared" ref="F3:F66" si="0">IFERROR(B3-A3+1,"")</f>
        <v>0</v>
      </c>
      <c r="G3">
        <v>0</v>
      </c>
      <c r="H3">
        <v>0</v>
      </c>
      <c r="I3" s="184" t="str">
        <f>IF(SUM(Tab_Compteur_5[[#This Row],[Quantité]],Tab_Compteur_5[[#This Row],[Index]])&lt;=0,"",G3)</f>
        <v/>
      </c>
      <c r="J3" s="36"/>
      <c r="K3" s="36"/>
      <c r="L3" s="36"/>
      <c r="M3" s="36"/>
    </row>
    <row r="4" spans="1:13">
      <c r="A4" s="2">
        <f>Site!I42</f>
        <v>0</v>
      </c>
      <c r="B4" s="501"/>
      <c r="C4" s="503"/>
      <c r="D4" s="491"/>
      <c r="E4" s="502"/>
      <c r="F4" s="177">
        <f t="shared" si="0"/>
        <v>1</v>
      </c>
      <c r="G4" s="177">
        <f>IF(IFERROR(IF(Str_TypeDonneesCpt5=Cpt_Index,Tab_Compteur_5[[#This Row],[Index]]-L4,Tab_Compteur_5[[#This Row],[Quantité]])/Tab_Compteur_5[[#This Row],[Delta Jour]],"")&lt;0,"",IFERROR(IF(Str_TypeDonneesCpt5=Cpt_Index,Tab_Compteur_5[[#This Row],[Index]]-L4,Tab_Compteur_5[[#This Row],[Quantité]])/Tab_Compteur_5[[#This Row],[Delta Jour]],""))</f>
        <v>0</v>
      </c>
      <c r="H4" s="177">
        <f>IFERROR(Tab_Compteur_5[[#This Row],[Montant]]/Tab_Compteur_5[[#This Row],[Delta Jour]],"")</f>
        <v>0</v>
      </c>
      <c r="I4" s="184" t="str">
        <f>IF(SUM(Tab_Compteur_5[[#This Row],[Quantité]],Tab_Compteur_5[[#This Row],[Index]])&lt;=0,"",G4)</f>
        <v/>
      </c>
      <c r="J4" s="185"/>
      <c r="K4" s="192" t="s">
        <v>401</v>
      </c>
      <c r="L4" s="444">
        <v>0</v>
      </c>
    </row>
    <row r="5" spans="1:13">
      <c r="A5" s="2">
        <f>IFERROR(B4+1,0)</f>
        <v>1</v>
      </c>
      <c r="B5" s="501"/>
      <c r="C5" s="503"/>
      <c r="D5" s="491"/>
      <c r="E5" s="502"/>
      <c r="F5" s="177">
        <f t="shared" si="0"/>
        <v>0</v>
      </c>
      <c r="G5" s="177" t="str">
        <f>IF(IFERROR(IF(Str_TypeDonneesCpt5=Cpt_Index,Tab_Compteur_5[[#This Row],[Index]]-E4,Tab_Compteur_5[[#This Row],[Quantité]])/Tab_Compteur_5[[#This Row],[Delta Jour]],"")&lt;0,"",IFERROR(IF(Str_TypeDonneesCpt5=Cpt_Index,Tab_Compteur_5[[#This Row],[Index]]-E4,Tab_Compteur_5[[#This Row],[Quantité]])/Tab_Compteur_5[[#This Row],[Delta Jour]],""))</f>
        <v/>
      </c>
      <c r="H5" s="177" t="str">
        <f>IFERROR(Tab_Compteur_5[[#This Row],[Montant]]/Tab_Compteur_5[[#This Row],[Delta Jour]],"")</f>
        <v/>
      </c>
      <c r="I5" s="184" t="str">
        <f>IF(SUM(Tab_Compteur_5[[#This Row],[Quantité]],Tab_Compteur_5[[#This Row],[Index]])&lt;=0,"",G5)</f>
        <v/>
      </c>
      <c r="J5" s="185"/>
      <c r="K5" s="36"/>
      <c r="L5" s="36"/>
      <c r="M5" s="36"/>
    </row>
    <row r="6" spans="1:13">
      <c r="A6" s="2">
        <f t="shared" ref="A6:A69" si="1">IFERROR(B5+1,0)</f>
        <v>1</v>
      </c>
      <c r="B6" s="501"/>
      <c r="C6" s="503"/>
      <c r="D6" s="491"/>
      <c r="E6" s="502"/>
      <c r="F6" s="177">
        <f t="shared" si="0"/>
        <v>0</v>
      </c>
      <c r="G6" s="177" t="str">
        <f>IF(IFERROR(IF(Str_TypeDonneesCpt5=Cpt_Index,Tab_Compteur_5[[#This Row],[Index]]-E5,Tab_Compteur_5[[#This Row],[Quantité]])/Tab_Compteur_5[[#This Row],[Delta Jour]],"")&lt;0,"",IFERROR(IF(Str_TypeDonneesCpt5=Cpt_Index,Tab_Compteur_5[[#This Row],[Index]]-E5,Tab_Compteur_5[[#This Row],[Quantité]])/Tab_Compteur_5[[#This Row],[Delta Jour]],""))</f>
        <v/>
      </c>
      <c r="H6" s="177" t="str">
        <f>IFERROR(Tab_Compteur_5[[#This Row],[Montant]]/Tab_Compteur_5[[#This Row],[Delta Jour]],"")</f>
        <v/>
      </c>
      <c r="I6" s="184" t="str">
        <f>IF(SUM(Tab_Compteur_5[[#This Row],[Quantité]],Tab_Compteur_5[[#This Row],[Index]])&lt;=0,"",G6)</f>
        <v/>
      </c>
      <c r="J6" s="185"/>
      <c r="K6" s="36"/>
      <c r="L6" s="36"/>
      <c r="M6" s="36"/>
    </row>
    <row r="7" spans="1:13">
      <c r="A7" s="2">
        <f t="shared" si="1"/>
        <v>1</v>
      </c>
      <c r="B7" s="501"/>
      <c r="C7" s="503"/>
      <c r="D7" s="491"/>
      <c r="E7" s="502"/>
      <c r="F7" s="177">
        <f t="shared" si="0"/>
        <v>0</v>
      </c>
      <c r="G7" s="177" t="str">
        <f>IF(IFERROR(IF(Str_TypeDonneesCpt5=Cpt_Index,Tab_Compteur_5[[#This Row],[Index]]-E6,Tab_Compteur_5[[#This Row],[Quantité]])/Tab_Compteur_5[[#This Row],[Delta Jour]],"")&lt;0,"",IFERROR(IF(Str_TypeDonneesCpt5=Cpt_Index,Tab_Compteur_5[[#This Row],[Index]]-E6,Tab_Compteur_5[[#This Row],[Quantité]])/Tab_Compteur_5[[#This Row],[Delta Jour]],""))</f>
        <v/>
      </c>
      <c r="H7" s="177" t="str">
        <f>IFERROR(Tab_Compteur_5[[#This Row],[Montant]]/Tab_Compteur_5[[#This Row],[Delta Jour]],"")</f>
        <v/>
      </c>
      <c r="I7" s="184" t="str">
        <f>IF(SUM(Tab_Compteur_5[[#This Row],[Quantité]],Tab_Compteur_5[[#This Row],[Index]])&lt;=0,"",G7)</f>
        <v/>
      </c>
      <c r="J7" s="185"/>
      <c r="K7" s="36"/>
      <c r="L7" s="36"/>
      <c r="M7" s="36"/>
    </row>
    <row r="8" spans="1:13">
      <c r="A8" s="2">
        <f t="shared" si="1"/>
        <v>1</v>
      </c>
      <c r="B8" s="501"/>
      <c r="C8" s="503"/>
      <c r="D8" s="491"/>
      <c r="E8" s="502"/>
      <c r="F8" s="177">
        <f t="shared" si="0"/>
        <v>0</v>
      </c>
      <c r="G8" s="177" t="str">
        <f>IF(IFERROR(IF(Str_TypeDonneesCpt5=Cpt_Index,Tab_Compteur_5[[#This Row],[Index]]-E7,Tab_Compteur_5[[#This Row],[Quantité]])/Tab_Compteur_5[[#This Row],[Delta Jour]],"")&lt;0,"",IFERROR(IF(Str_TypeDonneesCpt5=Cpt_Index,Tab_Compteur_5[[#This Row],[Index]]-E7,Tab_Compteur_5[[#This Row],[Quantité]])/Tab_Compteur_5[[#This Row],[Delta Jour]],""))</f>
        <v/>
      </c>
      <c r="H8" s="177" t="str">
        <f>IFERROR(Tab_Compteur_5[[#This Row],[Montant]]/Tab_Compteur_5[[#This Row],[Delta Jour]],"")</f>
        <v/>
      </c>
      <c r="I8" s="184" t="str">
        <f>IF(SUM(Tab_Compteur_5[[#This Row],[Quantité]],Tab_Compteur_5[[#This Row],[Index]])&lt;=0,"",G8)</f>
        <v/>
      </c>
      <c r="J8" s="185"/>
      <c r="K8" s="36"/>
      <c r="L8" s="36"/>
      <c r="M8" s="36"/>
    </row>
    <row r="9" spans="1:13">
      <c r="A9" s="2">
        <f t="shared" si="1"/>
        <v>1</v>
      </c>
      <c r="B9" s="501"/>
      <c r="C9" s="503"/>
      <c r="D9" s="491"/>
      <c r="E9" s="502"/>
      <c r="F9" s="177">
        <f t="shared" si="0"/>
        <v>0</v>
      </c>
      <c r="G9" s="177" t="str">
        <f>IF(IFERROR(IF(Str_TypeDonneesCpt5=Cpt_Index,Tab_Compteur_5[[#This Row],[Index]]-E8,Tab_Compteur_5[[#This Row],[Quantité]])/Tab_Compteur_5[[#This Row],[Delta Jour]],"")&lt;0,"",IFERROR(IF(Str_TypeDonneesCpt5=Cpt_Index,Tab_Compteur_5[[#This Row],[Index]]-E8,Tab_Compteur_5[[#This Row],[Quantité]])/Tab_Compteur_5[[#This Row],[Delta Jour]],""))</f>
        <v/>
      </c>
      <c r="H9" s="177" t="str">
        <f>IFERROR(Tab_Compteur_5[[#This Row],[Montant]]/Tab_Compteur_5[[#This Row],[Delta Jour]],"")</f>
        <v/>
      </c>
      <c r="I9" s="184" t="str">
        <f>IF(SUM(Tab_Compteur_5[[#This Row],[Quantité]],Tab_Compteur_5[[#This Row],[Index]])&lt;=0,"",G9)</f>
        <v/>
      </c>
      <c r="J9" s="185"/>
      <c r="K9" s="165"/>
      <c r="L9" s="165"/>
      <c r="M9" s="165"/>
    </row>
    <row r="10" spans="1:13">
      <c r="A10" s="2">
        <f t="shared" si="1"/>
        <v>1</v>
      </c>
      <c r="B10" s="501"/>
      <c r="C10" s="503"/>
      <c r="D10" s="491"/>
      <c r="E10" s="502"/>
      <c r="F10" s="177">
        <f t="shared" si="0"/>
        <v>0</v>
      </c>
      <c r="G10" s="177" t="str">
        <f>IF(IFERROR(IF(Str_TypeDonneesCpt5=Cpt_Index,Tab_Compteur_5[[#This Row],[Index]]-E9,Tab_Compteur_5[[#This Row],[Quantité]])/Tab_Compteur_5[[#This Row],[Delta Jour]],"")&lt;0,"",IFERROR(IF(Str_TypeDonneesCpt5=Cpt_Index,Tab_Compteur_5[[#This Row],[Index]]-E9,Tab_Compteur_5[[#This Row],[Quantité]])/Tab_Compteur_5[[#This Row],[Delta Jour]],""))</f>
        <v/>
      </c>
      <c r="H10" s="177" t="str">
        <f>IFERROR(Tab_Compteur_5[[#This Row],[Montant]]/Tab_Compteur_5[[#This Row],[Delta Jour]],"")</f>
        <v/>
      </c>
      <c r="I10" s="184" t="str">
        <f>IF(SUM(Tab_Compteur_5[[#This Row],[Quantité]],Tab_Compteur_5[[#This Row],[Index]])&lt;=0,"",G10)</f>
        <v/>
      </c>
      <c r="J10" s="185"/>
      <c r="K10" s="165"/>
      <c r="L10" s="165"/>
      <c r="M10" s="165"/>
    </row>
    <row r="11" spans="1:13">
      <c r="A11" s="2">
        <f t="shared" si="1"/>
        <v>1</v>
      </c>
      <c r="B11" s="501"/>
      <c r="C11" s="503"/>
      <c r="D11" s="491"/>
      <c r="E11" s="502"/>
      <c r="F11" s="177">
        <f t="shared" si="0"/>
        <v>0</v>
      </c>
      <c r="G11" s="177" t="str">
        <f>IF(IFERROR(IF(Str_TypeDonneesCpt5=Cpt_Index,Tab_Compteur_5[[#This Row],[Index]]-E10,Tab_Compteur_5[[#This Row],[Quantité]])/Tab_Compteur_5[[#This Row],[Delta Jour]],"")&lt;0,"",IFERROR(IF(Str_TypeDonneesCpt5=Cpt_Index,Tab_Compteur_5[[#This Row],[Index]]-E10,Tab_Compteur_5[[#This Row],[Quantité]])/Tab_Compteur_5[[#This Row],[Delta Jour]],""))</f>
        <v/>
      </c>
      <c r="H11" s="177" t="str">
        <f>IFERROR(Tab_Compteur_5[[#This Row],[Montant]]/Tab_Compteur_5[[#This Row],[Delta Jour]],"")</f>
        <v/>
      </c>
      <c r="I11" s="184" t="str">
        <f>IF(SUM(Tab_Compteur_5[[#This Row],[Quantité]],Tab_Compteur_5[[#This Row],[Index]])&lt;=0,"",G11)</f>
        <v/>
      </c>
      <c r="J11" s="185"/>
      <c r="K11" s="823" t="str">
        <f>Compteur_1!$K$34</f>
        <v>Pour le bon fonctionnement des calculs, il est nécessaire de respecter l'ordre chonologique des données 
Dans le cas des consommations, la quantité doit correspondre à l'unité indiquée dans "Site". Pour les données de production l'unité par défaut est le kWh et pour l'eau, le m3.  
Dans le cas d'un manque de donnée sur une période donnée, indiquez les dates de début et de fin de cette période en laissant les cellules de Quantité et Montant vide
En cas de multiples factures/livraisons pour un même mois, merci d'additionner les quantités et les montants et de mettre la dernière date. 
Une fois toutes vos données de comptage complétées, Cliquez sur le bouton "Actualiser tout" la barre d'outils "Données" ou avec  le raccourcis clavier Ctrl+alt+F5</v>
      </c>
      <c r="L11" s="823"/>
      <c r="M11" s="823"/>
    </row>
    <row r="12" spans="1:13">
      <c r="A12" s="2">
        <f t="shared" si="1"/>
        <v>1</v>
      </c>
      <c r="B12" s="501"/>
      <c r="C12" s="503"/>
      <c r="D12" s="491"/>
      <c r="E12" s="502"/>
      <c r="F12" s="177">
        <f t="shared" si="0"/>
        <v>0</v>
      </c>
      <c r="G12" s="177" t="str">
        <f>IF(IFERROR(IF(Str_TypeDonneesCpt5=Cpt_Index,Tab_Compteur_5[[#This Row],[Index]]-E11,Tab_Compteur_5[[#This Row],[Quantité]])/Tab_Compteur_5[[#This Row],[Delta Jour]],"")&lt;0,"",IFERROR(IF(Str_TypeDonneesCpt5=Cpt_Index,Tab_Compteur_5[[#This Row],[Index]]-E11,Tab_Compteur_5[[#This Row],[Quantité]])/Tab_Compteur_5[[#This Row],[Delta Jour]],""))</f>
        <v/>
      </c>
      <c r="H12" s="177" t="str">
        <f>IFERROR(Tab_Compteur_5[[#This Row],[Montant]]/Tab_Compteur_5[[#This Row],[Delta Jour]],"")</f>
        <v/>
      </c>
      <c r="I12" s="184" t="str">
        <f>IF(SUM(Tab_Compteur_5[[#This Row],[Quantité]],Tab_Compteur_5[[#This Row],[Index]])&lt;=0,"",G12)</f>
        <v/>
      </c>
      <c r="J12" s="185"/>
      <c r="K12" s="823"/>
      <c r="L12" s="823"/>
      <c r="M12" s="823"/>
    </row>
    <row r="13" spans="1:13">
      <c r="A13" s="2">
        <f t="shared" si="1"/>
        <v>1</v>
      </c>
      <c r="B13" s="501"/>
      <c r="C13" s="503"/>
      <c r="D13" s="491"/>
      <c r="E13" s="502"/>
      <c r="F13" s="177">
        <f t="shared" si="0"/>
        <v>0</v>
      </c>
      <c r="G13" s="177" t="str">
        <f>IF(IFERROR(IF(Str_TypeDonneesCpt5=Cpt_Index,Tab_Compteur_5[[#This Row],[Index]]-E12,Tab_Compteur_5[[#This Row],[Quantité]])/Tab_Compteur_5[[#This Row],[Delta Jour]],"")&lt;0,"",IFERROR(IF(Str_TypeDonneesCpt5=Cpt_Index,Tab_Compteur_5[[#This Row],[Index]]-E12,Tab_Compteur_5[[#This Row],[Quantité]])/Tab_Compteur_5[[#This Row],[Delta Jour]],""))</f>
        <v/>
      </c>
      <c r="H13" s="177" t="str">
        <f>IFERROR(Tab_Compteur_5[[#This Row],[Montant]]/Tab_Compteur_5[[#This Row],[Delta Jour]],"")</f>
        <v/>
      </c>
      <c r="I13" s="184" t="str">
        <f>IF(SUM(Tab_Compteur_5[[#This Row],[Quantité]],Tab_Compteur_5[[#This Row],[Index]])&lt;=0,"",G13)</f>
        <v/>
      </c>
      <c r="J13" s="185"/>
      <c r="K13" s="823"/>
      <c r="L13" s="823"/>
      <c r="M13" s="823"/>
    </row>
    <row r="14" spans="1:13">
      <c r="A14" s="2">
        <f t="shared" si="1"/>
        <v>1</v>
      </c>
      <c r="B14" s="501"/>
      <c r="C14" s="503"/>
      <c r="D14" s="491"/>
      <c r="E14" s="502"/>
      <c r="F14" s="177">
        <f t="shared" si="0"/>
        <v>0</v>
      </c>
      <c r="G14" s="177" t="str">
        <f>IF(IFERROR(IF(Str_TypeDonneesCpt5=Cpt_Index,Tab_Compteur_5[[#This Row],[Index]]-E13,Tab_Compteur_5[[#This Row],[Quantité]])/Tab_Compteur_5[[#This Row],[Delta Jour]],"")&lt;0,"",IFERROR(IF(Str_TypeDonneesCpt5=Cpt_Index,Tab_Compteur_5[[#This Row],[Index]]-E13,Tab_Compteur_5[[#This Row],[Quantité]])/Tab_Compteur_5[[#This Row],[Delta Jour]],""))</f>
        <v/>
      </c>
      <c r="H14" s="177" t="str">
        <f>IFERROR(Tab_Compteur_5[[#This Row],[Montant]]/Tab_Compteur_5[[#This Row],[Delta Jour]],"")</f>
        <v/>
      </c>
      <c r="I14" s="184" t="str">
        <f>IF(SUM(Tab_Compteur_5[[#This Row],[Quantité]],Tab_Compteur_5[[#This Row],[Index]])&lt;=0,"",G14)</f>
        <v/>
      </c>
      <c r="J14" s="185"/>
      <c r="K14" s="823"/>
      <c r="L14" s="823"/>
      <c r="M14" s="823"/>
    </row>
    <row r="15" spans="1:13">
      <c r="A15" s="2">
        <f t="shared" si="1"/>
        <v>1</v>
      </c>
      <c r="B15" s="501"/>
      <c r="C15" s="503"/>
      <c r="D15" s="491"/>
      <c r="E15" s="502"/>
      <c r="F15" s="177">
        <f t="shared" si="0"/>
        <v>0</v>
      </c>
      <c r="G15" s="177" t="str">
        <f>IF(IFERROR(IF(Str_TypeDonneesCpt5=Cpt_Index,Tab_Compteur_5[[#This Row],[Index]]-E14,Tab_Compteur_5[[#This Row],[Quantité]])/Tab_Compteur_5[[#This Row],[Delta Jour]],"")&lt;0,"",IFERROR(IF(Str_TypeDonneesCpt5=Cpt_Index,Tab_Compteur_5[[#This Row],[Index]]-E14,Tab_Compteur_5[[#This Row],[Quantité]])/Tab_Compteur_5[[#This Row],[Delta Jour]],""))</f>
        <v/>
      </c>
      <c r="H15" s="177" t="str">
        <f>IFERROR(Tab_Compteur_5[[#This Row],[Montant]]/Tab_Compteur_5[[#This Row],[Delta Jour]],"")</f>
        <v/>
      </c>
      <c r="I15" s="184" t="str">
        <f>IF(SUM(Tab_Compteur_5[[#This Row],[Quantité]],Tab_Compteur_5[[#This Row],[Index]])&lt;=0,"",G15)</f>
        <v/>
      </c>
      <c r="J15" s="185"/>
      <c r="K15" s="823"/>
      <c r="L15" s="823"/>
      <c r="M15" s="823"/>
    </row>
    <row r="16" spans="1:13">
      <c r="A16" s="2">
        <f t="shared" si="1"/>
        <v>1</v>
      </c>
      <c r="B16" s="501"/>
      <c r="C16" s="503"/>
      <c r="D16" s="491"/>
      <c r="E16" s="502"/>
      <c r="F16" s="177">
        <f t="shared" si="0"/>
        <v>0</v>
      </c>
      <c r="G16" s="177" t="str">
        <f>IF(IFERROR(IF(Str_TypeDonneesCpt5=Cpt_Index,Tab_Compteur_5[[#This Row],[Index]]-E15,Tab_Compteur_5[[#This Row],[Quantité]])/Tab_Compteur_5[[#This Row],[Delta Jour]],"")&lt;0,"",IFERROR(IF(Str_TypeDonneesCpt5=Cpt_Index,Tab_Compteur_5[[#This Row],[Index]]-E15,Tab_Compteur_5[[#This Row],[Quantité]])/Tab_Compteur_5[[#This Row],[Delta Jour]],""))</f>
        <v/>
      </c>
      <c r="H16" s="177" t="str">
        <f>IFERROR(Tab_Compteur_5[[#This Row],[Montant]]/Tab_Compteur_5[[#This Row],[Delta Jour]],"")</f>
        <v/>
      </c>
      <c r="I16" s="184" t="str">
        <f>IF(SUM(Tab_Compteur_5[[#This Row],[Quantité]],Tab_Compteur_5[[#This Row],[Index]])&lt;=0,"",G16)</f>
        <v/>
      </c>
      <c r="J16" s="185"/>
      <c r="K16" s="823"/>
      <c r="L16" s="823"/>
      <c r="M16" s="823"/>
    </row>
    <row r="17" spans="1:13">
      <c r="A17" s="2">
        <f t="shared" si="1"/>
        <v>1</v>
      </c>
      <c r="B17" s="501"/>
      <c r="C17" s="503"/>
      <c r="D17" s="491"/>
      <c r="E17" s="502"/>
      <c r="F17" s="177">
        <f t="shared" si="0"/>
        <v>0</v>
      </c>
      <c r="G17" s="177" t="str">
        <f>IF(IFERROR(IF(Str_TypeDonneesCpt5=Cpt_Index,Tab_Compteur_5[[#This Row],[Index]]-E16,Tab_Compteur_5[[#This Row],[Quantité]])/Tab_Compteur_5[[#This Row],[Delta Jour]],"")&lt;0,"",IFERROR(IF(Str_TypeDonneesCpt5=Cpt_Index,Tab_Compteur_5[[#This Row],[Index]]-E16,Tab_Compteur_5[[#This Row],[Quantité]])/Tab_Compteur_5[[#This Row],[Delta Jour]],""))</f>
        <v/>
      </c>
      <c r="H17" s="177" t="str">
        <f>IFERROR(Tab_Compteur_5[[#This Row],[Montant]]/Tab_Compteur_5[[#This Row],[Delta Jour]],"")</f>
        <v/>
      </c>
      <c r="I17" s="184" t="str">
        <f>IF(SUM(Tab_Compteur_5[[#This Row],[Quantité]],Tab_Compteur_5[[#This Row],[Index]])&lt;=0,"",G17)</f>
        <v/>
      </c>
      <c r="J17" s="185"/>
      <c r="K17" s="823"/>
      <c r="L17" s="823"/>
      <c r="M17" s="823"/>
    </row>
    <row r="18" spans="1:13">
      <c r="A18" s="2">
        <f t="shared" si="1"/>
        <v>1</v>
      </c>
      <c r="B18" s="501"/>
      <c r="C18" s="178"/>
      <c r="D18" s="491"/>
      <c r="E18" s="502"/>
      <c r="F18" s="177">
        <f t="shared" si="0"/>
        <v>0</v>
      </c>
      <c r="G18" s="177" t="str">
        <f>IF(IFERROR(IF(Str_TypeDonneesCpt5=Cpt_Index,Tab_Compteur_5[[#This Row],[Index]]-E17,Tab_Compteur_5[[#This Row],[Quantité]])/Tab_Compteur_5[[#This Row],[Delta Jour]],"")&lt;0,"",IFERROR(IF(Str_TypeDonneesCpt5=Cpt_Index,Tab_Compteur_5[[#This Row],[Index]]-E17,Tab_Compteur_5[[#This Row],[Quantité]])/Tab_Compteur_5[[#This Row],[Delta Jour]],""))</f>
        <v/>
      </c>
      <c r="H18" s="177" t="str">
        <f>IFERROR(Tab_Compteur_5[[#This Row],[Montant]]/Tab_Compteur_5[[#This Row],[Delta Jour]],"")</f>
        <v/>
      </c>
      <c r="I18" s="184" t="str">
        <f>IF(SUM(Tab_Compteur_5[[#This Row],[Quantité]],Tab_Compteur_5[[#This Row],[Index]])&lt;=0,"",G18)</f>
        <v/>
      </c>
      <c r="J18" s="185"/>
      <c r="K18" s="823"/>
      <c r="L18" s="823"/>
      <c r="M18" s="823"/>
    </row>
    <row r="19" spans="1:13">
      <c r="A19" s="2">
        <f t="shared" si="1"/>
        <v>1</v>
      </c>
      <c r="B19" s="501"/>
      <c r="C19" s="179"/>
      <c r="D19" s="495"/>
      <c r="E19" s="502"/>
      <c r="F19" s="177">
        <f t="shared" si="0"/>
        <v>0</v>
      </c>
      <c r="G19" s="177" t="str">
        <f>IF(IFERROR(IF(Str_TypeDonneesCpt5=Cpt_Index,Tab_Compteur_5[[#This Row],[Index]]-E18,Tab_Compteur_5[[#This Row],[Quantité]])/Tab_Compteur_5[[#This Row],[Delta Jour]],"")&lt;0,"",IFERROR(IF(Str_TypeDonneesCpt5=Cpt_Index,Tab_Compteur_5[[#This Row],[Index]]-E18,Tab_Compteur_5[[#This Row],[Quantité]])/Tab_Compteur_5[[#This Row],[Delta Jour]],""))</f>
        <v/>
      </c>
      <c r="H19" s="177" t="str">
        <f>IFERROR(Tab_Compteur_5[[#This Row],[Montant]]/Tab_Compteur_5[[#This Row],[Delta Jour]],"")</f>
        <v/>
      </c>
      <c r="I19" s="184" t="str">
        <f>IF(SUM(Tab_Compteur_5[[#This Row],[Quantité]],Tab_Compteur_5[[#This Row],[Index]])&lt;=0,"",G19)</f>
        <v/>
      </c>
      <c r="J19" s="185"/>
      <c r="K19" s="823"/>
      <c r="L19" s="823"/>
      <c r="M19" s="823"/>
    </row>
    <row r="20" spans="1:13">
      <c r="A20" s="2">
        <f t="shared" si="1"/>
        <v>1</v>
      </c>
      <c r="B20" s="501"/>
      <c r="C20" s="180"/>
      <c r="D20" s="495"/>
      <c r="E20" s="502"/>
      <c r="F20" s="177">
        <f t="shared" si="0"/>
        <v>0</v>
      </c>
      <c r="G20" s="177" t="str">
        <f>IF(IFERROR(IF(Str_TypeDonneesCpt5=Cpt_Index,Tab_Compteur_5[[#This Row],[Index]]-E19,Tab_Compteur_5[[#This Row],[Quantité]])/Tab_Compteur_5[[#This Row],[Delta Jour]],"")&lt;0,"",IFERROR(IF(Str_TypeDonneesCpt5=Cpt_Index,Tab_Compteur_5[[#This Row],[Index]]-E19,Tab_Compteur_5[[#This Row],[Quantité]])/Tab_Compteur_5[[#This Row],[Delta Jour]],""))</f>
        <v/>
      </c>
      <c r="H20" s="177" t="str">
        <f>IFERROR(Tab_Compteur_5[[#This Row],[Montant]]/Tab_Compteur_5[[#This Row],[Delta Jour]],"")</f>
        <v/>
      </c>
      <c r="I20" s="184" t="str">
        <f>IF(SUM(Tab_Compteur_5[[#This Row],[Quantité]],Tab_Compteur_5[[#This Row],[Index]])&lt;=0,"",G20)</f>
        <v/>
      </c>
      <c r="J20" s="185"/>
      <c r="K20" s="823"/>
      <c r="L20" s="823"/>
      <c r="M20" s="823"/>
    </row>
    <row r="21" spans="1:13">
      <c r="A21" s="2">
        <f t="shared" si="1"/>
        <v>1</v>
      </c>
      <c r="B21" s="501"/>
      <c r="C21" s="180"/>
      <c r="D21" s="495"/>
      <c r="E21" s="502"/>
      <c r="F21" s="177">
        <f t="shared" si="0"/>
        <v>0</v>
      </c>
      <c r="G21" s="177" t="str">
        <f>IF(IFERROR(IF(Str_TypeDonneesCpt5=Cpt_Index,Tab_Compteur_5[[#This Row],[Index]]-E20,Tab_Compteur_5[[#This Row],[Quantité]])/Tab_Compteur_5[[#This Row],[Delta Jour]],"")&lt;0,"",IFERROR(IF(Str_TypeDonneesCpt5=Cpt_Index,Tab_Compteur_5[[#This Row],[Index]]-E20,Tab_Compteur_5[[#This Row],[Quantité]])/Tab_Compteur_5[[#This Row],[Delta Jour]],""))</f>
        <v/>
      </c>
      <c r="H21" s="177" t="str">
        <f>IFERROR(Tab_Compteur_5[[#This Row],[Montant]]/Tab_Compteur_5[[#This Row],[Delta Jour]],"")</f>
        <v/>
      </c>
      <c r="I21" s="184" t="str">
        <f>IF(SUM(Tab_Compteur_5[[#This Row],[Quantité]],Tab_Compteur_5[[#This Row],[Index]])&lt;=0,"",G21)</f>
        <v/>
      </c>
      <c r="J21" s="185"/>
      <c r="K21" s="823"/>
      <c r="L21" s="823"/>
      <c r="M21" s="823"/>
    </row>
    <row r="22" spans="1:13">
      <c r="A22" s="2">
        <f t="shared" si="1"/>
        <v>1</v>
      </c>
      <c r="B22" s="501"/>
      <c r="C22" s="180"/>
      <c r="D22" s="495"/>
      <c r="E22" s="502"/>
      <c r="F22" s="177">
        <f t="shared" si="0"/>
        <v>0</v>
      </c>
      <c r="G22" s="177" t="str">
        <f>IF(IFERROR(IF(Str_TypeDonneesCpt5=Cpt_Index,Tab_Compteur_5[[#This Row],[Index]]-E21,Tab_Compteur_5[[#This Row],[Quantité]])/Tab_Compteur_5[[#This Row],[Delta Jour]],"")&lt;0,"",IFERROR(IF(Str_TypeDonneesCpt5=Cpt_Index,Tab_Compteur_5[[#This Row],[Index]]-E21,Tab_Compteur_5[[#This Row],[Quantité]])/Tab_Compteur_5[[#This Row],[Delta Jour]],""))</f>
        <v/>
      </c>
      <c r="H22" s="177" t="str">
        <f>IFERROR(Tab_Compteur_5[[#This Row],[Montant]]/Tab_Compteur_5[[#This Row],[Delta Jour]],"")</f>
        <v/>
      </c>
      <c r="I22" s="184" t="str">
        <f>IF(SUM(Tab_Compteur_5[[#This Row],[Quantité]],Tab_Compteur_5[[#This Row],[Index]])&lt;=0,"",G22)</f>
        <v/>
      </c>
      <c r="J22" s="185"/>
      <c r="K22" s="823"/>
      <c r="L22" s="823"/>
      <c r="M22" s="823"/>
    </row>
    <row r="23" spans="1:13">
      <c r="A23" s="2">
        <f t="shared" si="1"/>
        <v>1</v>
      </c>
      <c r="B23" s="501"/>
      <c r="C23" s="180"/>
      <c r="D23" s="495"/>
      <c r="E23" s="502"/>
      <c r="F23" s="177">
        <f t="shared" si="0"/>
        <v>0</v>
      </c>
      <c r="G23" s="177" t="str">
        <f>IF(IFERROR(IF(Str_TypeDonneesCpt5=Cpt_Index,Tab_Compteur_5[[#This Row],[Index]]-E22,Tab_Compteur_5[[#This Row],[Quantité]])/Tab_Compteur_5[[#This Row],[Delta Jour]],"")&lt;0,"",IFERROR(IF(Str_TypeDonneesCpt5=Cpt_Index,Tab_Compteur_5[[#This Row],[Index]]-E22,Tab_Compteur_5[[#This Row],[Quantité]])/Tab_Compteur_5[[#This Row],[Delta Jour]],""))</f>
        <v/>
      </c>
      <c r="H23" s="177" t="str">
        <f>IFERROR(Tab_Compteur_5[[#This Row],[Montant]]/Tab_Compteur_5[[#This Row],[Delta Jour]],"")</f>
        <v/>
      </c>
      <c r="I23" s="184" t="str">
        <f>IF(SUM(Tab_Compteur_5[[#This Row],[Quantité]],Tab_Compteur_5[[#This Row],[Index]])&lt;=0,"",G23)</f>
        <v/>
      </c>
      <c r="J23" s="185"/>
      <c r="K23" s="823"/>
      <c r="L23" s="823"/>
      <c r="M23" s="823"/>
    </row>
    <row r="24" spans="1:13">
      <c r="A24" s="2">
        <f t="shared" si="1"/>
        <v>1</v>
      </c>
      <c r="B24" s="501"/>
      <c r="C24" s="180"/>
      <c r="D24" s="495"/>
      <c r="E24" s="502"/>
      <c r="F24" s="177">
        <f t="shared" si="0"/>
        <v>0</v>
      </c>
      <c r="G24" s="177" t="str">
        <f>IF(IFERROR(IF(Str_TypeDonneesCpt5=Cpt_Index,Tab_Compteur_5[[#This Row],[Index]]-E23,Tab_Compteur_5[[#This Row],[Quantité]])/Tab_Compteur_5[[#This Row],[Delta Jour]],"")&lt;0,"",IFERROR(IF(Str_TypeDonneesCpt5=Cpt_Index,Tab_Compteur_5[[#This Row],[Index]]-E23,Tab_Compteur_5[[#This Row],[Quantité]])/Tab_Compteur_5[[#This Row],[Delta Jour]],""))</f>
        <v/>
      </c>
      <c r="H24" s="177" t="str">
        <f>IFERROR(Tab_Compteur_5[[#This Row],[Montant]]/Tab_Compteur_5[[#This Row],[Delta Jour]],"")</f>
        <v/>
      </c>
      <c r="I24" s="184" t="str">
        <f>IF(SUM(Tab_Compteur_5[[#This Row],[Quantité]],Tab_Compteur_5[[#This Row],[Index]])&lt;=0,"",G24)</f>
        <v/>
      </c>
      <c r="J24" s="185"/>
      <c r="K24" s="823"/>
      <c r="L24" s="823"/>
      <c r="M24" s="823"/>
    </row>
    <row r="25" spans="1:13">
      <c r="A25" s="2">
        <f t="shared" si="1"/>
        <v>1</v>
      </c>
      <c r="B25" s="501"/>
      <c r="C25" s="180"/>
      <c r="D25" s="495"/>
      <c r="E25" s="502"/>
      <c r="F25" s="177">
        <f t="shared" si="0"/>
        <v>0</v>
      </c>
      <c r="G25" s="177" t="str">
        <f>IF(IFERROR(IF(Str_TypeDonneesCpt5=Cpt_Index,Tab_Compteur_5[[#This Row],[Index]]-E24,Tab_Compteur_5[[#This Row],[Quantité]])/Tab_Compteur_5[[#This Row],[Delta Jour]],"")&lt;0,"",IFERROR(IF(Str_TypeDonneesCpt5=Cpt_Index,Tab_Compteur_5[[#This Row],[Index]]-E24,Tab_Compteur_5[[#This Row],[Quantité]])/Tab_Compteur_5[[#This Row],[Delta Jour]],""))</f>
        <v/>
      </c>
      <c r="H25" s="177" t="str">
        <f>IFERROR(Tab_Compteur_5[[#This Row],[Montant]]/Tab_Compteur_5[[#This Row],[Delta Jour]],"")</f>
        <v/>
      </c>
      <c r="I25" s="184" t="str">
        <f>IF(SUM(Tab_Compteur_5[[#This Row],[Quantité]],Tab_Compteur_5[[#This Row],[Index]])&lt;=0,"",G25)</f>
        <v/>
      </c>
      <c r="J25" s="185"/>
      <c r="K25" s="823"/>
      <c r="L25" s="823"/>
      <c r="M25" s="823"/>
    </row>
    <row r="26" spans="1:13">
      <c r="A26" s="2">
        <f t="shared" si="1"/>
        <v>1</v>
      </c>
      <c r="B26" s="501"/>
      <c r="C26" s="180"/>
      <c r="D26" s="495"/>
      <c r="E26" s="502"/>
      <c r="F26" s="177">
        <f t="shared" si="0"/>
        <v>0</v>
      </c>
      <c r="G26" s="177" t="str">
        <f>IF(IFERROR(IF(Str_TypeDonneesCpt5=Cpt_Index,Tab_Compteur_5[[#This Row],[Index]]-E25,Tab_Compteur_5[[#This Row],[Quantité]])/Tab_Compteur_5[[#This Row],[Delta Jour]],"")&lt;0,"",IFERROR(IF(Str_TypeDonneesCpt5=Cpt_Index,Tab_Compteur_5[[#This Row],[Index]]-E25,Tab_Compteur_5[[#This Row],[Quantité]])/Tab_Compteur_5[[#This Row],[Delta Jour]],""))</f>
        <v/>
      </c>
      <c r="H26" s="177" t="str">
        <f>IFERROR(Tab_Compteur_5[[#This Row],[Montant]]/Tab_Compteur_5[[#This Row],[Delta Jour]],"")</f>
        <v/>
      </c>
      <c r="I26" s="184" t="str">
        <f>IF(SUM(Tab_Compteur_5[[#This Row],[Quantité]],Tab_Compteur_5[[#This Row],[Index]])&lt;=0,"",G26)</f>
        <v/>
      </c>
      <c r="J26" s="185"/>
      <c r="K26" s="823"/>
      <c r="L26" s="823"/>
      <c r="M26" s="823"/>
    </row>
    <row r="27" spans="1:13">
      <c r="A27" s="2">
        <f t="shared" si="1"/>
        <v>1</v>
      </c>
      <c r="B27" s="501"/>
      <c r="C27" s="180"/>
      <c r="D27" s="495"/>
      <c r="E27" s="502"/>
      <c r="F27" s="177">
        <f t="shared" si="0"/>
        <v>0</v>
      </c>
      <c r="G27" s="177" t="str">
        <f>IF(IFERROR(IF(Str_TypeDonneesCpt5=Cpt_Index,Tab_Compteur_5[[#This Row],[Index]]-E26,Tab_Compteur_5[[#This Row],[Quantité]])/Tab_Compteur_5[[#This Row],[Delta Jour]],"")&lt;0,"",IFERROR(IF(Str_TypeDonneesCpt5=Cpt_Index,Tab_Compteur_5[[#This Row],[Index]]-E26,Tab_Compteur_5[[#This Row],[Quantité]])/Tab_Compteur_5[[#This Row],[Delta Jour]],""))</f>
        <v/>
      </c>
      <c r="H27" s="177" t="str">
        <f>IFERROR(Tab_Compteur_5[[#This Row],[Montant]]/Tab_Compteur_5[[#This Row],[Delta Jour]],"")</f>
        <v/>
      </c>
      <c r="I27" s="184" t="str">
        <f>IF(SUM(Tab_Compteur_5[[#This Row],[Quantité]],Tab_Compteur_5[[#This Row],[Index]])&lt;=0,"",G27)</f>
        <v/>
      </c>
      <c r="J27" s="185"/>
      <c r="K27" s="823"/>
      <c r="L27" s="823"/>
      <c r="M27" s="823"/>
    </row>
    <row r="28" spans="1:13">
      <c r="A28" s="2">
        <f t="shared" si="1"/>
        <v>1</v>
      </c>
      <c r="B28" s="501"/>
      <c r="C28" s="180"/>
      <c r="D28" s="495"/>
      <c r="E28" s="502"/>
      <c r="F28" s="177">
        <f t="shared" si="0"/>
        <v>0</v>
      </c>
      <c r="G28" s="177" t="str">
        <f>IF(IFERROR(IF(Str_TypeDonneesCpt5=Cpt_Index,Tab_Compteur_5[[#This Row],[Index]]-E27,Tab_Compteur_5[[#This Row],[Quantité]])/Tab_Compteur_5[[#This Row],[Delta Jour]],"")&lt;0,"",IFERROR(IF(Str_TypeDonneesCpt5=Cpt_Index,Tab_Compteur_5[[#This Row],[Index]]-E27,Tab_Compteur_5[[#This Row],[Quantité]])/Tab_Compteur_5[[#This Row],[Delta Jour]],""))</f>
        <v/>
      </c>
      <c r="H28" s="177" t="str">
        <f>IFERROR(Tab_Compteur_5[[#This Row],[Montant]]/Tab_Compteur_5[[#This Row],[Delta Jour]],"")</f>
        <v/>
      </c>
      <c r="I28" s="184" t="str">
        <f>IF(SUM(Tab_Compteur_5[[#This Row],[Quantité]],Tab_Compteur_5[[#This Row],[Index]])&lt;=0,"",G28)</f>
        <v/>
      </c>
      <c r="J28" s="185"/>
      <c r="K28" s="823"/>
      <c r="L28" s="823"/>
      <c r="M28" s="823"/>
    </row>
    <row r="29" spans="1:13">
      <c r="A29" s="2">
        <f t="shared" si="1"/>
        <v>1</v>
      </c>
      <c r="B29" s="501"/>
      <c r="C29" s="179"/>
      <c r="D29" s="495"/>
      <c r="E29" s="502"/>
      <c r="F29" s="177">
        <f t="shared" si="0"/>
        <v>0</v>
      </c>
      <c r="G29" s="177" t="str">
        <f>IF(IFERROR(IF(Str_TypeDonneesCpt5=Cpt_Index,Tab_Compteur_5[[#This Row],[Index]]-E28,Tab_Compteur_5[[#This Row],[Quantité]])/Tab_Compteur_5[[#This Row],[Delta Jour]],"")&lt;0,"",IFERROR(IF(Str_TypeDonneesCpt5=Cpt_Index,Tab_Compteur_5[[#This Row],[Index]]-E28,Tab_Compteur_5[[#This Row],[Quantité]])/Tab_Compteur_5[[#This Row],[Delta Jour]],""))</f>
        <v/>
      </c>
      <c r="H29" s="177" t="str">
        <f>IFERROR(Tab_Compteur_5[[#This Row],[Montant]]/Tab_Compteur_5[[#This Row],[Delta Jour]],"")</f>
        <v/>
      </c>
      <c r="I29" s="184" t="str">
        <f>IF(SUM(Tab_Compteur_5[[#This Row],[Quantité]],Tab_Compteur_5[[#This Row],[Index]])&lt;=0,"",G29)</f>
        <v/>
      </c>
      <c r="J29" s="185"/>
      <c r="K29" s="823"/>
      <c r="L29" s="823"/>
      <c r="M29" s="823"/>
    </row>
    <row r="30" spans="1:13">
      <c r="A30" s="2">
        <f t="shared" si="1"/>
        <v>1</v>
      </c>
      <c r="B30" s="501"/>
      <c r="C30" s="179"/>
      <c r="D30" s="495"/>
      <c r="E30" s="502"/>
      <c r="F30" s="177">
        <f t="shared" si="0"/>
        <v>0</v>
      </c>
      <c r="G30" s="177" t="str">
        <f>IF(IFERROR(IF(Str_TypeDonneesCpt5=Cpt_Index,Tab_Compteur_5[[#This Row],[Index]]-E29,Tab_Compteur_5[[#This Row],[Quantité]])/Tab_Compteur_5[[#This Row],[Delta Jour]],"")&lt;0,"",IFERROR(IF(Str_TypeDonneesCpt5=Cpt_Index,Tab_Compteur_5[[#This Row],[Index]]-E29,Tab_Compteur_5[[#This Row],[Quantité]])/Tab_Compteur_5[[#This Row],[Delta Jour]],""))</f>
        <v/>
      </c>
      <c r="H30" s="177" t="str">
        <f>IFERROR(Tab_Compteur_5[[#This Row],[Montant]]/Tab_Compteur_5[[#This Row],[Delta Jour]],"")</f>
        <v/>
      </c>
      <c r="I30" s="184" t="str">
        <f>IF(SUM(Tab_Compteur_5[[#This Row],[Quantité]],Tab_Compteur_5[[#This Row],[Index]])&lt;=0,"",G30)</f>
        <v/>
      </c>
      <c r="J30" s="185"/>
      <c r="K30" s="823"/>
      <c r="L30" s="823"/>
      <c r="M30" s="823"/>
    </row>
    <row r="31" spans="1:13">
      <c r="A31" s="2">
        <f t="shared" si="1"/>
        <v>1</v>
      </c>
      <c r="B31" s="501"/>
      <c r="C31" s="179"/>
      <c r="D31" s="495"/>
      <c r="E31" s="502"/>
      <c r="F31" s="177">
        <f t="shared" si="0"/>
        <v>0</v>
      </c>
      <c r="G31" s="177" t="str">
        <f>IF(IFERROR(IF(Str_TypeDonneesCpt5=Cpt_Index,Tab_Compteur_5[[#This Row],[Index]]-E30,Tab_Compteur_5[[#This Row],[Quantité]])/Tab_Compteur_5[[#This Row],[Delta Jour]],"")&lt;0,"",IFERROR(IF(Str_TypeDonneesCpt5=Cpt_Index,Tab_Compteur_5[[#This Row],[Index]]-E30,Tab_Compteur_5[[#This Row],[Quantité]])/Tab_Compteur_5[[#This Row],[Delta Jour]],""))</f>
        <v/>
      </c>
      <c r="H31" s="177" t="str">
        <f>IFERROR(Tab_Compteur_5[[#This Row],[Montant]]/Tab_Compteur_5[[#This Row],[Delta Jour]],"")</f>
        <v/>
      </c>
      <c r="I31" s="184" t="str">
        <f>IF(SUM(Tab_Compteur_5[[#This Row],[Quantité]],Tab_Compteur_5[[#This Row],[Index]])&lt;=0,"",G31)</f>
        <v/>
      </c>
      <c r="J31" s="185"/>
      <c r="K31" s="823"/>
      <c r="L31" s="823"/>
      <c r="M31" s="823"/>
    </row>
    <row r="32" spans="1:13">
      <c r="A32" s="2">
        <f t="shared" si="1"/>
        <v>1</v>
      </c>
      <c r="B32" s="501"/>
      <c r="C32" s="180"/>
      <c r="D32" s="495"/>
      <c r="E32" s="502"/>
      <c r="F32" s="177">
        <f t="shared" si="0"/>
        <v>0</v>
      </c>
      <c r="G32" s="177" t="str">
        <f>IF(IFERROR(IF(Str_TypeDonneesCpt5=Cpt_Index,Tab_Compteur_5[[#This Row],[Index]]-E31,Tab_Compteur_5[[#This Row],[Quantité]])/Tab_Compteur_5[[#This Row],[Delta Jour]],"")&lt;0,"",IFERROR(IF(Str_TypeDonneesCpt5=Cpt_Index,Tab_Compteur_5[[#This Row],[Index]]-E31,Tab_Compteur_5[[#This Row],[Quantité]])/Tab_Compteur_5[[#This Row],[Delta Jour]],""))</f>
        <v/>
      </c>
      <c r="H32" s="177" t="str">
        <f>IFERROR(Tab_Compteur_5[[#This Row],[Montant]]/Tab_Compteur_5[[#This Row],[Delta Jour]],"")</f>
        <v/>
      </c>
      <c r="I32" s="184" t="str">
        <f>IF(SUM(Tab_Compteur_5[[#This Row],[Quantité]],Tab_Compteur_5[[#This Row],[Index]])&lt;=0,"",G32)</f>
        <v/>
      </c>
      <c r="J32" s="185"/>
      <c r="K32" s="823"/>
      <c r="L32" s="823"/>
      <c r="M32" s="823"/>
    </row>
    <row r="33" spans="1:13">
      <c r="A33" s="2">
        <f t="shared" si="1"/>
        <v>1</v>
      </c>
      <c r="B33" s="501"/>
      <c r="C33" s="180"/>
      <c r="D33" s="495"/>
      <c r="E33" s="502"/>
      <c r="F33" s="177">
        <f t="shared" si="0"/>
        <v>0</v>
      </c>
      <c r="G33" s="177" t="str">
        <f>IF(IFERROR(IF(Str_TypeDonneesCpt5=Cpt_Index,Tab_Compteur_5[[#This Row],[Index]]-E32,Tab_Compteur_5[[#This Row],[Quantité]])/Tab_Compteur_5[[#This Row],[Delta Jour]],"")&lt;0,"",IFERROR(IF(Str_TypeDonneesCpt5=Cpt_Index,Tab_Compteur_5[[#This Row],[Index]]-E32,Tab_Compteur_5[[#This Row],[Quantité]])/Tab_Compteur_5[[#This Row],[Delta Jour]],""))</f>
        <v/>
      </c>
      <c r="H33" s="177" t="str">
        <f>IFERROR(Tab_Compteur_5[[#This Row],[Montant]]/Tab_Compteur_5[[#This Row],[Delta Jour]],"")</f>
        <v/>
      </c>
      <c r="I33" s="184" t="str">
        <f>IF(SUM(Tab_Compteur_5[[#This Row],[Quantité]],Tab_Compteur_5[[#This Row],[Index]])&lt;=0,"",G33)</f>
        <v/>
      </c>
      <c r="J33" s="185"/>
      <c r="K33" s="823"/>
      <c r="L33" s="823"/>
      <c r="M33" s="823"/>
    </row>
    <row r="34" spans="1:13">
      <c r="A34" s="2">
        <f t="shared" si="1"/>
        <v>1</v>
      </c>
      <c r="B34" s="501"/>
      <c r="C34" s="180"/>
      <c r="D34" s="495"/>
      <c r="E34" s="502"/>
      <c r="F34" s="177">
        <f t="shared" si="0"/>
        <v>0</v>
      </c>
      <c r="G34" s="177" t="str">
        <f>IF(IFERROR(IF(Str_TypeDonneesCpt5=Cpt_Index,Tab_Compteur_5[[#This Row],[Index]]-E33,Tab_Compteur_5[[#This Row],[Quantité]])/Tab_Compteur_5[[#This Row],[Delta Jour]],"")&lt;0,"",IFERROR(IF(Str_TypeDonneesCpt5=Cpt_Index,Tab_Compteur_5[[#This Row],[Index]]-E33,Tab_Compteur_5[[#This Row],[Quantité]])/Tab_Compteur_5[[#This Row],[Delta Jour]],""))</f>
        <v/>
      </c>
      <c r="H34" s="177" t="str">
        <f>IFERROR(Tab_Compteur_5[[#This Row],[Montant]]/Tab_Compteur_5[[#This Row],[Delta Jour]],"")</f>
        <v/>
      </c>
      <c r="I34" s="184" t="str">
        <f>IF(SUM(Tab_Compteur_5[[#This Row],[Quantité]],Tab_Compteur_5[[#This Row],[Index]])&lt;=0,"",G34)</f>
        <v/>
      </c>
      <c r="J34" s="185"/>
      <c r="K34" s="36"/>
      <c r="L34" s="36"/>
      <c r="M34" s="36"/>
    </row>
    <row r="35" spans="1:13">
      <c r="A35" s="2">
        <f t="shared" si="1"/>
        <v>1</v>
      </c>
      <c r="B35" s="501"/>
      <c r="C35" s="180"/>
      <c r="D35" s="495"/>
      <c r="E35" s="502"/>
      <c r="F35" s="177">
        <f t="shared" si="0"/>
        <v>0</v>
      </c>
      <c r="G35" s="177" t="str">
        <f>IF(IFERROR(IF(Str_TypeDonneesCpt5=Cpt_Index,Tab_Compteur_5[[#This Row],[Index]]-E34,Tab_Compteur_5[[#This Row],[Quantité]])/Tab_Compteur_5[[#This Row],[Delta Jour]],"")&lt;0,"",IFERROR(IF(Str_TypeDonneesCpt5=Cpt_Index,Tab_Compteur_5[[#This Row],[Index]]-E34,Tab_Compteur_5[[#This Row],[Quantité]])/Tab_Compteur_5[[#This Row],[Delta Jour]],""))</f>
        <v/>
      </c>
      <c r="H35" s="177" t="str">
        <f>IFERROR(Tab_Compteur_5[[#This Row],[Montant]]/Tab_Compteur_5[[#This Row],[Delta Jour]],"")</f>
        <v/>
      </c>
      <c r="I35" s="184" t="str">
        <f>IF(SUM(Tab_Compteur_5[[#This Row],[Quantité]],Tab_Compteur_5[[#This Row],[Index]])&lt;=0,"",G35)</f>
        <v/>
      </c>
      <c r="J35" s="185"/>
      <c r="K35" s="36"/>
      <c r="L35" s="36"/>
      <c r="M35" s="36"/>
    </row>
    <row r="36" spans="1:13">
      <c r="A36" s="2">
        <f t="shared" si="1"/>
        <v>1</v>
      </c>
      <c r="B36" s="501"/>
      <c r="C36" s="180"/>
      <c r="D36" s="495"/>
      <c r="E36" s="502"/>
      <c r="F36" s="177">
        <f t="shared" si="0"/>
        <v>0</v>
      </c>
      <c r="G36" s="177" t="str">
        <f>IF(IFERROR(IF(Str_TypeDonneesCpt5=Cpt_Index,Tab_Compteur_5[[#This Row],[Index]]-E35,Tab_Compteur_5[[#This Row],[Quantité]])/Tab_Compteur_5[[#This Row],[Delta Jour]],"")&lt;0,"",IFERROR(IF(Str_TypeDonneesCpt5=Cpt_Index,Tab_Compteur_5[[#This Row],[Index]]-E35,Tab_Compteur_5[[#This Row],[Quantité]])/Tab_Compteur_5[[#This Row],[Delta Jour]],""))</f>
        <v/>
      </c>
      <c r="H36" s="177" t="str">
        <f>IFERROR(Tab_Compteur_5[[#This Row],[Montant]]/Tab_Compteur_5[[#This Row],[Delta Jour]],"")</f>
        <v/>
      </c>
      <c r="I36" s="184" t="str">
        <f>IF(SUM(Tab_Compteur_5[[#This Row],[Quantité]],Tab_Compteur_5[[#This Row],[Index]])&lt;=0,"",G36)</f>
        <v/>
      </c>
      <c r="J36" s="185"/>
      <c r="K36" s="36"/>
      <c r="L36" s="36"/>
      <c r="M36" s="36"/>
    </row>
    <row r="37" spans="1:13">
      <c r="A37" s="2">
        <f t="shared" si="1"/>
        <v>1</v>
      </c>
      <c r="B37" s="501"/>
      <c r="C37" s="180"/>
      <c r="D37" s="495"/>
      <c r="E37" s="502"/>
      <c r="F37" s="177">
        <f t="shared" si="0"/>
        <v>0</v>
      </c>
      <c r="G37" s="177" t="str">
        <f>IF(IFERROR(IF(Str_TypeDonneesCpt5=Cpt_Index,Tab_Compteur_5[[#This Row],[Index]]-E36,Tab_Compteur_5[[#This Row],[Quantité]])/Tab_Compteur_5[[#This Row],[Delta Jour]],"")&lt;0,"",IFERROR(IF(Str_TypeDonneesCpt5=Cpt_Index,Tab_Compteur_5[[#This Row],[Index]]-E36,Tab_Compteur_5[[#This Row],[Quantité]])/Tab_Compteur_5[[#This Row],[Delta Jour]],""))</f>
        <v/>
      </c>
      <c r="H37" s="177" t="str">
        <f>IFERROR(Tab_Compteur_5[[#This Row],[Montant]]/Tab_Compteur_5[[#This Row],[Delta Jour]],"")</f>
        <v/>
      </c>
      <c r="I37" s="184" t="str">
        <f>IF(SUM(Tab_Compteur_5[[#This Row],[Quantité]],Tab_Compteur_5[[#This Row],[Index]])&lt;=0,"",G37)</f>
        <v/>
      </c>
      <c r="J37" s="185"/>
      <c r="K37" s="36"/>
      <c r="L37" s="36"/>
      <c r="M37" s="36"/>
    </row>
    <row r="38" spans="1:13">
      <c r="A38" s="2">
        <f t="shared" si="1"/>
        <v>1</v>
      </c>
      <c r="B38" s="501"/>
      <c r="C38" s="180"/>
      <c r="D38" s="495"/>
      <c r="E38" s="502"/>
      <c r="F38" s="177">
        <f t="shared" si="0"/>
        <v>0</v>
      </c>
      <c r="G38" s="177" t="str">
        <f>IF(IFERROR(IF(Str_TypeDonneesCpt5=Cpt_Index,Tab_Compteur_5[[#This Row],[Index]]-E37,Tab_Compteur_5[[#This Row],[Quantité]])/Tab_Compteur_5[[#This Row],[Delta Jour]],"")&lt;0,"",IFERROR(IF(Str_TypeDonneesCpt5=Cpt_Index,Tab_Compteur_5[[#This Row],[Index]]-E37,Tab_Compteur_5[[#This Row],[Quantité]])/Tab_Compteur_5[[#This Row],[Delta Jour]],""))</f>
        <v/>
      </c>
      <c r="H38" s="177" t="str">
        <f>IFERROR(Tab_Compteur_5[[#This Row],[Montant]]/Tab_Compteur_5[[#This Row],[Delta Jour]],"")</f>
        <v/>
      </c>
      <c r="I38" s="184" t="str">
        <f>IF(SUM(Tab_Compteur_5[[#This Row],[Quantité]],Tab_Compteur_5[[#This Row],[Index]])&lt;=0,"",G38)</f>
        <v/>
      </c>
      <c r="J38" s="185"/>
      <c r="K38" s="36"/>
      <c r="L38" s="36"/>
      <c r="M38" s="36"/>
    </row>
    <row r="39" spans="1:13">
      <c r="A39" s="2">
        <f t="shared" si="1"/>
        <v>1</v>
      </c>
      <c r="B39" s="501"/>
      <c r="C39" s="180"/>
      <c r="D39" s="512"/>
      <c r="E39" s="502"/>
      <c r="F39" s="177">
        <f t="shared" si="0"/>
        <v>0</v>
      </c>
      <c r="G39" s="177" t="str">
        <f>IF(IFERROR(IF(Str_TypeDonneesCpt5=Cpt_Index,Tab_Compteur_5[[#This Row],[Index]]-E38,Tab_Compteur_5[[#This Row],[Quantité]])/Tab_Compteur_5[[#This Row],[Delta Jour]],"")&lt;0,"",IFERROR(IF(Str_TypeDonneesCpt5=Cpt_Index,Tab_Compteur_5[[#This Row],[Index]]-E38,Tab_Compteur_5[[#This Row],[Quantité]])/Tab_Compteur_5[[#This Row],[Delta Jour]],""))</f>
        <v/>
      </c>
      <c r="H39" s="177" t="str">
        <f>IFERROR(Tab_Compteur_5[[#This Row],[Montant]]/Tab_Compteur_5[[#This Row],[Delta Jour]],"")</f>
        <v/>
      </c>
      <c r="I39" s="184" t="str">
        <f>IF(SUM(Tab_Compteur_5[[#This Row],[Quantité]],Tab_Compteur_5[[#This Row],[Index]])&lt;=0,"",G39)</f>
        <v/>
      </c>
      <c r="J39" s="185"/>
      <c r="K39" s="36"/>
      <c r="L39" s="36"/>
      <c r="M39" s="36"/>
    </row>
    <row r="40" spans="1:13">
      <c r="A40" s="2">
        <f t="shared" si="1"/>
        <v>1</v>
      </c>
      <c r="B40" s="501"/>
      <c r="C40" s="180"/>
      <c r="D40" s="512"/>
      <c r="E40" s="502"/>
      <c r="F40" s="177">
        <f t="shared" si="0"/>
        <v>0</v>
      </c>
      <c r="G40" s="177" t="str">
        <f>IF(IFERROR(IF(Str_TypeDonneesCpt5=Cpt_Index,Tab_Compteur_5[[#This Row],[Index]]-E39,Tab_Compteur_5[[#This Row],[Quantité]])/Tab_Compteur_5[[#This Row],[Delta Jour]],"")&lt;0,"",IFERROR(IF(Str_TypeDonneesCpt5=Cpt_Index,Tab_Compteur_5[[#This Row],[Index]]-E39,Tab_Compteur_5[[#This Row],[Quantité]])/Tab_Compteur_5[[#This Row],[Delta Jour]],""))</f>
        <v/>
      </c>
      <c r="H40" s="177" t="str">
        <f>IFERROR(Tab_Compteur_5[[#This Row],[Montant]]/Tab_Compteur_5[[#This Row],[Delta Jour]],"")</f>
        <v/>
      </c>
      <c r="I40" s="184" t="str">
        <f>IF(SUM(Tab_Compteur_5[[#This Row],[Quantité]],Tab_Compteur_5[[#This Row],[Index]])&lt;=0,"",G40)</f>
        <v/>
      </c>
      <c r="J40" s="185"/>
      <c r="K40" s="36"/>
      <c r="L40" s="36"/>
      <c r="M40" s="36"/>
    </row>
    <row r="41" spans="1:13">
      <c r="A41" s="2">
        <f t="shared" si="1"/>
        <v>1</v>
      </c>
      <c r="B41" s="501"/>
      <c r="C41" s="179"/>
      <c r="D41" s="512"/>
      <c r="E41" s="502"/>
      <c r="F41" s="177">
        <f t="shared" si="0"/>
        <v>0</v>
      </c>
      <c r="G41" s="177" t="str">
        <f>IF(IFERROR(IF(Str_TypeDonneesCpt5=Cpt_Index,Tab_Compteur_5[[#This Row],[Index]]-E40,Tab_Compteur_5[[#This Row],[Quantité]])/Tab_Compteur_5[[#This Row],[Delta Jour]],"")&lt;0,"",IFERROR(IF(Str_TypeDonneesCpt5=Cpt_Index,Tab_Compteur_5[[#This Row],[Index]]-E40,Tab_Compteur_5[[#This Row],[Quantité]])/Tab_Compteur_5[[#This Row],[Delta Jour]],""))</f>
        <v/>
      </c>
      <c r="H41" s="177" t="str">
        <f>IFERROR(Tab_Compteur_5[[#This Row],[Montant]]/Tab_Compteur_5[[#This Row],[Delta Jour]],"")</f>
        <v/>
      </c>
      <c r="I41" s="184" t="str">
        <f>IF(SUM(Tab_Compteur_5[[#This Row],[Quantité]],Tab_Compteur_5[[#This Row],[Index]])&lt;=0,"",G41)</f>
        <v/>
      </c>
      <c r="J41" s="185"/>
      <c r="K41" s="36"/>
      <c r="L41" s="36"/>
      <c r="M41" s="36"/>
    </row>
    <row r="42" spans="1:13">
      <c r="A42" s="2">
        <f t="shared" si="1"/>
        <v>1</v>
      </c>
      <c r="B42" s="501"/>
      <c r="C42" s="179"/>
      <c r="D42" s="512"/>
      <c r="E42" s="502"/>
      <c r="F42" s="177">
        <f t="shared" si="0"/>
        <v>0</v>
      </c>
      <c r="G42" s="177" t="str">
        <f>IF(IFERROR(IF(Str_TypeDonneesCpt5=Cpt_Index,Tab_Compteur_5[[#This Row],[Index]]-E41,Tab_Compteur_5[[#This Row],[Quantité]])/Tab_Compteur_5[[#This Row],[Delta Jour]],"")&lt;0,"",IFERROR(IF(Str_TypeDonneesCpt5=Cpt_Index,Tab_Compteur_5[[#This Row],[Index]]-E41,Tab_Compteur_5[[#This Row],[Quantité]])/Tab_Compteur_5[[#This Row],[Delta Jour]],""))</f>
        <v/>
      </c>
      <c r="H42" s="177" t="str">
        <f>IFERROR(Tab_Compteur_5[[#This Row],[Montant]]/Tab_Compteur_5[[#This Row],[Delta Jour]],"")</f>
        <v/>
      </c>
      <c r="I42" s="184" t="str">
        <f>IF(SUM(Tab_Compteur_5[[#This Row],[Quantité]],Tab_Compteur_5[[#This Row],[Index]])&lt;=0,"",G42)</f>
        <v/>
      </c>
      <c r="J42" s="185"/>
      <c r="K42" s="36"/>
      <c r="L42" s="36"/>
      <c r="M42" s="36"/>
    </row>
    <row r="43" spans="1:13">
      <c r="A43" s="2">
        <f t="shared" si="1"/>
        <v>1</v>
      </c>
      <c r="B43" s="501"/>
      <c r="C43" s="180"/>
      <c r="D43" s="512"/>
      <c r="E43" s="502"/>
      <c r="F43" s="177">
        <f t="shared" si="0"/>
        <v>0</v>
      </c>
      <c r="G43" s="177" t="str">
        <f>IF(IFERROR(IF(Str_TypeDonneesCpt5=Cpt_Index,Tab_Compteur_5[[#This Row],[Index]]-E42,Tab_Compteur_5[[#This Row],[Quantité]])/Tab_Compteur_5[[#This Row],[Delta Jour]],"")&lt;0,"",IFERROR(IF(Str_TypeDonneesCpt5=Cpt_Index,Tab_Compteur_5[[#This Row],[Index]]-E42,Tab_Compteur_5[[#This Row],[Quantité]])/Tab_Compteur_5[[#This Row],[Delta Jour]],""))</f>
        <v/>
      </c>
      <c r="H43" s="177" t="str">
        <f>IFERROR(Tab_Compteur_5[[#This Row],[Montant]]/Tab_Compteur_5[[#This Row],[Delta Jour]],"")</f>
        <v/>
      </c>
      <c r="I43" s="184" t="str">
        <f>IF(SUM(Tab_Compteur_5[[#This Row],[Quantité]],Tab_Compteur_5[[#This Row],[Index]])&lt;=0,"",G43)</f>
        <v/>
      </c>
      <c r="J43" s="185"/>
      <c r="K43" s="36"/>
      <c r="L43" s="36"/>
      <c r="M43" s="36"/>
    </row>
    <row r="44" spans="1:13">
      <c r="A44" s="2">
        <f t="shared" si="1"/>
        <v>1</v>
      </c>
      <c r="B44" s="501"/>
      <c r="C44" s="180"/>
      <c r="D44" s="512"/>
      <c r="E44" s="502"/>
      <c r="F44" s="177">
        <f t="shared" si="0"/>
        <v>0</v>
      </c>
      <c r="G44" s="177" t="str">
        <f>IF(IFERROR(IF(Str_TypeDonneesCpt5=Cpt_Index,Tab_Compteur_5[[#This Row],[Index]]-E43,Tab_Compteur_5[[#This Row],[Quantité]])/Tab_Compteur_5[[#This Row],[Delta Jour]],"")&lt;0,"",IFERROR(IF(Str_TypeDonneesCpt5=Cpt_Index,Tab_Compteur_5[[#This Row],[Index]]-E43,Tab_Compteur_5[[#This Row],[Quantité]])/Tab_Compteur_5[[#This Row],[Delta Jour]],""))</f>
        <v/>
      </c>
      <c r="H44" s="177" t="str">
        <f>IFERROR(Tab_Compteur_5[[#This Row],[Montant]]/Tab_Compteur_5[[#This Row],[Delta Jour]],"")</f>
        <v/>
      </c>
      <c r="I44" s="184" t="str">
        <f>IF(SUM(Tab_Compteur_5[[#This Row],[Quantité]],Tab_Compteur_5[[#This Row],[Index]])&lt;=0,"",G44)</f>
        <v/>
      </c>
      <c r="J44" s="185"/>
      <c r="K44" s="36"/>
      <c r="L44" s="36"/>
      <c r="M44" s="36"/>
    </row>
    <row r="45" spans="1:13">
      <c r="A45" s="2">
        <f t="shared" si="1"/>
        <v>1</v>
      </c>
      <c r="B45" s="501"/>
      <c r="C45" s="180"/>
      <c r="D45" s="512"/>
      <c r="E45" s="502"/>
      <c r="F45" s="177">
        <f t="shared" si="0"/>
        <v>0</v>
      </c>
      <c r="G45" s="177" t="str">
        <f>IF(IFERROR(IF(Str_TypeDonneesCpt5=Cpt_Index,Tab_Compteur_5[[#This Row],[Index]]-E44,Tab_Compteur_5[[#This Row],[Quantité]])/Tab_Compteur_5[[#This Row],[Delta Jour]],"")&lt;0,"",IFERROR(IF(Str_TypeDonneesCpt5=Cpt_Index,Tab_Compteur_5[[#This Row],[Index]]-E44,Tab_Compteur_5[[#This Row],[Quantité]])/Tab_Compteur_5[[#This Row],[Delta Jour]],""))</f>
        <v/>
      </c>
      <c r="H45" s="177" t="str">
        <f>IFERROR(Tab_Compteur_5[[#This Row],[Montant]]/Tab_Compteur_5[[#This Row],[Delta Jour]],"")</f>
        <v/>
      </c>
      <c r="I45" s="184" t="str">
        <f>IF(SUM(Tab_Compteur_5[[#This Row],[Quantité]],Tab_Compteur_5[[#This Row],[Index]])&lt;=0,"",G45)</f>
        <v/>
      </c>
      <c r="J45" s="185"/>
      <c r="K45" s="36"/>
      <c r="L45" s="36"/>
      <c r="M45" s="36"/>
    </row>
    <row r="46" spans="1:13">
      <c r="A46" s="2">
        <f t="shared" si="1"/>
        <v>1</v>
      </c>
      <c r="B46" s="501"/>
      <c r="C46" s="180"/>
      <c r="D46" s="512"/>
      <c r="E46" s="502"/>
      <c r="F46" s="177">
        <f t="shared" si="0"/>
        <v>0</v>
      </c>
      <c r="G46" s="177" t="str">
        <f>IF(IFERROR(IF(Str_TypeDonneesCpt5=Cpt_Index,Tab_Compteur_5[[#This Row],[Index]]-E45,Tab_Compteur_5[[#This Row],[Quantité]])/Tab_Compteur_5[[#This Row],[Delta Jour]],"")&lt;0,"",IFERROR(IF(Str_TypeDonneesCpt5=Cpt_Index,Tab_Compteur_5[[#This Row],[Index]]-E45,Tab_Compteur_5[[#This Row],[Quantité]])/Tab_Compteur_5[[#This Row],[Delta Jour]],""))</f>
        <v/>
      </c>
      <c r="H46" s="177" t="str">
        <f>IFERROR(Tab_Compteur_5[[#This Row],[Montant]]/Tab_Compteur_5[[#This Row],[Delta Jour]],"")</f>
        <v/>
      </c>
      <c r="I46" s="184" t="str">
        <f>IF(SUM(Tab_Compteur_5[[#This Row],[Quantité]],Tab_Compteur_5[[#This Row],[Index]])&lt;=0,"",G46)</f>
        <v/>
      </c>
      <c r="J46" s="185"/>
      <c r="K46" s="36"/>
      <c r="L46" s="36"/>
      <c r="M46" s="36"/>
    </row>
    <row r="47" spans="1:13">
      <c r="A47" s="2">
        <f t="shared" si="1"/>
        <v>1</v>
      </c>
      <c r="B47" s="501"/>
      <c r="C47" s="180"/>
      <c r="D47" s="512"/>
      <c r="E47" s="502"/>
      <c r="F47" s="177">
        <f t="shared" si="0"/>
        <v>0</v>
      </c>
      <c r="G47" s="177" t="str">
        <f>IF(IFERROR(IF(Str_TypeDonneesCpt5=Cpt_Index,Tab_Compteur_5[[#This Row],[Index]]-E46,Tab_Compteur_5[[#This Row],[Quantité]])/Tab_Compteur_5[[#This Row],[Delta Jour]],"")&lt;0,"",IFERROR(IF(Str_TypeDonneesCpt5=Cpt_Index,Tab_Compteur_5[[#This Row],[Index]]-E46,Tab_Compteur_5[[#This Row],[Quantité]])/Tab_Compteur_5[[#This Row],[Delta Jour]],""))</f>
        <v/>
      </c>
      <c r="H47" s="177" t="str">
        <f>IFERROR(Tab_Compteur_5[[#This Row],[Montant]]/Tab_Compteur_5[[#This Row],[Delta Jour]],"")</f>
        <v/>
      </c>
      <c r="I47" s="184" t="str">
        <f>IF(SUM(Tab_Compteur_5[[#This Row],[Quantité]],Tab_Compteur_5[[#This Row],[Index]])&lt;=0,"",G47)</f>
        <v/>
      </c>
      <c r="J47" s="185"/>
      <c r="K47" s="36"/>
      <c r="L47" s="36"/>
      <c r="M47" s="36"/>
    </row>
    <row r="48" spans="1:13">
      <c r="A48" s="2">
        <f t="shared" si="1"/>
        <v>1</v>
      </c>
      <c r="B48" s="501"/>
      <c r="C48" s="180"/>
      <c r="D48" s="512"/>
      <c r="E48" s="502"/>
      <c r="F48" s="177">
        <f t="shared" si="0"/>
        <v>0</v>
      </c>
      <c r="G48" s="177" t="str">
        <f>IF(IFERROR(IF(Str_TypeDonneesCpt5=Cpt_Index,Tab_Compteur_5[[#This Row],[Index]]-E47,Tab_Compteur_5[[#This Row],[Quantité]])/Tab_Compteur_5[[#This Row],[Delta Jour]],"")&lt;0,"",IFERROR(IF(Str_TypeDonneesCpt5=Cpt_Index,Tab_Compteur_5[[#This Row],[Index]]-E47,Tab_Compteur_5[[#This Row],[Quantité]])/Tab_Compteur_5[[#This Row],[Delta Jour]],""))</f>
        <v/>
      </c>
      <c r="H48" s="177" t="str">
        <f>IFERROR(Tab_Compteur_5[[#This Row],[Montant]]/Tab_Compteur_5[[#This Row],[Delta Jour]],"")</f>
        <v/>
      </c>
      <c r="I48" s="184" t="str">
        <f>IF(SUM(Tab_Compteur_5[[#This Row],[Quantité]],Tab_Compteur_5[[#This Row],[Index]])&lt;=0,"",G48)</f>
        <v/>
      </c>
      <c r="J48" s="185"/>
      <c r="K48" s="36"/>
      <c r="L48" s="36"/>
      <c r="M48" s="36"/>
    </row>
    <row r="49" spans="1:13">
      <c r="A49" s="2">
        <f t="shared" si="1"/>
        <v>1</v>
      </c>
      <c r="B49" s="501"/>
      <c r="C49" s="180"/>
      <c r="D49" s="512"/>
      <c r="E49" s="502"/>
      <c r="F49" s="177">
        <f t="shared" si="0"/>
        <v>0</v>
      </c>
      <c r="G49" s="177" t="str">
        <f>IF(IFERROR(IF(Str_TypeDonneesCpt5=Cpt_Index,Tab_Compteur_5[[#This Row],[Index]]-E48,Tab_Compteur_5[[#This Row],[Quantité]])/Tab_Compteur_5[[#This Row],[Delta Jour]],"")&lt;0,"",IFERROR(IF(Str_TypeDonneesCpt5=Cpt_Index,Tab_Compteur_5[[#This Row],[Index]]-E48,Tab_Compteur_5[[#This Row],[Quantité]])/Tab_Compteur_5[[#This Row],[Delta Jour]],""))</f>
        <v/>
      </c>
      <c r="H49" s="177" t="str">
        <f>IFERROR(Tab_Compteur_5[[#This Row],[Montant]]/Tab_Compteur_5[[#This Row],[Delta Jour]],"")</f>
        <v/>
      </c>
      <c r="I49" s="184" t="str">
        <f>IF(SUM(Tab_Compteur_5[[#This Row],[Quantité]],Tab_Compteur_5[[#This Row],[Index]])&lt;=0,"",G49)</f>
        <v/>
      </c>
      <c r="J49" s="185"/>
      <c r="K49" s="36"/>
      <c r="L49" s="36"/>
      <c r="M49" s="36"/>
    </row>
    <row r="50" spans="1:13">
      <c r="A50" s="2">
        <f t="shared" si="1"/>
        <v>1</v>
      </c>
      <c r="B50" s="501"/>
      <c r="C50" s="180"/>
      <c r="D50" s="512"/>
      <c r="E50" s="502"/>
      <c r="F50" s="177">
        <f t="shared" si="0"/>
        <v>0</v>
      </c>
      <c r="G50" s="177" t="str">
        <f>IF(IFERROR(IF(Str_TypeDonneesCpt5=Cpt_Index,Tab_Compteur_5[[#This Row],[Index]]-E49,Tab_Compteur_5[[#This Row],[Quantité]])/Tab_Compteur_5[[#This Row],[Delta Jour]],"")&lt;0,"",IFERROR(IF(Str_TypeDonneesCpt5=Cpt_Index,Tab_Compteur_5[[#This Row],[Index]]-E49,Tab_Compteur_5[[#This Row],[Quantité]])/Tab_Compteur_5[[#This Row],[Delta Jour]],""))</f>
        <v/>
      </c>
      <c r="H50" s="177" t="str">
        <f>IFERROR(Tab_Compteur_5[[#This Row],[Montant]]/Tab_Compteur_5[[#This Row],[Delta Jour]],"")</f>
        <v/>
      </c>
      <c r="I50" s="184" t="str">
        <f>IF(SUM(Tab_Compteur_5[[#This Row],[Quantité]],Tab_Compteur_5[[#This Row],[Index]])&lt;=0,"",G50)</f>
        <v/>
      </c>
      <c r="J50" s="185"/>
      <c r="K50" s="36"/>
      <c r="L50" s="36"/>
      <c r="M50" s="36"/>
    </row>
    <row r="51" spans="1:13">
      <c r="A51" s="2">
        <f t="shared" si="1"/>
        <v>1</v>
      </c>
      <c r="B51" s="501"/>
      <c r="C51" s="180"/>
      <c r="D51" s="512"/>
      <c r="E51" s="502"/>
      <c r="F51" s="177">
        <f t="shared" si="0"/>
        <v>0</v>
      </c>
      <c r="G51" s="177" t="str">
        <f>IF(IFERROR(IF(Str_TypeDonneesCpt5=Cpt_Index,Tab_Compteur_5[[#This Row],[Index]]-E50,Tab_Compteur_5[[#This Row],[Quantité]])/Tab_Compteur_5[[#This Row],[Delta Jour]],"")&lt;0,"",IFERROR(IF(Str_TypeDonneesCpt5=Cpt_Index,Tab_Compteur_5[[#This Row],[Index]]-E50,Tab_Compteur_5[[#This Row],[Quantité]])/Tab_Compteur_5[[#This Row],[Delta Jour]],""))</f>
        <v/>
      </c>
      <c r="H51" s="177" t="str">
        <f>IFERROR(Tab_Compteur_5[[#This Row],[Montant]]/Tab_Compteur_5[[#This Row],[Delta Jour]],"")</f>
        <v/>
      </c>
      <c r="I51" s="184" t="str">
        <f>IF(SUM(Tab_Compteur_5[[#This Row],[Quantité]],Tab_Compteur_5[[#This Row],[Index]])&lt;=0,"",G51)</f>
        <v/>
      </c>
      <c r="J51" s="185"/>
      <c r="K51" s="36"/>
      <c r="L51" s="36"/>
      <c r="M51" s="36"/>
    </row>
    <row r="52" spans="1:13">
      <c r="A52" s="2">
        <f t="shared" si="1"/>
        <v>1</v>
      </c>
      <c r="B52" s="501"/>
      <c r="C52" s="179"/>
      <c r="D52" s="512"/>
      <c r="E52" s="502"/>
      <c r="F52" s="177">
        <f t="shared" si="0"/>
        <v>0</v>
      </c>
      <c r="G52" s="177" t="str">
        <f>IF(IFERROR(IF(Str_TypeDonneesCpt5=Cpt_Index,Tab_Compteur_5[[#This Row],[Index]]-E51,Tab_Compteur_5[[#This Row],[Quantité]])/Tab_Compteur_5[[#This Row],[Delta Jour]],"")&lt;0,"",IFERROR(IF(Str_TypeDonneesCpt5=Cpt_Index,Tab_Compteur_5[[#This Row],[Index]]-E51,Tab_Compteur_5[[#This Row],[Quantité]])/Tab_Compteur_5[[#This Row],[Delta Jour]],""))</f>
        <v/>
      </c>
      <c r="H52" s="177" t="str">
        <f>IFERROR(Tab_Compteur_5[[#This Row],[Montant]]/Tab_Compteur_5[[#This Row],[Delta Jour]],"")</f>
        <v/>
      </c>
      <c r="I52" s="184" t="str">
        <f>IF(SUM(Tab_Compteur_5[[#This Row],[Quantité]],Tab_Compteur_5[[#This Row],[Index]])&lt;=0,"",G52)</f>
        <v/>
      </c>
      <c r="J52" s="185"/>
      <c r="K52" s="36"/>
      <c r="L52" s="36"/>
      <c r="M52" s="36"/>
    </row>
    <row r="53" spans="1:13">
      <c r="A53" s="2">
        <f t="shared" si="1"/>
        <v>1</v>
      </c>
      <c r="B53" s="501"/>
      <c r="C53" s="179"/>
      <c r="D53" s="512"/>
      <c r="E53" s="502"/>
      <c r="F53" s="177">
        <f t="shared" si="0"/>
        <v>0</v>
      </c>
      <c r="G53" s="177" t="str">
        <f>IF(IFERROR(IF(Str_TypeDonneesCpt5=Cpt_Index,Tab_Compteur_5[[#This Row],[Index]]-E52,Tab_Compteur_5[[#This Row],[Quantité]])/Tab_Compteur_5[[#This Row],[Delta Jour]],"")&lt;0,"",IFERROR(IF(Str_TypeDonneesCpt5=Cpt_Index,Tab_Compteur_5[[#This Row],[Index]]-E52,Tab_Compteur_5[[#This Row],[Quantité]])/Tab_Compteur_5[[#This Row],[Delta Jour]],""))</f>
        <v/>
      </c>
      <c r="H53" s="177" t="str">
        <f>IFERROR(Tab_Compteur_5[[#This Row],[Montant]]/Tab_Compteur_5[[#This Row],[Delta Jour]],"")</f>
        <v/>
      </c>
      <c r="I53" s="184" t="str">
        <f>IF(SUM(Tab_Compteur_5[[#This Row],[Quantité]],Tab_Compteur_5[[#This Row],[Index]])&lt;=0,"",G53)</f>
        <v/>
      </c>
      <c r="J53" s="185"/>
      <c r="K53" s="36"/>
      <c r="L53" s="36"/>
      <c r="M53" s="36"/>
    </row>
    <row r="54" spans="1:13">
      <c r="A54" s="2">
        <f t="shared" si="1"/>
        <v>1</v>
      </c>
      <c r="B54" s="501"/>
      <c r="C54" s="179"/>
      <c r="D54" s="512"/>
      <c r="E54" s="502"/>
      <c r="F54" s="177">
        <f t="shared" si="0"/>
        <v>0</v>
      </c>
      <c r="G54" s="177" t="str">
        <f>IF(IFERROR(IF(Str_TypeDonneesCpt5=Cpt_Index,Tab_Compteur_5[[#This Row],[Index]]-E53,Tab_Compteur_5[[#This Row],[Quantité]])/Tab_Compteur_5[[#This Row],[Delta Jour]],"")&lt;0,"",IFERROR(IF(Str_TypeDonneesCpt5=Cpt_Index,Tab_Compteur_5[[#This Row],[Index]]-E53,Tab_Compteur_5[[#This Row],[Quantité]])/Tab_Compteur_5[[#This Row],[Delta Jour]],""))</f>
        <v/>
      </c>
      <c r="H54" s="177" t="str">
        <f>IFERROR(Tab_Compteur_5[[#This Row],[Montant]]/Tab_Compteur_5[[#This Row],[Delta Jour]],"")</f>
        <v/>
      </c>
      <c r="I54" s="184" t="str">
        <f>IF(SUM(Tab_Compteur_5[[#This Row],[Quantité]],Tab_Compteur_5[[#This Row],[Index]])&lt;=0,"",G54)</f>
        <v/>
      </c>
      <c r="J54" s="185"/>
      <c r="K54" s="36"/>
      <c r="L54" s="36"/>
      <c r="M54" s="36"/>
    </row>
    <row r="55" spans="1:13">
      <c r="A55" s="2">
        <f t="shared" si="1"/>
        <v>1</v>
      </c>
      <c r="B55" s="501"/>
      <c r="C55" s="180"/>
      <c r="D55" s="512"/>
      <c r="E55" s="502"/>
      <c r="F55" s="177">
        <f t="shared" si="0"/>
        <v>0</v>
      </c>
      <c r="G55" s="177" t="str">
        <f>IF(IFERROR(IF(Str_TypeDonneesCpt5=Cpt_Index,Tab_Compteur_5[[#This Row],[Index]]-E54,Tab_Compteur_5[[#This Row],[Quantité]])/Tab_Compteur_5[[#This Row],[Delta Jour]],"")&lt;0,"",IFERROR(IF(Str_TypeDonneesCpt5=Cpt_Index,Tab_Compteur_5[[#This Row],[Index]]-E54,Tab_Compteur_5[[#This Row],[Quantité]])/Tab_Compteur_5[[#This Row],[Delta Jour]],""))</f>
        <v/>
      </c>
      <c r="H55" s="177" t="str">
        <f>IFERROR(Tab_Compteur_5[[#This Row],[Montant]]/Tab_Compteur_5[[#This Row],[Delta Jour]],"")</f>
        <v/>
      </c>
      <c r="I55" s="184" t="str">
        <f>IF(SUM(Tab_Compteur_5[[#This Row],[Quantité]],Tab_Compteur_5[[#This Row],[Index]])&lt;=0,"",G55)</f>
        <v/>
      </c>
      <c r="J55" s="185"/>
      <c r="K55" s="36"/>
      <c r="L55" s="36"/>
      <c r="M55" s="36"/>
    </row>
    <row r="56" spans="1:13">
      <c r="A56" s="2">
        <f t="shared" si="1"/>
        <v>1</v>
      </c>
      <c r="B56" s="501"/>
      <c r="C56" s="180"/>
      <c r="D56" s="512"/>
      <c r="E56" s="502"/>
      <c r="F56" s="177">
        <f t="shared" si="0"/>
        <v>0</v>
      </c>
      <c r="G56" s="177" t="str">
        <f>IF(IFERROR(IF(Str_TypeDonneesCpt5=Cpt_Index,Tab_Compteur_5[[#This Row],[Index]]-E55,Tab_Compteur_5[[#This Row],[Quantité]])/Tab_Compteur_5[[#This Row],[Delta Jour]],"")&lt;0,"",IFERROR(IF(Str_TypeDonneesCpt5=Cpt_Index,Tab_Compteur_5[[#This Row],[Index]]-E55,Tab_Compteur_5[[#This Row],[Quantité]])/Tab_Compteur_5[[#This Row],[Delta Jour]],""))</f>
        <v/>
      </c>
      <c r="H56" s="177" t="str">
        <f>IFERROR(Tab_Compteur_5[[#This Row],[Montant]]/Tab_Compteur_5[[#This Row],[Delta Jour]],"")</f>
        <v/>
      </c>
      <c r="I56" s="184" t="str">
        <f>IF(SUM(Tab_Compteur_5[[#This Row],[Quantité]],Tab_Compteur_5[[#This Row],[Index]])&lt;=0,"",G56)</f>
        <v/>
      </c>
      <c r="J56" s="185"/>
      <c r="K56" s="36"/>
      <c r="L56" s="36"/>
      <c r="M56" s="36"/>
    </row>
    <row r="57" spans="1:13">
      <c r="A57" s="2">
        <f t="shared" si="1"/>
        <v>1</v>
      </c>
      <c r="B57" s="501"/>
      <c r="C57" s="180"/>
      <c r="D57" s="512"/>
      <c r="E57" s="502"/>
      <c r="F57" s="177">
        <f t="shared" si="0"/>
        <v>0</v>
      </c>
      <c r="G57" s="177" t="str">
        <f>IF(IFERROR(IF(Str_TypeDonneesCpt5=Cpt_Index,Tab_Compteur_5[[#This Row],[Index]]-E56,Tab_Compteur_5[[#This Row],[Quantité]])/Tab_Compteur_5[[#This Row],[Delta Jour]],"")&lt;0,"",IFERROR(IF(Str_TypeDonneesCpt5=Cpt_Index,Tab_Compteur_5[[#This Row],[Index]]-E56,Tab_Compteur_5[[#This Row],[Quantité]])/Tab_Compteur_5[[#This Row],[Delta Jour]],""))</f>
        <v/>
      </c>
      <c r="H57" s="177" t="str">
        <f>IFERROR(Tab_Compteur_5[[#This Row],[Montant]]/Tab_Compteur_5[[#This Row],[Delta Jour]],"")</f>
        <v/>
      </c>
      <c r="I57" s="184" t="str">
        <f>IF(SUM(Tab_Compteur_5[[#This Row],[Quantité]],Tab_Compteur_5[[#This Row],[Index]])&lt;=0,"",G57)</f>
        <v/>
      </c>
      <c r="J57" s="185"/>
      <c r="K57" s="36"/>
      <c r="L57" s="36"/>
      <c r="M57" s="36"/>
    </row>
    <row r="58" spans="1:13">
      <c r="A58" s="2">
        <f t="shared" si="1"/>
        <v>1</v>
      </c>
      <c r="B58" s="501"/>
      <c r="C58" s="180"/>
      <c r="D58" s="512"/>
      <c r="E58" s="502"/>
      <c r="F58" s="177">
        <f t="shared" si="0"/>
        <v>0</v>
      </c>
      <c r="G58" s="177" t="str">
        <f>IF(IFERROR(IF(Str_TypeDonneesCpt5=Cpt_Index,Tab_Compteur_5[[#This Row],[Index]]-E57,Tab_Compteur_5[[#This Row],[Quantité]])/Tab_Compteur_5[[#This Row],[Delta Jour]],"")&lt;0,"",IFERROR(IF(Str_TypeDonneesCpt5=Cpt_Index,Tab_Compteur_5[[#This Row],[Index]]-E57,Tab_Compteur_5[[#This Row],[Quantité]])/Tab_Compteur_5[[#This Row],[Delta Jour]],""))</f>
        <v/>
      </c>
      <c r="H58" s="177" t="str">
        <f>IFERROR(Tab_Compteur_5[[#This Row],[Montant]]/Tab_Compteur_5[[#This Row],[Delta Jour]],"")</f>
        <v/>
      </c>
      <c r="I58" s="184" t="str">
        <f>IF(SUM(Tab_Compteur_5[[#This Row],[Quantité]],Tab_Compteur_5[[#This Row],[Index]])&lt;=0,"",G58)</f>
        <v/>
      </c>
      <c r="J58" s="185"/>
      <c r="K58" s="36"/>
      <c r="L58" s="36"/>
      <c r="M58" s="36"/>
    </row>
    <row r="59" spans="1:13">
      <c r="A59" s="2">
        <f t="shared" si="1"/>
        <v>1</v>
      </c>
      <c r="B59" s="501"/>
      <c r="C59" s="180"/>
      <c r="D59" s="512"/>
      <c r="E59" s="502"/>
      <c r="F59" s="177">
        <f t="shared" si="0"/>
        <v>0</v>
      </c>
      <c r="G59" s="177" t="str">
        <f>IF(IFERROR(IF(Str_TypeDonneesCpt5=Cpt_Index,Tab_Compteur_5[[#This Row],[Index]]-E58,Tab_Compteur_5[[#This Row],[Quantité]])/Tab_Compteur_5[[#This Row],[Delta Jour]],"")&lt;0,"",IFERROR(IF(Str_TypeDonneesCpt5=Cpt_Index,Tab_Compteur_5[[#This Row],[Index]]-E58,Tab_Compteur_5[[#This Row],[Quantité]])/Tab_Compteur_5[[#This Row],[Delta Jour]],""))</f>
        <v/>
      </c>
      <c r="H59" s="177" t="str">
        <f>IFERROR(Tab_Compteur_5[[#This Row],[Montant]]/Tab_Compteur_5[[#This Row],[Delta Jour]],"")</f>
        <v/>
      </c>
      <c r="I59" s="184" t="str">
        <f>IF(SUM(Tab_Compteur_5[[#This Row],[Quantité]],Tab_Compteur_5[[#This Row],[Index]])&lt;=0,"",G59)</f>
        <v/>
      </c>
      <c r="J59" s="185"/>
      <c r="K59" s="36"/>
      <c r="L59" s="36"/>
      <c r="M59" s="36"/>
    </row>
    <row r="60" spans="1:13">
      <c r="A60" s="2">
        <f t="shared" si="1"/>
        <v>1</v>
      </c>
      <c r="B60" s="501"/>
      <c r="C60" s="178"/>
      <c r="D60" s="491"/>
      <c r="E60" s="502"/>
      <c r="F60" s="177">
        <f t="shared" si="0"/>
        <v>0</v>
      </c>
      <c r="G60" s="177" t="str">
        <f>IF(IFERROR(IF(Str_TypeDonneesCpt5=Cpt_Index,Tab_Compteur_5[[#This Row],[Index]]-E59,Tab_Compteur_5[[#This Row],[Quantité]])/Tab_Compteur_5[[#This Row],[Delta Jour]],"")&lt;0,"",IFERROR(IF(Str_TypeDonneesCpt5=Cpt_Index,Tab_Compteur_5[[#This Row],[Index]]-E59,Tab_Compteur_5[[#This Row],[Quantité]])/Tab_Compteur_5[[#This Row],[Delta Jour]],""))</f>
        <v/>
      </c>
      <c r="H60" s="177" t="str">
        <f>IFERROR(Tab_Compteur_5[[#This Row],[Montant]]/Tab_Compteur_5[[#This Row],[Delta Jour]],"")</f>
        <v/>
      </c>
      <c r="I60" s="184" t="str">
        <f>IF(SUM(Tab_Compteur_5[[#This Row],[Quantité]],Tab_Compteur_5[[#This Row],[Index]])&lt;=0,"",G60)</f>
        <v/>
      </c>
      <c r="J60" s="185"/>
      <c r="K60" s="36"/>
      <c r="L60" s="36"/>
      <c r="M60" s="36"/>
    </row>
    <row r="61" spans="1:13">
      <c r="A61" s="2">
        <f t="shared" si="1"/>
        <v>1</v>
      </c>
      <c r="B61" s="501"/>
      <c r="C61" s="178"/>
      <c r="D61" s="491"/>
      <c r="E61" s="502"/>
      <c r="F61" s="177">
        <f t="shared" si="0"/>
        <v>0</v>
      </c>
      <c r="G61" s="177" t="str">
        <f>IF(IFERROR(IF(Str_TypeDonneesCpt5=Cpt_Index,Tab_Compteur_5[[#This Row],[Index]]-E60,Tab_Compteur_5[[#This Row],[Quantité]])/Tab_Compteur_5[[#This Row],[Delta Jour]],"")&lt;0,"",IFERROR(IF(Str_TypeDonneesCpt5=Cpt_Index,Tab_Compteur_5[[#This Row],[Index]]-E60,Tab_Compteur_5[[#This Row],[Quantité]])/Tab_Compteur_5[[#This Row],[Delta Jour]],""))</f>
        <v/>
      </c>
      <c r="H61" s="177" t="str">
        <f>IFERROR(Tab_Compteur_5[[#This Row],[Montant]]/Tab_Compteur_5[[#This Row],[Delta Jour]],"")</f>
        <v/>
      </c>
      <c r="I61" s="184" t="str">
        <f>IF(SUM(Tab_Compteur_5[[#This Row],[Quantité]],Tab_Compteur_5[[#This Row],[Index]])&lt;=0,"",G61)</f>
        <v/>
      </c>
      <c r="J61" s="185"/>
      <c r="K61" s="36"/>
      <c r="L61" s="36"/>
      <c r="M61" s="36"/>
    </row>
    <row r="62" spans="1:13">
      <c r="A62" s="2">
        <f t="shared" si="1"/>
        <v>1</v>
      </c>
      <c r="B62" s="501"/>
      <c r="C62" s="178"/>
      <c r="D62" s="491"/>
      <c r="E62" s="502"/>
      <c r="F62" s="177">
        <f t="shared" si="0"/>
        <v>0</v>
      </c>
      <c r="G62" s="177" t="str">
        <f>IF(IFERROR(IF(Str_TypeDonneesCpt5=Cpt_Index,Tab_Compteur_5[[#This Row],[Index]]-E61,Tab_Compteur_5[[#This Row],[Quantité]])/Tab_Compteur_5[[#This Row],[Delta Jour]],"")&lt;0,"",IFERROR(IF(Str_TypeDonneesCpt5=Cpt_Index,Tab_Compteur_5[[#This Row],[Index]]-E61,Tab_Compteur_5[[#This Row],[Quantité]])/Tab_Compteur_5[[#This Row],[Delta Jour]],""))</f>
        <v/>
      </c>
      <c r="H62" s="177" t="str">
        <f>IFERROR(Tab_Compteur_5[[#This Row],[Montant]]/Tab_Compteur_5[[#This Row],[Delta Jour]],"")</f>
        <v/>
      </c>
      <c r="I62" s="184" t="str">
        <f>IF(SUM(Tab_Compteur_5[[#This Row],[Quantité]],Tab_Compteur_5[[#This Row],[Index]])&lt;=0,"",G62)</f>
        <v/>
      </c>
      <c r="J62" s="185"/>
      <c r="K62" s="36"/>
      <c r="L62" s="36"/>
      <c r="M62" s="36"/>
    </row>
    <row r="63" spans="1:13">
      <c r="A63" s="2">
        <f t="shared" si="1"/>
        <v>1</v>
      </c>
      <c r="B63" s="501"/>
      <c r="C63" s="178"/>
      <c r="D63" s="491"/>
      <c r="E63" s="502"/>
      <c r="F63" s="177">
        <f t="shared" si="0"/>
        <v>0</v>
      </c>
      <c r="G63" s="177" t="str">
        <f>IF(IFERROR(IF(Str_TypeDonneesCpt5=Cpt_Index,Tab_Compteur_5[[#This Row],[Index]]-E62,Tab_Compteur_5[[#This Row],[Quantité]])/Tab_Compteur_5[[#This Row],[Delta Jour]],"")&lt;0,"",IFERROR(IF(Str_TypeDonneesCpt5=Cpt_Index,Tab_Compteur_5[[#This Row],[Index]]-E62,Tab_Compteur_5[[#This Row],[Quantité]])/Tab_Compteur_5[[#This Row],[Delta Jour]],""))</f>
        <v/>
      </c>
      <c r="H63" s="177" t="str">
        <f>IFERROR(Tab_Compteur_5[[#This Row],[Montant]]/Tab_Compteur_5[[#This Row],[Delta Jour]],"")</f>
        <v/>
      </c>
      <c r="I63" s="184" t="str">
        <f>IF(SUM(Tab_Compteur_5[[#This Row],[Quantité]],Tab_Compteur_5[[#This Row],[Index]])&lt;=0,"",G63)</f>
        <v/>
      </c>
      <c r="J63" s="185"/>
      <c r="K63" s="36"/>
      <c r="L63" s="36"/>
      <c r="M63" s="36"/>
    </row>
    <row r="64" spans="1:13">
      <c r="A64" s="2">
        <f t="shared" si="1"/>
        <v>1</v>
      </c>
      <c r="B64" s="501"/>
      <c r="C64" s="178"/>
      <c r="D64" s="491"/>
      <c r="E64" s="502"/>
      <c r="F64" s="177">
        <f t="shared" si="0"/>
        <v>0</v>
      </c>
      <c r="G64" s="177" t="str">
        <f>IF(IFERROR(IF(Str_TypeDonneesCpt5=Cpt_Index,Tab_Compteur_5[[#This Row],[Index]]-E63,Tab_Compteur_5[[#This Row],[Quantité]])/Tab_Compteur_5[[#This Row],[Delta Jour]],"")&lt;0,"",IFERROR(IF(Str_TypeDonneesCpt5=Cpt_Index,Tab_Compteur_5[[#This Row],[Index]]-E63,Tab_Compteur_5[[#This Row],[Quantité]])/Tab_Compteur_5[[#This Row],[Delta Jour]],""))</f>
        <v/>
      </c>
      <c r="H64" s="177" t="str">
        <f>IFERROR(Tab_Compteur_5[[#This Row],[Montant]]/Tab_Compteur_5[[#This Row],[Delta Jour]],"")</f>
        <v/>
      </c>
      <c r="I64" s="184" t="str">
        <f>IF(SUM(Tab_Compteur_5[[#This Row],[Quantité]],Tab_Compteur_5[[#This Row],[Index]])&lt;=0,"",G64)</f>
        <v/>
      </c>
      <c r="J64" s="185"/>
      <c r="K64" s="36"/>
      <c r="L64" s="36"/>
      <c r="M64" s="36"/>
    </row>
    <row r="65" spans="1:13">
      <c r="A65" s="2">
        <f t="shared" si="1"/>
        <v>1</v>
      </c>
      <c r="B65" s="501"/>
      <c r="C65" s="178"/>
      <c r="D65" s="491"/>
      <c r="E65" s="502"/>
      <c r="F65" s="177">
        <f t="shared" si="0"/>
        <v>0</v>
      </c>
      <c r="G65" s="177" t="str">
        <f>IF(IFERROR(IF(Str_TypeDonneesCpt5=Cpt_Index,Tab_Compteur_5[[#This Row],[Index]]-E64,Tab_Compteur_5[[#This Row],[Quantité]])/Tab_Compteur_5[[#This Row],[Delta Jour]],"")&lt;0,"",IFERROR(IF(Str_TypeDonneesCpt5=Cpt_Index,Tab_Compteur_5[[#This Row],[Index]]-E64,Tab_Compteur_5[[#This Row],[Quantité]])/Tab_Compteur_5[[#This Row],[Delta Jour]],""))</f>
        <v/>
      </c>
      <c r="H65" s="177" t="str">
        <f>IFERROR(Tab_Compteur_5[[#This Row],[Montant]]/Tab_Compteur_5[[#This Row],[Delta Jour]],"")</f>
        <v/>
      </c>
      <c r="I65" s="184" t="str">
        <f>IF(SUM(Tab_Compteur_5[[#This Row],[Quantité]],Tab_Compteur_5[[#This Row],[Index]])&lt;=0,"",G65)</f>
        <v/>
      </c>
      <c r="J65" s="185"/>
      <c r="K65" s="36"/>
      <c r="L65" s="36"/>
      <c r="M65" s="36"/>
    </row>
    <row r="66" spans="1:13">
      <c r="A66" s="2">
        <f t="shared" si="1"/>
        <v>1</v>
      </c>
      <c r="B66" s="501"/>
      <c r="C66" s="178"/>
      <c r="D66" s="491"/>
      <c r="E66" s="502"/>
      <c r="F66" s="177">
        <f t="shared" si="0"/>
        <v>0</v>
      </c>
      <c r="G66" s="177" t="str">
        <f>IF(IFERROR(IF(Str_TypeDonneesCpt5=Cpt_Index,Tab_Compteur_5[[#This Row],[Index]]-E65,Tab_Compteur_5[[#This Row],[Quantité]])/Tab_Compteur_5[[#This Row],[Delta Jour]],"")&lt;0,"",IFERROR(IF(Str_TypeDonneesCpt5=Cpt_Index,Tab_Compteur_5[[#This Row],[Index]]-E65,Tab_Compteur_5[[#This Row],[Quantité]])/Tab_Compteur_5[[#This Row],[Delta Jour]],""))</f>
        <v/>
      </c>
      <c r="H66" s="177" t="str">
        <f>IFERROR(Tab_Compteur_5[[#This Row],[Montant]]/Tab_Compteur_5[[#This Row],[Delta Jour]],"")</f>
        <v/>
      </c>
      <c r="I66" s="184" t="str">
        <f>IF(SUM(Tab_Compteur_5[[#This Row],[Quantité]],Tab_Compteur_5[[#This Row],[Index]])&lt;=0,"",G66)</f>
        <v/>
      </c>
      <c r="J66" s="185"/>
      <c r="K66" s="36"/>
      <c r="L66" s="36"/>
      <c r="M66" s="36"/>
    </row>
    <row r="67" spans="1:13">
      <c r="A67" s="2">
        <f t="shared" si="1"/>
        <v>1</v>
      </c>
      <c r="B67" s="501"/>
      <c r="C67" s="178"/>
      <c r="D67" s="491"/>
      <c r="E67" s="502"/>
      <c r="F67" s="177">
        <f t="shared" ref="F67:F130" si="2">IFERROR(B67-A67+1,"")</f>
        <v>0</v>
      </c>
      <c r="G67" s="177" t="str">
        <f>IF(IFERROR(IF(Str_TypeDonneesCpt5=Cpt_Index,Tab_Compteur_5[[#This Row],[Index]]-E66,Tab_Compteur_5[[#This Row],[Quantité]])/Tab_Compteur_5[[#This Row],[Delta Jour]],"")&lt;0,"",IFERROR(IF(Str_TypeDonneesCpt5=Cpt_Index,Tab_Compteur_5[[#This Row],[Index]]-E66,Tab_Compteur_5[[#This Row],[Quantité]])/Tab_Compteur_5[[#This Row],[Delta Jour]],""))</f>
        <v/>
      </c>
      <c r="H67" s="177" t="str">
        <f>IFERROR(Tab_Compteur_5[[#This Row],[Montant]]/Tab_Compteur_5[[#This Row],[Delta Jour]],"")</f>
        <v/>
      </c>
      <c r="I67" s="184" t="str">
        <f>IF(SUM(Tab_Compteur_5[[#This Row],[Quantité]],Tab_Compteur_5[[#This Row],[Index]])&lt;=0,"",G67)</f>
        <v/>
      </c>
      <c r="J67" s="185"/>
      <c r="K67" s="36"/>
      <c r="L67" s="36"/>
      <c r="M67" s="36"/>
    </row>
    <row r="68" spans="1:13">
      <c r="A68" s="2">
        <f t="shared" si="1"/>
        <v>1</v>
      </c>
      <c r="B68" s="501"/>
      <c r="C68" s="178"/>
      <c r="D68" s="491"/>
      <c r="E68" s="502"/>
      <c r="F68" s="177">
        <f t="shared" si="2"/>
        <v>0</v>
      </c>
      <c r="G68" s="177" t="str">
        <f>IF(IFERROR(IF(Str_TypeDonneesCpt5=Cpt_Index,Tab_Compteur_5[[#This Row],[Index]]-E67,Tab_Compteur_5[[#This Row],[Quantité]])/Tab_Compteur_5[[#This Row],[Delta Jour]],"")&lt;0,"",IFERROR(IF(Str_TypeDonneesCpt5=Cpt_Index,Tab_Compteur_5[[#This Row],[Index]]-E67,Tab_Compteur_5[[#This Row],[Quantité]])/Tab_Compteur_5[[#This Row],[Delta Jour]],""))</f>
        <v/>
      </c>
      <c r="H68" s="177" t="str">
        <f>IFERROR(Tab_Compteur_5[[#This Row],[Montant]]/Tab_Compteur_5[[#This Row],[Delta Jour]],"")</f>
        <v/>
      </c>
      <c r="I68" s="184" t="str">
        <f>IF(SUM(Tab_Compteur_5[[#This Row],[Quantité]],Tab_Compteur_5[[#This Row],[Index]])&lt;=0,"",G68)</f>
        <v/>
      </c>
      <c r="J68" s="185"/>
      <c r="K68" s="36"/>
      <c r="L68" s="36"/>
      <c r="M68" s="36"/>
    </row>
    <row r="69" spans="1:13">
      <c r="A69" s="2">
        <f t="shared" si="1"/>
        <v>1</v>
      </c>
      <c r="B69" s="501"/>
      <c r="C69" s="178"/>
      <c r="D69" s="491"/>
      <c r="E69" s="502"/>
      <c r="F69" s="177">
        <f t="shared" si="2"/>
        <v>0</v>
      </c>
      <c r="G69" s="177" t="str">
        <f>IF(IFERROR(IF(Str_TypeDonneesCpt5=Cpt_Index,Tab_Compteur_5[[#This Row],[Index]]-E68,Tab_Compteur_5[[#This Row],[Quantité]])/Tab_Compteur_5[[#This Row],[Delta Jour]],"")&lt;0,"",IFERROR(IF(Str_TypeDonneesCpt5=Cpt_Index,Tab_Compteur_5[[#This Row],[Index]]-E68,Tab_Compteur_5[[#This Row],[Quantité]])/Tab_Compteur_5[[#This Row],[Delta Jour]],""))</f>
        <v/>
      </c>
      <c r="H69" s="177" t="str">
        <f>IFERROR(Tab_Compteur_5[[#This Row],[Montant]]/Tab_Compteur_5[[#This Row],[Delta Jour]],"")</f>
        <v/>
      </c>
      <c r="I69" s="184" t="str">
        <f>IF(SUM(Tab_Compteur_5[[#This Row],[Quantité]],Tab_Compteur_5[[#This Row],[Index]])&lt;=0,"",G69)</f>
        <v/>
      </c>
      <c r="J69" s="185"/>
      <c r="K69" s="36"/>
      <c r="L69" s="36"/>
      <c r="M69" s="36"/>
    </row>
    <row r="70" spans="1:13">
      <c r="A70" s="2">
        <f t="shared" ref="A70:A133" si="3">IFERROR(B69+1,0)</f>
        <v>1</v>
      </c>
      <c r="B70" s="501"/>
      <c r="C70" s="178"/>
      <c r="D70" s="491"/>
      <c r="E70" s="502"/>
      <c r="F70" s="177">
        <f t="shared" si="2"/>
        <v>0</v>
      </c>
      <c r="G70" s="177" t="str">
        <f>IF(IFERROR(IF(Str_TypeDonneesCpt5=Cpt_Index,Tab_Compteur_5[[#This Row],[Index]]-E69,Tab_Compteur_5[[#This Row],[Quantité]])/Tab_Compteur_5[[#This Row],[Delta Jour]],"")&lt;0,"",IFERROR(IF(Str_TypeDonneesCpt5=Cpt_Index,Tab_Compteur_5[[#This Row],[Index]]-E69,Tab_Compteur_5[[#This Row],[Quantité]])/Tab_Compteur_5[[#This Row],[Delta Jour]],""))</f>
        <v/>
      </c>
      <c r="H70" s="177" t="str">
        <f>IFERROR(Tab_Compteur_5[[#This Row],[Montant]]/Tab_Compteur_5[[#This Row],[Delta Jour]],"")</f>
        <v/>
      </c>
      <c r="I70" s="184" t="str">
        <f>IF(SUM(Tab_Compteur_5[[#This Row],[Quantité]],Tab_Compteur_5[[#This Row],[Index]])&lt;=0,"",G70)</f>
        <v/>
      </c>
      <c r="J70" s="185"/>
      <c r="K70" s="36"/>
      <c r="L70" s="36"/>
      <c r="M70" s="36"/>
    </row>
    <row r="71" spans="1:13">
      <c r="A71" s="2">
        <f t="shared" si="3"/>
        <v>1</v>
      </c>
      <c r="B71" s="501"/>
      <c r="C71" s="178"/>
      <c r="D71" s="491"/>
      <c r="E71" s="502"/>
      <c r="F71" s="177">
        <f t="shared" si="2"/>
        <v>0</v>
      </c>
      <c r="G71" s="177" t="str">
        <f>IF(IFERROR(IF(Str_TypeDonneesCpt5=Cpt_Index,Tab_Compteur_5[[#This Row],[Index]]-E70,Tab_Compteur_5[[#This Row],[Quantité]])/Tab_Compteur_5[[#This Row],[Delta Jour]],"")&lt;0,"",IFERROR(IF(Str_TypeDonneesCpt5=Cpt_Index,Tab_Compteur_5[[#This Row],[Index]]-E70,Tab_Compteur_5[[#This Row],[Quantité]])/Tab_Compteur_5[[#This Row],[Delta Jour]],""))</f>
        <v/>
      </c>
      <c r="H71" s="177" t="str">
        <f>IFERROR(Tab_Compteur_5[[#This Row],[Montant]]/Tab_Compteur_5[[#This Row],[Delta Jour]],"")</f>
        <v/>
      </c>
      <c r="I71" s="184" t="str">
        <f>IF(SUM(Tab_Compteur_5[[#This Row],[Quantité]],Tab_Compteur_5[[#This Row],[Index]])&lt;=0,"",G71)</f>
        <v/>
      </c>
      <c r="J71" s="185"/>
      <c r="K71" s="36"/>
      <c r="L71" s="36"/>
      <c r="M71" s="36"/>
    </row>
    <row r="72" spans="1:13">
      <c r="A72" s="2">
        <f t="shared" si="3"/>
        <v>1</v>
      </c>
      <c r="B72" s="501"/>
      <c r="C72" s="178"/>
      <c r="D72" s="491"/>
      <c r="E72" s="502"/>
      <c r="F72" s="177">
        <f t="shared" si="2"/>
        <v>0</v>
      </c>
      <c r="G72" s="177" t="str">
        <f>IF(IFERROR(IF(Str_TypeDonneesCpt5=Cpt_Index,Tab_Compteur_5[[#This Row],[Index]]-E71,Tab_Compteur_5[[#This Row],[Quantité]])/Tab_Compteur_5[[#This Row],[Delta Jour]],"")&lt;0,"",IFERROR(IF(Str_TypeDonneesCpt5=Cpt_Index,Tab_Compteur_5[[#This Row],[Index]]-E71,Tab_Compteur_5[[#This Row],[Quantité]])/Tab_Compteur_5[[#This Row],[Delta Jour]],""))</f>
        <v/>
      </c>
      <c r="H72" s="177" t="str">
        <f>IFERROR(Tab_Compteur_5[[#This Row],[Montant]]/Tab_Compteur_5[[#This Row],[Delta Jour]],"")</f>
        <v/>
      </c>
      <c r="I72" s="184" t="str">
        <f>IF(SUM(Tab_Compteur_5[[#This Row],[Quantité]],Tab_Compteur_5[[#This Row],[Index]])&lt;=0,"",G72)</f>
        <v/>
      </c>
      <c r="J72" s="185"/>
      <c r="K72" s="36"/>
      <c r="L72" s="36"/>
      <c r="M72" s="36"/>
    </row>
    <row r="73" spans="1:13">
      <c r="A73" s="2">
        <f t="shared" si="3"/>
        <v>1</v>
      </c>
      <c r="B73" s="501"/>
      <c r="C73" s="178"/>
      <c r="D73" s="491"/>
      <c r="E73" s="502"/>
      <c r="F73" s="177">
        <f t="shared" si="2"/>
        <v>0</v>
      </c>
      <c r="G73" s="177" t="str">
        <f>IF(IFERROR(IF(Str_TypeDonneesCpt5=Cpt_Index,Tab_Compteur_5[[#This Row],[Index]]-E72,Tab_Compteur_5[[#This Row],[Quantité]])/Tab_Compteur_5[[#This Row],[Delta Jour]],"")&lt;0,"",IFERROR(IF(Str_TypeDonneesCpt5=Cpt_Index,Tab_Compteur_5[[#This Row],[Index]]-E72,Tab_Compteur_5[[#This Row],[Quantité]])/Tab_Compteur_5[[#This Row],[Delta Jour]],""))</f>
        <v/>
      </c>
      <c r="H73" s="177" t="str">
        <f>IFERROR(Tab_Compteur_5[[#This Row],[Montant]]/Tab_Compteur_5[[#This Row],[Delta Jour]],"")</f>
        <v/>
      </c>
      <c r="I73" s="184" t="str">
        <f>IF(SUM(Tab_Compteur_5[[#This Row],[Quantité]],Tab_Compteur_5[[#This Row],[Index]])&lt;=0,"",G73)</f>
        <v/>
      </c>
      <c r="J73" s="185"/>
      <c r="K73" s="36"/>
      <c r="L73" s="36"/>
      <c r="M73" s="36"/>
    </row>
    <row r="74" spans="1:13">
      <c r="A74" s="2">
        <f t="shared" si="3"/>
        <v>1</v>
      </c>
      <c r="B74" s="501"/>
      <c r="C74" s="178"/>
      <c r="D74" s="491"/>
      <c r="E74" s="502"/>
      <c r="F74" s="177">
        <f t="shared" si="2"/>
        <v>0</v>
      </c>
      <c r="G74" s="177" t="str">
        <f>IF(IFERROR(IF(Str_TypeDonneesCpt5=Cpt_Index,Tab_Compteur_5[[#This Row],[Index]]-E73,Tab_Compteur_5[[#This Row],[Quantité]])/Tab_Compteur_5[[#This Row],[Delta Jour]],"")&lt;0,"",IFERROR(IF(Str_TypeDonneesCpt5=Cpt_Index,Tab_Compteur_5[[#This Row],[Index]]-E73,Tab_Compteur_5[[#This Row],[Quantité]])/Tab_Compteur_5[[#This Row],[Delta Jour]],""))</f>
        <v/>
      </c>
      <c r="H74" s="177" t="str">
        <f>IFERROR(Tab_Compteur_5[[#This Row],[Montant]]/Tab_Compteur_5[[#This Row],[Delta Jour]],"")</f>
        <v/>
      </c>
      <c r="I74" s="184" t="str">
        <f>IF(SUM(Tab_Compteur_5[[#This Row],[Quantité]],Tab_Compteur_5[[#This Row],[Index]])&lt;=0,"",G74)</f>
        <v/>
      </c>
      <c r="J74" s="185"/>
      <c r="K74" s="36"/>
      <c r="L74" s="36"/>
      <c r="M74" s="36"/>
    </row>
    <row r="75" spans="1:13">
      <c r="A75" s="2">
        <f t="shared" si="3"/>
        <v>1</v>
      </c>
      <c r="B75" s="501"/>
      <c r="C75" s="178"/>
      <c r="D75" s="491"/>
      <c r="E75" s="502"/>
      <c r="F75" s="177">
        <f t="shared" si="2"/>
        <v>0</v>
      </c>
      <c r="G75" s="177" t="str">
        <f>IF(IFERROR(IF(Str_TypeDonneesCpt5=Cpt_Index,Tab_Compteur_5[[#This Row],[Index]]-E74,Tab_Compteur_5[[#This Row],[Quantité]])/Tab_Compteur_5[[#This Row],[Delta Jour]],"")&lt;0,"",IFERROR(IF(Str_TypeDonneesCpt5=Cpt_Index,Tab_Compteur_5[[#This Row],[Index]]-E74,Tab_Compteur_5[[#This Row],[Quantité]])/Tab_Compteur_5[[#This Row],[Delta Jour]],""))</f>
        <v/>
      </c>
      <c r="H75" s="177" t="str">
        <f>IFERROR(Tab_Compteur_5[[#This Row],[Montant]]/Tab_Compteur_5[[#This Row],[Delta Jour]],"")</f>
        <v/>
      </c>
      <c r="I75" s="184" t="str">
        <f>IF(SUM(Tab_Compteur_5[[#This Row],[Quantité]],Tab_Compteur_5[[#This Row],[Index]])&lt;=0,"",G75)</f>
        <v/>
      </c>
      <c r="J75" s="185"/>
      <c r="K75" s="36"/>
      <c r="L75" s="36"/>
      <c r="M75" s="36"/>
    </row>
    <row r="76" spans="1:13">
      <c r="A76" s="2">
        <f t="shared" si="3"/>
        <v>1</v>
      </c>
      <c r="B76" s="501"/>
      <c r="C76" s="178"/>
      <c r="D76" s="491"/>
      <c r="E76" s="502"/>
      <c r="F76" s="177">
        <f t="shared" si="2"/>
        <v>0</v>
      </c>
      <c r="G76" s="177" t="str">
        <f>IF(IFERROR(IF(Str_TypeDonneesCpt5=Cpt_Index,Tab_Compteur_5[[#This Row],[Index]]-E75,Tab_Compteur_5[[#This Row],[Quantité]])/Tab_Compteur_5[[#This Row],[Delta Jour]],"")&lt;0,"",IFERROR(IF(Str_TypeDonneesCpt5=Cpt_Index,Tab_Compteur_5[[#This Row],[Index]]-E75,Tab_Compteur_5[[#This Row],[Quantité]])/Tab_Compteur_5[[#This Row],[Delta Jour]],""))</f>
        <v/>
      </c>
      <c r="H76" s="177" t="str">
        <f>IFERROR(Tab_Compteur_5[[#This Row],[Montant]]/Tab_Compteur_5[[#This Row],[Delta Jour]],"")</f>
        <v/>
      </c>
      <c r="I76" s="184" t="str">
        <f>IF(SUM(Tab_Compteur_5[[#This Row],[Quantité]],Tab_Compteur_5[[#This Row],[Index]])&lt;=0,"",G76)</f>
        <v/>
      </c>
      <c r="J76" s="185"/>
      <c r="K76" s="36"/>
      <c r="L76" s="36"/>
      <c r="M76" s="36"/>
    </row>
    <row r="77" spans="1:13">
      <c r="A77" s="2">
        <f t="shared" si="3"/>
        <v>1</v>
      </c>
      <c r="B77" s="501"/>
      <c r="C77" s="178"/>
      <c r="D77" s="491"/>
      <c r="E77" s="502"/>
      <c r="F77" s="177">
        <f t="shared" si="2"/>
        <v>0</v>
      </c>
      <c r="G77" s="177" t="str">
        <f>IF(IFERROR(IF(Str_TypeDonneesCpt5=Cpt_Index,Tab_Compteur_5[[#This Row],[Index]]-E76,Tab_Compteur_5[[#This Row],[Quantité]])/Tab_Compteur_5[[#This Row],[Delta Jour]],"")&lt;0,"",IFERROR(IF(Str_TypeDonneesCpt5=Cpt_Index,Tab_Compteur_5[[#This Row],[Index]]-E76,Tab_Compteur_5[[#This Row],[Quantité]])/Tab_Compteur_5[[#This Row],[Delta Jour]],""))</f>
        <v/>
      </c>
      <c r="H77" s="177" t="str">
        <f>IFERROR(Tab_Compteur_5[[#This Row],[Montant]]/Tab_Compteur_5[[#This Row],[Delta Jour]],"")</f>
        <v/>
      </c>
      <c r="I77" s="184" t="str">
        <f>IF(SUM(Tab_Compteur_5[[#This Row],[Quantité]],Tab_Compteur_5[[#This Row],[Index]])&lt;=0,"",G77)</f>
        <v/>
      </c>
      <c r="J77" s="185"/>
      <c r="K77" s="36"/>
      <c r="L77" s="36"/>
      <c r="M77" s="36"/>
    </row>
    <row r="78" spans="1:13">
      <c r="A78" s="2">
        <f t="shared" si="3"/>
        <v>1</v>
      </c>
      <c r="B78" s="501"/>
      <c r="C78" s="178"/>
      <c r="D78" s="491"/>
      <c r="E78" s="502"/>
      <c r="F78" s="177">
        <f t="shared" si="2"/>
        <v>0</v>
      </c>
      <c r="G78" s="177" t="str">
        <f>IF(IFERROR(IF(Str_TypeDonneesCpt5=Cpt_Index,Tab_Compteur_5[[#This Row],[Index]]-E77,Tab_Compteur_5[[#This Row],[Quantité]])/Tab_Compteur_5[[#This Row],[Delta Jour]],"")&lt;0,"",IFERROR(IF(Str_TypeDonneesCpt5=Cpt_Index,Tab_Compteur_5[[#This Row],[Index]]-E77,Tab_Compteur_5[[#This Row],[Quantité]])/Tab_Compteur_5[[#This Row],[Delta Jour]],""))</f>
        <v/>
      </c>
      <c r="H78" s="177" t="str">
        <f>IFERROR(Tab_Compteur_5[[#This Row],[Montant]]/Tab_Compteur_5[[#This Row],[Delta Jour]],"")</f>
        <v/>
      </c>
      <c r="I78" s="184" t="str">
        <f>IF(SUM(Tab_Compteur_5[[#This Row],[Quantité]],Tab_Compteur_5[[#This Row],[Index]])&lt;=0,"",G78)</f>
        <v/>
      </c>
      <c r="J78" s="185"/>
      <c r="K78" s="36"/>
      <c r="L78" s="36"/>
      <c r="M78" s="36"/>
    </row>
    <row r="79" spans="1:13">
      <c r="A79" s="2">
        <f t="shared" si="3"/>
        <v>1</v>
      </c>
      <c r="B79" s="501"/>
      <c r="C79" s="178"/>
      <c r="D79" s="491"/>
      <c r="E79" s="502"/>
      <c r="F79" s="177">
        <f t="shared" si="2"/>
        <v>0</v>
      </c>
      <c r="G79" s="177" t="str">
        <f>IF(IFERROR(IF(Str_TypeDonneesCpt5=Cpt_Index,Tab_Compteur_5[[#This Row],[Index]]-E78,Tab_Compteur_5[[#This Row],[Quantité]])/Tab_Compteur_5[[#This Row],[Delta Jour]],"")&lt;0,"",IFERROR(IF(Str_TypeDonneesCpt5=Cpt_Index,Tab_Compteur_5[[#This Row],[Index]]-E78,Tab_Compteur_5[[#This Row],[Quantité]])/Tab_Compteur_5[[#This Row],[Delta Jour]],""))</f>
        <v/>
      </c>
      <c r="H79" s="177" t="str">
        <f>IFERROR(Tab_Compteur_5[[#This Row],[Montant]]/Tab_Compteur_5[[#This Row],[Delta Jour]],"")</f>
        <v/>
      </c>
      <c r="I79" s="184" t="str">
        <f>IF(SUM(Tab_Compteur_5[[#This Row],[Quantité]],Tab_Compteur_5[[#This Row],[Index]])&lt;=0,"",G79)</f>
        <v/>
      </c>
      <c r="J79" s="185"/>
      <c r="K79" s="36"/>
      <c r="L79" s="36"/>
      <c r="M79" s="36"/>
    </row>
    <row r="80" spans="1:13">
      <c r="A80" s="2">
        <f t="shared" si="3"/>
        <v>1</v>
      </c>
      <c r="B80" s="501"/>
      <c r="C80" s="178"/>
      <c r="D80" s="491"/>
      <c r="E80" s="502"/>
      <c r="F80" s="177">
        <f t="shared" si="2"/>
        <v>0</v>
      </c>
      <c r="G80" s="177" t="str">
        <f>IF(IFERROR(IF(Str_TypeDonneesCpt5=Cpt_Index,Tab_Compteur_5[[#This Row],[Index]]-E79,Tab_Compteur_5[[#This Row],[Quantité]])/Tab_Compteur_5[[#This Row],[Delta Jour]],"")&lt;0,"",IFERROR(IF(Str_TypeDonneesCpt5=Cpt_Index,Tab_Compteur_5[[#This Row],[Index]]-E79,Tab_Compteur_5[[#This Row],[Quantité]])/Tab_Compteur_5[[#This Row],[Delta Jour]],""))</f>
        <v/>
      </c>
      <c r="H80" s="177" t="str">
        <f>IFERROR(Tab_Compteur_5[[#This Row],[Montant]]/Tab_Compteur_5[[#This Row],[Delta Jour]],"")</f>
        <v/>
      </c>
      <c r="I80" s="184" t="str">
        <f>IF(SUM(Tab_Compteur_5[[#This Row],[Quantité]],Tab_Compteur_5[[#This Row],[Index]])&lt;=0,"",G80)</f>
        <v/>
      </c>
      <c r="J80" s="185"/>
      <c r="K80" s="36"/>
      <c r="L80" s="36"/>
      <c r="M80" s="36"/>
    </row>
    <row r="81" spans="1:13">
      <c r="A81" s="2">
        <f t="shared" si="3"/>
        <v>1</v>
      </c>
      <c r="B81" s="501"/>
      <c r="C81" s="178"/>
      <c r="D81" s="491"/>
      <c r="E81" s="502"/>
      <c r="F81" s="177">
        <f t="shared" si="2"/>
        <v>0</v>
      </c>
      <c r="G81" s="177" t="str">
        <f>IF(IFERROR(IF(Str_TypeDonneesCpt5=Cpt_Index,Tab_Compteur_5[[#This Row],[Index]]-E80,Tab_Compteur_5[[#This Row],[Quantité]])/Tab_Compteur_5[[#This Row],[Delta Jour]],"")&lt;0,"",IFERROR(IF(Str_TypeDonneesCpt5=Cpt_Index,Tab_Compteur_5[[#This Row],[Index]]-E80,Tab_Compteur_5[[#This Row],[Quantité]])/Tab_Compteur_5[[#This Row],[Delta Jour]],""))</f>
        <v/>
      </c>
      <c r="H81" s="177" t="str">
        <f>IFERROR(Tab_Compteur_5[[#This Row],[Montant]]/Tab_Compteur_5[[#This Row],[Delta Jour]],"")</f>
        <v/>
      </c>
      <c r="I81" s="184" t="str">
        <f>IF(SUM(Tab_Compteur_5[[#This Row],[Quantité]],Tab_Compteur_5[[#This Row],[Index]])&lt;=0,"",G81)</f>
        <v/>
      </c>
      <c r="J81" s="185"/>
      <c r="K81" s="36"/>
      <c r="L81" s="36"/>
      <c r="M81" s="36"/>
    </row>
    <row r="82" spans="1:13">
      <c r="A82" s="2">
        <f t="shared" si="3"/>
        <v>1</v>
      </c>
      <c r="B82" s="501"/>
      <c r="C82" s="178"/>
      <c r="D82" s="491"/>
      <c r="E82" s="502"/>
      <c r="F82" s="177">
        <f t="shared" si="2"/>
        <v>0</v>
      </c>
      <c r="G82" s="177" t="str">
        <f>IF(IFERROR(IF(Str_TypeDonneesCpt5=Cpt_Index,Tab_Compteur_5[[#This Row],[Index]]-E81,Tab_Compteur_5[[#This Row],[Quantité]])/Tab_Compteur_5[[#This Row],[Delta Jour]],"")&lt;0,"",IFERROR(IF(Str_TypeDonneesCpt5=Cpt_Index,Tab_Compteur_5[[#This Row],[Index]]-E81,Tab_Compteur_5[[#This Row],[Quantité]])/Tab_Compteur_5[[#This Row],[Delta Jour]],""))</f>
        <v/>
      </c>
      <c r="H82" s="177" t="str">
        <f>IFERROR(Tab_Compteur_5[[#This Row],[Montant]]/Tab_Compteur_5[[#This Row],[Delta Jour]],"")</f>
        <v/>
      </c>
      <c r="I82" s="184" t="str">
        <f>IF(SUM(Tab_Compteur_5[[#This Row],[Quantité]],Tab_Compteur_5[[#This Row],[Index]])&lt;=0,"",G82)</f>
        <v/>
      </c>
      <c r="J82" s="185"/>
      <c r="K82" s="36"/>
      <c r="L82" s="36"/>
      <c r="M82" s="36"/>
    </row>
    <row r="83" spans="1:13">
      <c r="A83" s="2">
        <f t="shared" si="3"/>
        <v>1</v>
      </c>
      <c r="B83" s="501"/>
      <c r="C83" s="178"/>
      <c r="D83" s="491"/>
      <c r="E83" s="502"/>
      <c r="F83" s="177">
        <f t="shared" si="2"/>
        <v>0</v>
      </c>
      <c r="G83" s="177" t="str">
        <f>IF(IFERROR(IF(Str_TypeDonneesCpt5=Cpt_Index,Tab_Compteur_5[[#This Row],[Index]]-E82,Tab_Compteur_5[[#This Row],[Quantité]])/Tab_Compteur_5[[#This Row],[Delta Jour]],"")&lt;0,"",IFERROR(IF(Str_TypeDonneesCpt5=Cpt_Index,Tab_Compteur_5[[#This Row],[Index]]-E82,Tab_Compteur_5[[#This Row],[Quantité]])/Tab_Compteur_5[[#This Row],[Delta Jour]],""))</f>
        <v/>
      </c>
      <c r="H83" s="177" t="str">
        <f>IFERROR(Tab_Compteur_5[[#This Row],[Montant]]/Tab_Compteur_5[[#This Row],[Delta Jour]],"")</f>
        <v/>
      </c>
      <c r="I83" s="184" t="str">
        <f>IF(SUM(Tab_Compteur_5[[#This Row],[Quantité]],Tab_Compteur_5[[#This Row],[Index]])&lt;=0,"",G83)</f>
        <v/>
      </c>
      <c r="J83" s="185"/>
      <c r="K83" s="36"/>
      <c r="L83" s="36"/>
      <c r="M83" s="36"/>
    </row>
    <row r="84" spans="1:13">
      <c r="A84" s="2">
        <f t="shared" si="3"/>
        <v>1</v>
      </c>
      <c r="B84" s="501"/>
      <c r="C84" s="178"/>
      <c r="D84" s="491"/>
      <c r="E84" s="502"/>
      <c r="F84" s="177">
        <f t="shared" si="2"/>
        <v>0</v>
      </c>
      <c r="G84" s="177" t="str">
        <f>IF(IFERROR(IF(Str_TypeDonneesCpt5=Cpt_Index,Tab_Compteur_5[[#This Row],[Index]]-E83,Tab_Compteur_5[[#This Row],[Quantité]])/Tab_Compteur_5[[#This Row],[Delta Jour]],"")&lt;0,"",IFERROR(IF(Str_TypeDonneesCpt5=Cpt_Index,Tab_Compteur_5[[#This Row],[Index]]-E83,Tab_Compteur_5[[#This Row],[Quantité]])/Tab_Compteur_5[[#This Row],[Delta Jour]],""))</f>
        <v/>
      </c>
      <c r="H84" s="177" t="str">
        <f>IFERROR(Tab_Compteur_5[[#This Row],[Montant]]/Tab_Compteur_5[[#This Row],[Delta Jour]],"")</f>
        <v/>
      </c>
      <c r="I84" s="184" t="str">
        <f>IF(SUM(Tab_Compteur_5[[#This Row],[Quantité]],Tab_Compteur_5[[#This Row],[Index]])&lt;=0,"",G84)</f>
        <v/>
      </c>
      <c r="J84" s="185"/>
      <c r="K84" s="36"/>
      <c r="L84" s="36"/>
      <c r="M84" s="36"/>
    </row>
    <row r="85" spans="1:13">
      <c r="A85" s="2">
        <f t="shared" si="3"/>
        <v>1</v>
      </c>
      <c r="B85" s="501"/>
      <c r="C85" s="178"/>
      <c r="D85" s="491"/>
      <c r="E85" s="502"/>
      <c r="F85" s="177">
        <f t="shared" si="2"/>
        <v>0</v>
      </c>
      <c r="G85" s="177" t="str">
        <f>IF(IFERROR(IF(Str_TypeDonneesCpt5=Cpt_Index,Tab_Compteur_5[[#This Row],[Index]]-E84,Tab_Compteur_5[[#This Row],[Quantité]])/Tab_Compteur_5[[#This Row],[Delta Jour]],"")&lt;0,"",IFERROR(IF(Str_TypeDonneesCpt5=Cpt_Index,Tab_Compteur_5[[#This Row],[Index]]-E84,Tab_Compteur_5[[#This Row],[Quantité]])/Tab_Compteur_5[[#This Row],[Delta Jour]],""))</f>
        <v/>
      </c>
      <c r="H85" s="177" t="str">
        <f>IFERROR(Tab_Compteur_5[[#This Row],[Montant]]/Tab_Compteur_5[[#This Row],[Delta Jour]],"")</f>
        <v/>
      </c>
      <c r="I85" s="184" t="str">
        <f>IF(SUM(Tab_Compteur_5[[#This Row],[Quantité]],Tab_Compteur_5[[#This Row],[Index]])&lt;=0,"",G85)</f>
        <v/>
      </c>
      <c r="J85" s="185"/>
      <c r="K85" s="36"/>
      <c r="L85" s="36"/>
      <c r="M85" s="36"/>
    </row>
    <row r="86" spans="1:13">
      <c r="A86" s="2">
        <f t="shared" si="3"/>
        <v>1</v>
      </c>
      <c r="B86" s="501"/>
      <c r="C86" s="178"/>
      <c r="D86" s="491"/>
      <c r="E86" s="502"/>
      <c r="F86" s="177">
        <f t="shared" si="2"/>
        <v>0</v>
      </c>
      <c r="G86" s="177" t="str">
        <f>IF(IFERROR(IF(Str_TypeDonneesCpt5=Cpt_Index,Tab_Compteur_5[[#This Row],[Index]]-E85,Tab_Compteur_5[[#This Row],[Quantité]])/Tab_Compteur_5[[#This Row],[Delta Jour]],"")&lt;0,"",IFERROR(IF(Str_TypeDonneesCpt5=Cpt_Index,Tab_Compteur_5[[#This Row],[Index]]-E85,Tab_Compteur_5[[#This Row],[Quantité]])/Tab_Compteur_5[[#This Row],[Delta Jour]],""))</f>
        <v/>
      </c>
      <c r="H86" s="177" t="str">
        <f>IFERROR(Tab_Compteur_5[[#This Row],[Montant]]/Tab_Compteur_5[[#This Row],[Delta Jour]],"")</f>
        <v/>
      </c>
      <c r="I86" s="184" t="str">
        <f>IF(SUM(Tab_Compteur_5[[#This Row],[Quantité]],Tab_Compteur_5[[#This Row],[Index]])&lt;=0,"",G86)</f>
        <v/>
      </c>
      <c r="J86" s="185"/>
      <c r="K86" s="36"/>
      <c r="L86" s="36"/>
      <c r="M86" s="36"/>
    </row>
    <row r="87" spans="1:13">
      <c r="A87" s="2">
        <f t="shared" si="3"/>
        <v>1</v>
      </c>
      <c r="B87" s="501"/>
      <c r="C87" s="178"/>
      <c r="D87" s="491"/>
      <c r="E87" s="502"/>
      <c r="F87" s="177">
        <f t="shared" si="2"/>
        <v>0</v>
      </c>
      <c r="G87" s="177" t="str">
        <f>IF(IFERROR(IF(Str_TypeDonneesCpt5=Cpt_Index,Tab_Compteur_5[[#This Row],[Index]]-E86,Tab_Compteur_5[[#This Row],[Quantité]])/Tab_Compteur_5[[#This Row],[Delta Jour]],"")&lt;0,"",IFERROR(IF(Str_TypeDonneesCpt5=Cpt_Index,Tab_Compteur_5[[#This Row],[Index]]-E86,Tab_Compteur_5[[#This Row],[Quantité]])/Tab_Compteur_5[[#This Row],[Delta Jour]],""))</f>
        <v/>
      </c>
      <c r="H87" s="177" t="str">
        <f>IFERROR(Tab_Compteur_5[[#This Row],[Montant]]/Tab_Compteur_5[[#This Row],[Delta Jour]],"")</f>
        <v/>
      </c>
      <c r="I87" s="184" t="str">
        <f>IF(SUM(Tab_Compteur_5[[#This Row],[Quantité]],Tab_Compteur_5[[#This Row],[Index]])&lt;=0,"",G87)</f>
        <v/>
      </c>
      <c r="J87" s="185"/>
      <c r="K87" s="36"/>
      <c r="L87" s="36"/>
      <c r="M87" s="36"/>
    </row>
    <row r="88" spans="1:13">
      <c r="A88" s="2">
        <f t="shared" si="3"/>
        <v>1</v>
      </c>
      <c r="B88" s="501"/>
      <c r="C88" s="178"/>
      <c r="D88" s="491"/>
      <c r="E88" s="502"/>
      <c r="F88" s="177">
        <f t="shared" si="2"/>
        <v>0</v>
      </c>
      <c r="G88" s="177" t="str">
        <f>IF(IFERROR(IF(Str_TypeDonneesCpt5=Cpt_Index,Tab_Compteur_5[[#This Row],[Index]]-E87,Tab_Compteur_5[[#This Row],[Quantité]])/Tab_Compteur_5[[#This Row],[Delta Jour]],"")&lt;0,"",IFERROR(IF(Str_TypeDonneesCpt5=Cpt_Index,Tab_Compteur_5[[#This Row],[Index]]-E87,Tab_Compteur_5[[#This Row],[Quantité]])/Tab_Compteur_5[[#This Row],[Delta Jour]],""))</f>
        <v/>
      </c>
      <c r="H88" s="177" t="str">
        <f>IFERROR(Tab_Compteur_5[[#This Row],[Montant]]/Tab_Compteur_5[[#This Row],[Delta Jour]],"")</f>
        <v/>
      </c>
      <c r="I88" s="184" t="str">
        <f>IF(SUM(Tab_Compteur_5[[#This Row],[Quantité]],Tab_Compteur_5[[#This Row],[Index]])&lt;=0,"",G88)</f>
        <v/>
      </c>
      <c r="J88" s="185"/>
      <c r="K88" s="36"/>
      <c r="L88" s="36"/>
      <c r="M88" s="36"/>
    </row>
    <row r="89" spans="1:13">
      <c r="A89" s="2">
        <f t="shared" si="3"/>
        <v>1</v>
      </c>
      <c r="B89" s="501"/>
      <c r="C89" s="178"/>
      <c r="D89" s="491"/>
      <c r="E89" s="502"/>
      <c r="F89" s="177">
        <f t="shared" si="2"/>
        <v>0</v>
      </c>
      <c r="G89" s="177" t="str">
        <f>IF(IFERROR(IF(Str_TypeDonneesCpt5=Cpt_Index,Tab_Compteur_5[[#This Row],[Index]]-E88,Tab_Compteur_5[[#This Row],[Quantité]])/Tab_Compteur_5[[#This Row],[Delta Jour]],"")&lt;0,"",IFERROR(IF(Str_TypeDonneesCpt5=Cpt_Index,Tab_Compteur_5[[#This Row],[Index]]-E88,Tab_Compteur_5[[#This Row],[Quantité]])/Tab_Compteur_5[[#This Row],[Delta Jour]],""))</f>
        <v/>
      </c>
      <c r="H89" s="177" t="str">
        <f>IFERROR(Tab_Compteur_5[[#This Row],[Montant]]/Tab_Compteur_5[[#This Row],[Delta Jour]],"")</f>
        <v/>
      </c>
      <c r="I89" s="184" t="str">
        <f>IF(SUM(Tab_Compteur_5[[#This Row],[Quantité]],Tab_Compteur_5[[#This Row],[Index]])&lt;=0,"",G89)</f>
        <v/>
      </c>
      <c r="J89" s="185"/>
      <c r="K89" s="36"/>
      <c r="L89" s="36"/>
      <c r="M89" s="36"/>
    </row>
    <row r="90" spans="1:13">
      <c r="A90" s="2">
        <f t="shared" si="3"/>
        <v>1</v>
      </c>
      <c r="B90" s="501"/>
      <c r="C90" s="178"/>
      <c r="D90" s="491"/>
      <c r="E90" s="502"/>
      <c r="F90" s="177">
        <f t="shared" si="2"/>
        <v>0</v>
      </c>
      <c r="G90" s="177" t="str">
        <f>IF(IFERROR(IF(Str_TypeDonneesCpt5=Cpt_Index,Tab_Compteur_5[[#This Row],[Index]]-E89,Tab_Compteur_5[[#This Row],[Quantité]])/Tab_Compteur_5[[#This Row],[Delta Jour]],"")&lt;0,"",IFERROR(IF(Str_TypeDonneesCpt5=Cpt_Index,Tab_Compteur_5[[#This Row],[Index]]-E89,Tab_Compteur_5[[#This Row],[Quantité]])/Tab_Compteur_5[[#This Row],[Delta Jour]],""))</f>
        <v/>
      </c>
      <c r="H90" s="177" t="str">
        <f>IFERROR(Tab_Compteur_5[[#This Row],[Montant]]/Tab_Compteur_5[[#This Row],[Delta Jour]],"")</f>
        <v/>
      </c>
      <c r="I90" s="184" t="str">
        <f>IF(SUM(Tab_Compteur_5[[#This Row],[Quantité]],Tab_Compteur_5[[#This Row],[Index]])&lt;=0,"",G90)</f>
        <v/>
      </c>
      <c r="J90" s="185"/>
      <c r="K90" s="36"/>
      <c r="L90" s="36"/>
      <c r="M90" s="36"/>
    </row>
    <row r="91" spans="1:13">
      <c r="A91" s="2">
        <f t="shared" si="3"/>
        <v>1</v>
      </c>
      <c r="B91" s="501"/>
      <c r="C91" s="178"/>
      <c r="D91" s="491"/>
      <c r="E91" s="502"/>
      <c r="F91" s="177">
        <f t="shared" si="2"/>
        <v>0</v>
      </c>
      <c r="G91" s="177" t="str">
        <f>IF(IFERROR(IF(Str_TypeDonneesCpt5=Cpt_Index,Tab_Compteur_5[[#This Row],[Index]]-E90,Tab_Compteur_5[[#This Row],[Quantité]])/Tab_Compteur_5[[#This Row],[Delta Jour]],"")&lt;0,"",IFERROR(IF(Str_TypeDonneesCpt5=Cpt_Index,Tab_Compteur_5[[#This Row],[Index]]-E90,Tab_Compteur_5[[#This Row],[Quantité]])/Tab_Compteur_5[[#This Row],[Delta Jour]],""))</f>
        <v/>
      </c>
      <c r="H91" s="177" t="str">
        <f>IFERROR(Tab_Compteur_5[[#This Row],[Montant]]/Tab_Compteur_5[[#This Row],[Delta Jour]],"")</f>
        <v/>
      </c>
      <c r="I91" s="184" t="str">
        <f>IF(SUM(Tab_Compteur_5[[#This Row],[Quantité]],Tab_Compteur_5[[#This Row],[Index]])&lt;=0,"",G91)</f>
        <v/>
      </c>
      <c r="J91" s="185"/>
      <c r="K91" s="36"/>
      <c r="L91" s="36"/>
      <c r="M91" s="36"/>
    </row>
    <row r="92" spans="1:13">
      <c r="A92" s="2">
        <f t="shared" si="3"/>
        <v>1</v>
      </c>
      <c r="B92" s="501"/>
      <c r="C92" s="178"/>
      <c r="D92" s="491"/>
      <c r="E92" s="502"/>
      <c r="F92" s="177">
        <f t="shared" si="2"/>
        <v>0</v>
      </c>
      <c r="G92" s="177" t="str">
        <f>IF(IFERROR(IF(Str_TypeDonneesCpt5=Cpt_Index,Tab_Compteur_5[[#This Row],[Index]]-E91,Tab_Compteur_5[[#This Row],[Quantité]])/Tab_Compteur_5[[#This Row],[Delta Jour]],"")&lt;0,"",IFERROR(IF(Str_TypeDonneesCpt5=Cpt_Index,Tab_Compteur_5[[#This Row],[Index]]-E91,Tab_Compteur_5[[#This Row],[Quantité]])/Tab_Compteur_5[[#This Row],[Delta Jour]],""))</f>
        <v/>
      </c>
      <c r="H92" s="177" t="str">
        <f>IFERROR(Tab_Compteur_5[[#This Row],[Montant]]/Tab_Compteur_5[[#This Row],[Delta Jour]],"")</f>
        <v/>
      </c>
      <c r="I92" s="184" t="str">
        <f>IF(SUM(Tab_Compteur_5[[#This Row],[Quantité]],Tab_Compteur_5[[#This Row],[Index]])&lt;=0,"",G92)</f>
        <v/>
      </c>
      <c r="J92" s="185"/>
      <c r="K92" s="36"/>
      <c r="L92" s="36"/>
      <c r="M92" s="36"/>
    </row>
    <row r="93" spans="1:13">
      <c r="A93" s="2">
        <f t="shared" si="3"/>
        <v>1</v>
      </c>
      <c r="B93" s="501"/>
      <c r="C93" s="178"/>
      <c r="D93" s="491"/>
      <c r="E93" s="502"/>
      <c r="F93" s="177">
        <f t="shared" si="2"/>
        <v>0</v>
      </c>
      <c r="G93" s="177" t="str">
        <f>IF(IFERROR(IF(Str_TypeDonneesCpt5=Cpt_Index,Tab_Compteur_5[[#This Row],[Index]]-E92,Tab_Compteur_5[[#This Row],[Quantité]])/Tab_Compteur_5[[#This Row],[Delta Jour]],"")&lt;0,"",IFERROR(IF(Str_TypeDonneesCpt5=Cpt_Index,Tab_Compteur_5[[#This Row],[Index]]-E92,Tab_Compteur_5[[#This Row],[Quantité]])/Tab_Compteur_5[[#This Row],[Delta Jour]],""))</f>
        <v/>
      </c>
      <c r="H93" s="177" t="str">
        <f>IFERROR(Tab_Compteur_5[[#This Row],[Montant]]/Tab_Compteur_5[[#This Row],[Delta Jour]],"")</f>
        <v/>
      </c>
      <c r="I93" s="184" t="str">
        <f>IF(SUM(Tab_Compteur_5[[#This Row],[Quantité]],Tab_Compteur_5[[#This Row],[Index]])&lt;=0,"",G93)</f>
        <v/>
      </c>
      <c r="J93" s="185"/>
      <c r="K93" s="36"/>
      <c r="L93" s="36"/>
      <c r="M93" s="36"/>
    </row>
    <row r="94" spans="1:13">
      <c r="A94" s="2">
        <f t="shared" si="3"/>
        <v>1</v>
      </c>
      <c r="B94" s="501"/>
      <c r="C94" s="178"/>
      <c r="D94" s="491"/>
      <c r="E94" s="502"/>
      <c r="F94" s="177">
        <f t="shared" si="2"/>
        <v>0</v>
      </c>
      <c r="G94" s="177" t="str">
        <f>IF(IFERROR(IF(Str_TypeDonneesCpt5=Cpt_Index,Tab_Compteur_5[[#This Row],[Index]]-E93,Tab_Compteur_5[[#This Row],[Quantité]])/Tab_Compteur_5[[#This Row],[Delta Jour]],"")&lt;0,"",IFERROR(IF(Str_TypeDonneesCpt5=Cpt_Index,Tab_Compteur_5[[#This Row],[Index]]-E93,Tab_Compteur_5[[#This Row],[Quantité]])/Tab_Compteur_5[[#This Row],[Delta Jour]],""))</f>
        <v/>
      </c>
      <c r="H94" s="177" t="str">
        <f>IFERROR(Tab_Compteur_5[[#This Row],[Montant]]/Tab_Compteur_5[[#This Row],[Delta Jour]],"")</f>
        <v/>
      </c>
      <c r="I94" s="184" t="str">
        <f>IF(SUM(Tab_Compteur_5[[#This Row],[Quantité]],Tab_Compteur_5[[#This Row],[Index]])&lt;=0,"",G94)</f>
        <v/>
      </c>
      <c r="J94" s="185"/>
      <c r="K94" s="36"/>
      <c r="L94" s="36"/>
      <c r="M94" s="36"/>
    </row>
    <row r="95" spans="1:13">
      <c r="A95" s="2">
        <f t="shared" si="3"/>
        <v>1</v>
      </c>
      <c r="B95" s="501"/>
      <c r="C95" s="178"/>
      <c r="D95" s="491"/>
      <c r="E95" s="502"/>
      <c r="F95" s="177">
        <f t="shared" si="2"/>
        <v>0</v>
      </c>
      <c r="G95" s="177" t="str">
        <f>IF(IFERROR(IF(Str_TypeDonneesCpt5=Cpt_Index,Tab_Compteur_5[[#This Row],[Index]]-E94,Tab_Compteur_5[[#This Row],[Quantité]])/Tab_Compteur_5[[#This Row],[Delta Jour]],"")&lt;0,"",IFERROR(IF(Str_TypeDonneesCpt5=Cpt_Index,Tab_Compteur_5[[#This Row],[Index]]-E94,Tab_Compteur_5[[#This Row],[Quantité]])/Tab_Compteur_5[[#This Row],[Delta Jour]],""))</f>
        <v/>
      </c>
      <c r="H95" s="177" t="str">
        <f>IFERROR(Tab_Compteur_5[[#This Row],[Montant]]/Tab_Compteur_5[[#This Row],[Delta Jour]],"")</f>
        <v/>
      </c>
      <c r="I95" s="184" t="str">
        <f>IF(SUM(Tab_Compteur_5[[#This Row],[Quantité]],Tab_Compteur_5[[#This Row],[Index]])&lt;=0,"",G95)</f>
        <v/>
      </c>
      <c r="J95" s="185"/>
      <c r="K95" s="36"/>
      <c r="L95" s="36"/>
      <c r="M95" s="36"/>
    </row>
    <row r="96" spans="1:13">
      <c r="A96" s="2">
        <f t="shared" si="3"/>
        <v>1</v>
      </c>
      <c r="B96" s="501"/>
      <c r="C96" s="178"/>
      <c r="D96" s="491"/>
      <c r="E96" s="502"/>
      <c r="F96" s="177">
        <f t="shared" si="2"/>
        <v>0</v>
      </c>
      <c r="G96" s="177" t="str">
        <f>IF(IFERROR(IF(Str_TypeDonneesCpt5=Cpt_Index,Tab_Compteur_5[[#This Row],[Index]]-E95,Tab_Compteur_5[[#This Row],[Quantité]])/Tab_Compteur_5[[#This Row],[Delta Jour]],"")&lt;0,"",IFERROR(IF(Str_TypeDonneesCpt5=Cpt_Index,Tab_Compteur_5[[#This Row],[Index]]-E95,Tab_Compteur_5[[#This Row],[Quantité]])/Tab_Compteur_5[[#This Row],[Delta Jour]],""))</f>
        <v/>
      </c>
      <c r="H96" s="177" t="str">
        <f>IFERROR(Tab_Compteur_5[[#This Row],[Montant]]/Tab_Compteur_5[[#This Row],[Delta Jour]],"")</f>
        <v/>
      </c>
      <c r="I96" s="184" t="str">
        <f>IF(SUM(Tab_Compteur_5[[#This Row],[Quantité]],Tab_Compteur_5[[#This Row],[Index]])&lt;=0,"",G96)</f>
        <v/>
      </c>
      <c r="J96" s="185"/>
      <c r="K96" s="36"/>
      <c r="L96" s="36"/>
      <c r="M96" s="36"/>
    </row>
    <row r="97" spans="1:13">
      <c r="A97" s="2">
        <f t="shared" si="3"/>
        <v>1</v>
      </c>
      <c r="B97" s="501"/>
      <c r="C97" s="178"/>
      <c r="D97" s="491"/>
      <c r="E97" s="502"/>
      <c r="F97" s="177">
        <f t="shared" si="2"/>
        <v>0</v>
      </c>
      <c r="G97" s="177" t="str">
        <f>IF(IFERROR(IF(Str_TypeDonneesCpt5=Cpt_Index,Tab_Compteur_5[[#This Row],[Index]]-E96,Tab_Compteur_5[[#This Row],[Quantité]])/Tab_Compteur_5[[#This Row],[Delta Jour]],"")&lt;0,"",IFERROR(IF(Str_TypeDonneesCpt5=Cpt_Index,Tab_Compteur_5[[#This Row],[Index]]-E96,Tab_Compteur_5[[#This Row],[Quantité]])/Tab_Compteur_5[[#This Row],[Delta Jour]],""))</f>
        <v/>
      </c>
      <c r="H97" s="177" t="str">
        <f>IFERROR(Tab_Compteur_5[[#This Row],[Montant]]/Tab_Compteur_5[[#This Row],[Delta Jour]],"")</f>
        <v/>
      </c>
      <c r="I97" s="184" t="str">
        <f>IF(SUM(Tab_Compteur_5[[#This Row],[Quantité]],Tab_Compteur_5[[#This Row],[Index]])&lt;=0,"",G97)</f>
        <v/>
      </c>
      <c r="J97" s="185"/>
      <c r="K97" s="36"/>
      <c r="L97" s="36"/>
      <c r="M97" s="36"/>
    </row>
    <row r="98" spans="1:13">
      <c r="A98" s="2">
        <f t="shared" si="3"/>
        <v>1</v>
      </c>
      <c r="B98" s="501"/>
      <c r="C98" s="178"/>
      <c r="D98" s="491"/>
      <c r="E98" s="502"/>
      <c r="F98" s="177">
        <f t="shared" si="2"/>
        <v>0</v>
      </c>
      <c r="G98" s="177" t="str">
        <f>IF(IFERROR(IF(Str_TypeDonneesCpt5=Cpt_Index,Tab_Compteur_5[[#This Row],[Index]]-E97,Tab_Compteur_5[[#This Row],[Quantité]])/Tab_Compteur_5[[#This Row],[Delta Jour]],"")&lt;0,"",IFERROR(IF(Str_TypeDonneesCpt5=Cpt_Index,Tab_Compteur_5[[#This Row],[Index]]-E97,Tab_Compteur_5[[#This Row],[Quantité]])/Tab_Compteur_5[[#This Row],[Delta Jour]],""))</f>
        <v/>
      </c>
      <c r="H98" s="177" t="str">
        <f>IFERROR(Tab_Compteur_5[[#This Row],[Montant]]/Tab_Compteur_5[[#This Row],[Delta Jour]],"")</f>
        <v/>
      </c>
      <c r="I98" s="184" t="str">
        <f>IF(SUM(Tab_Compteur_5[[#This Row],[Quantité]],Tab_Compteur_5[[#This Row],[Index]])&lt;=0,"",G98)</f>
        <v/>
      </c>
      <c r="J98" s="185"/>
      <c r="K98" s="36"/>
      <c r="L98" s="36"/>
      <c r="M98" s="36"/>
    </row>
    <row r="99" spans="1:13">
      <c r="A99" s="2">
        <f t="shared" si="3"/>
        <v>1</v>
      </c>
      <c r="B99" s="501"/>
      <c r="C99" s="178"/>
      <c r="D99" s="491"/>
      <c r="E99" s="502"/>
      <c r="F99" s="177">
        <f t="shared" si="2"/>
        <v>0</v>
      </c>
      <c r="G99" s="177" t="str">
        <f>IF(IFERROR(IF(Str_TypeDonneesCpt5=Cpt_Index,Tab_Compteur_5[[#This Row],[Index]]-E98,Tab_Compteur_5[[#This Row],[Quantité]])/Tab_Compteur_5[[#This Row],[Delta Jour]],"")&lt;0,"",IFERROR(IF(Str_TypeDonneesCpt5=Cpt_Index,Tab_Compteur_5[[#This Row],[Index]]-E98,Tab_Compteur_5[[#This Row],[Quantité]])/Tab_Compteur_5[[#This Row],[Delta Jour]],""))</f>
        <v/>
      </c>
      <c r="H99" s="177" t="str">
        <f>IFERROR(Tab_Compteur_5[[#This Row],[Montant]]/Tab_Compteur_5[[#This Row],[Delta Jour]],"")</f>
        <v/>
      </c>
      <c r="I99" s="184" t="str">
        <f>IF(SUM(Tab_Compteur_5[[#This Row],[Quantité]],Tab_Compteur_5[[#This Row],[Index]])&lt;=0,"",G99)</f>
        <v/>
      </c>
      <c r="J99" s="185"/>
      <c r="K99" s="36"/>
      <c r="L99" s="36"/>
      <c r="M99" s="36"/>
    </row>
    <row r="100" spans="1:13">
      <c r="A100" s="2">
        <f t="shared" si="3"/>
        <v>1</v>
      </c>
      <c r="B100" s="501"/>
      <c r="C100" s="178"/>
      <c r="D100" s="491"/>
      <c r="E100" s="502"/>
      <c r="F100" s="177">
        <f t="shared" si="2"/>
        <v>0</v>
      </c>
      <c r="G100" s="177" t="str">
        <f>IF(IFERROR(IF(Str_TypeDonneesCpt5=Cpt_Index,Tab_Compteur_5[[#This Row],[Index]]-E99,Tab_Compteur_5[[#This Row],[Quantité]])/Tab_Compteur_5[[#This Row],[Delta Jour]],"")&lt;0,"",IFERROR(IF(Str_TypeDonneesCpt5=Cpt_Index,Tab_Compteur_5[[#This Row],[Index]]-E99,Tab_Compteur_5[[#This Row],[Quantité]])/Tab_Compteur_5[[#This Row],[Delta Jour]],""))</f>
        <v/>
      </c>
      <c r="H100" s="177" t="str">
        <f>IFERROR(Tab_Compteur_5[[#This Row],[Montant]]/Tab_Compteur_5[[#This Row],[Delta Jour]],"")</f>
        <v/>
      </c>
      <c r="I100" s="184" t="str">
        <f>IF(SUM(Tab_Compteur_5[[#This Row],[Quantité]],Tab_Compteur_5[[#This Row],[Index]])&lt;=0,"",G100)</f>
        <v/>
      </c>
      <c r="J100" s="185"/>
      <c r="K100" s="36"/>
      <c r="L100" s="36"/>
      <c r="M100" s="36"/>
    </row>
    <row r="101" spans="1:13">
      <c r="A101" s="2">
        <f t="shared" si="3"/>
        <v>1</v>
      </c>
      <c r="B101" s="501"/>
      <c r="C101" s="178"/>
      <c r="D101" s="491"/>
      <c r="E101" s="502"/>
      <c r="F101" s="177">
        <f t="shared" si="2"/>
        <v>0</v>
      </c>
      <c r="G101" s="177" t="str">
        <f>IF(IFERROR(IF(Str_TypeDonneesCpt5=Cpt_Index,Tab_Compteur_5[[#This Row],[Index]]-E100,Tab_Compteur_5[[#This Row],[Quantité]])/Tab_Compteur_5[[#This Row],[Delta Jour]],"")&lt;0,"",IFERROR(IF(Str_TypeDonneesCpt5=Cpt_Index,Tab_Compteur_5[[#This Row],[Index]]-E100,Tab_Compteur_5[[#This Row],[Quantité]])/Tab_Compteur_5[[#This Row],[Delta Jour]],""))</f>
        <v/>
      </c>
      <c r="H101" s="177" t="str">
        <f>IFERROR(Tab_Compteur_5[[#This Row],[Montant]]/Tab_Compteur_5[[#This Row],[Delta Jour]],"")</f>
        <v/>
      </c>
      <c r="I101" s="184" t="str">
        <f>IF(SUM(Tab_Compteur_5[[#This Row],[Quantité]],Tab_Compteur_5[[#This Row],[Index]])&lt;=0,"",G101)</f>
        <v/>
      </c>
      <c r="J101" s="185"/>
      <c r="K101" s="36"/>
      <c r="L101" s="36"/>
      <c r="M101" s="36"/>
    </row>
    <row r="102" spans="1:13">
      <c r="A102" s="2">
        <f t="shared" si="3"/>
        <v>1</v>
      </c>
      <c r="B102" s="501"/>
      <c r="C102" s="178"/>
      <c r="D102" s="491"/>
      <c r="E102" s="502"/>
      <c r="F102" s="177">
        <f t="shared" si="2"/>
        <v>0</v>
      </c>
      <c r="G102" s="177" t="str">
        <f>IF(IFERROR(IF(Str_TypeDonneesCpt5=Cpt_Index,Tab_Compteur_5[[#This Row],[Index]]-E101,Tab_Compteur_5[[#This Row],[Quantité]])/Tab_Compteur_5[[#This Row],[Delta Jour]],"")&lt;0,"",IFERROR(IF(Str_TypeDonneesCpt5=Cpt_Index,Tab_Compteur_5[[#This Row],[Index]]-E101,Tab_Compteur_5[[#This Row],[Quantité]])/Tab_Compteur_5[[#This Row],[Delta Jour]],""))</f>
        <v/>
      </c>
      <c r="H102" s="177" t="str">
        <f>IFERROR(Tab_Compteur_5[[#This Row],[Montant]]/Tab_Compteur_5[[#This Row],[Delta Jour]],"")</f>
        <v/>
      </c>
      <c r="I102" s="184" t="str">
        <f>IF(SUM(Tab_Compteur_5[[#This Row],[Quantité]],Tab_Compteur_5[[#This Row],[Index]])&lt;=0,"",G102)</f>
        <v/>
      </c>
      <c r="J102" s="185"/>
      <c r="K102" s="36"/>
      <c r="L102" s="36"/>
      <c r="M102" s="36"/>
    </row>
    <row r="103" spans="1:13">
      <c r="A103" s="2">
        <f t="shared" si="3"/>
        <v>1</v>
      </c>
      <c r="B103" s="501"/>
      <c r="C103" s="178"/>
      <c r="D103" s="491"/>
      <c r="E103" s="502"/>
      <c r="F103" s="177">
        <f t="shared" si="2"/>
        <v>0</v>
      </c>
      <c r="G103" s="177" t="str">
        <f>IF(IFERROR(IF(Str_TypeDonneesCpt5=Cpt_Index,Tab_Compteur_5[[#This Row],[Index]]-E102,Tab_Compteur_5[[#This Row],[Quantité]])/Tab_Compteur_5[[#This Row],[Delta Jour]],"")&lt;0,"",IFERROR(IF(Str_TypeDonneesCpt5=Cpt_Index,Tab_Compteur_5[[#This Row],[Index]]-E102,Tab_Compteur_5[[#This Row],[Quantité]])/Tab_Compteur_5[[#This Row],[Delta Jour]],""))</f>
        <v/>
      </c>
      <c r="H103" s="177" t="str">
        <f>IFERROR(Tab_Compteur_5[[#This Row],[Montant]]/Tab_Compteur_5[[#This Row],[Delta Jour]],"")</f>
        <v/>
      </c>
      <c r="I103" s="184" t="str">
        <f>IF(SUM(Tab_Compteur_5[[#This Row],[Quantité]],Tab_Compteur_5[[#This Row],[Index]])&lt;=0,"",G103)</f>
        <v/>
      </c>
      <c r="J103" s="185"/>
      <c r="K103" s="36"/>
      <c r="L103" s="36"/>
      <c r="M103" s="36"/>
    </row>
    <row r="104" spans="1:13">
      <c r="A104" s="2">
        <f t="shared" si="3"/>
        <v>1</v>
      </c>
      <c r="B104" s="501"/>
      <c r="C104" s="178"/>
      <c r="D104" s="491"/>
      <c r="E104" s="502"/>
      <c r="F104" s="177">
        <f t="shared" si="2"/>
        <v>0</v>
      </c>
      <c r="G104" s="177" t="str">
        <f>IF(IFERROR(IF(Str_TypeDonneesCpt5=Cpt_Index,Tab_Compteur_5[[#This Row],[Index]]-E103,Tab_Compteur_5[[#This Row],[Quantité]])/Tab_Compteur_5[[#This Row],[Delta Jour]],"")&lt;0,"",IFERROR(IF(Str_TypeDonneesCpt5=Cpt_Index,Tab_Compteur_5[[#This Row],[Index]]-E103,Tab_Compteur_5[[#This Row],[Quantité]])/Tab_Compteur_5[[#This Row],[Delta Jour]],""))</f>
        <v/>
      </c>
      <c r="H104" s="177" t="str">
        <f>IFERROR(Tab_Compteur_5[[#This Row],[Montant]]/Tab_Compteur_5[[#This Row],[Delta Jour]],"")</f>
        <v/>
      </c>
      <c r="I104" s="184" t="str">
        <f>IF(SUM(Tab_Compteur_5[[#This Row],[Quantité]],Tab_Compteur_5[[#This Row],[Index]])&lt;=0,"",G104)</f>
        <v/>
      </c>
      <c r="J104" s="185"/>
      <c r="K104" s="36"/>
      <c r="L104" s="36"/>
      <c r="M104" s="36"/>
    </row>
    <row r="105" spans="1:13">
      <c r="A105" s="2">
        <f t="shared" si="3"/>
        <v>1</v>
      </c>
      <c r="B105" s="501"/>
      <c r="C105" s="178"/>
      <c r="D105" s="491"/>
      <c r="E105" s="502"/>
      <c r="F105" s="177">
        <f t="shared" si="2"/>
        <v>0</v>
      </c>
      <c r="G105" s="177" t="str">
        <f>IF(IFERROR(IF(Str_TypeDonneesCpt5=Cpt_Index,Tab_Compteur_5[[#This Row],[Index]]-E104,Tab_Compteur_5[[#This Row],[Quantité]])/Tab_Compteur_5[[#This Row],[Delta Jour]],"")&lt;0,"",IFERROR(IF(Str_TypeDonneesCpt5=Cpt_Index,Tab_Compteur_5[[#This Row],[Index]]-E104,Tab_Compteur_5[[#This Row],[Quantité]])/Tab_Compteur_5[[#This Row],[Delta Jour]],""))</f>
        <v/>
      </c>
      <c r="H105" s="177" t="str">
        <f>IFERROR(Tab_Compteur_5[[#This Row],[Montant]]/Tab_Compteur_5[[#This Row],[Delta Jour]],"")</f>
        <v/>
      </c>
      <c r="I105" s="184" t="str">
        <f>IF(SUM(Tab_Compteur_5[[#This Row],[Quantité]],Tab_Compteur_5[[#This Row],[Index]])&lt;=0,"",G105)</f>
        <v/>
      </c>
      <c r="J105" s="185"/>
      <c r="K105" s="36"/>
      <c r="L105" s="36"/>
      <c r="M105" s="36"/>
    </row>
    <row r="106" spans="1:13">
      <c r="A106" s="2">
        <f t="shared" si="3"/>
        <v>1</v>
      </c>
      <c r="B106" s="501"/>
      <c r="C106" s="178"/>
      <c r="D106" s="491"/>
      <c r="E106" s="502"/>
      <c r="F106" s="177">
        <f t="shared" si="2"/>
        <v>0</v>
      </c>
      <c r="G106" s="177" t="str">
        <f>IF(IFERROR(IF(Str_TypeDonneesCpt5=Cpt_Index,Tab_Compteur_5[[#This Row],[Index]]-E105,Tab_Compteur_5[[#This Row],[Quantité]])/Tab_Compteur_5[[#This Row],[Delta Jour]],"")&lt;0,"",IFERROR(IF(Str_TypeDonneesCpt5=Cpt_Index,Tab_Compteur_5[[#This Row],[Index]]-E105,Tab_Compteur_5[[#This Row],[Quantité]])/Tab_Compteur_5[[#This Row],[Delta Jour]],""))</f>
        <v/>
      </c>
      <c r="H106" s="177" t="str">
        <f>IFERROR(Tab_Compteur_5[[#This Row],[Montant]]/Tab_Compteur_5[[#This Row],[Delta Jour]],"")</f>
        <v/>
      </c>
      <c r="I106" s="184" t="str">
        <f>IF(SUM(Tab_Compteur_5[[#This Row],[Quantité]],Tab_Compteur_5[[#This Row],[Index]])&lt;=0,"",G106)</f>
        <v/>
      </c>
      <c r="J106" s="185"/>
      <c r="K106" s="36"/>
      <c r="L106" s="36"/>
      <c r="M106" s="36"/>
    </row>
    <row r="107" spans="1:13">
      <c r="A107" s="2">
        <f t="shared" si="3"/>
        <v>1</v>
      </c>
      <c r="B107" s="501"/>
      <c r="C107" s="178"/>
      <c r="D107" s="491"/>
      <c r="E107" s="502"/>
      <c r="F107" s="177">
        <f t="shared" si="2"/>
        <v>0</v>
      </c>
      <c r="G107" s="177" t="str">
        <f>IF(IFERROR(IF(Str_TypeDonneesCpt5=Cpt_Index,Tab_Compteur_5[[#This Row],[Index]]-E106,Tab_Compteur_5[[#This Row],[Quantité]])/Tab_Compteur_5[[#This Row],[Delta Jour]],"")&lt;0,"",IFERROR(IF(Str_TypeDonneesCpt5=Cpt_Index,Tab_Compteur_5[[#This Row],[Index]]-E106,Tab_Compteur_5[[#This Row],[Quantité]])/Tab_Compteur_5[[#This Row],[Delta Jour]],""))</f>
        <v/>
      </c>
      <c r="H107" s="177" t="str">
        <f>IFERROR(Tab_Compteur_5[[#This Row],[Montant]]/Tab_Compteur_5[[#This Row],[Delta Jour]],"")</f>
        <v/>
      </c>
      <c r="I107" s="184" t="str">
        <f>IF(SUM(Tab_Compteur_5[[#This Row],[Quantité]],Tab_Compteur_5[[#This Row],[Index]])&lt;=0,"",G107)</f>
        <v/>
      </c>
      <c r="J107" s="185"/>
      <c r="K107" s="36"/>
      <c r="L107" s="36"/>
      <c r="M107" s="36"/>
    </row>
    <row r="108" spans="1:13">
      <c r="A108" s="2">
        <f t="shared" si="3"/>
        <v>1</v>
      </c>
      <c r="B108" s="501"/>
      <c r="C108" s="178"/>
      <c r="D108" s="491"/>
      <c r="E108" s="502"/>
      <c r="F108" s="177">
        <f t="shared" si="2"/>
        <v>0</v>
      </c>
      <c r="G108" s="177" t="str">
        <f>IF(IFERROR(IF(Str_TypeDonneesCpt5=Cpt_Index,Tab_Compteur_5[[#This Row],[Index]]-E107,Tab_Compteur_5[[#This Row],[Quantité]])/Tab_Compteur_5[[#This Row],[Delta Jour]],"")&lt;0,"",IFERROR(IF(Str_TypeDonneesCpt5=Cpt_Index,Tab_Compteur_5[[#This Row],[Index]]-E107,Tab_Compteur_5[[#This Row],[Quantité]])/Tab_Compteur_5[[#This Row],[Delta Jour]],""))</f>
        <v/>
      </c>
      <c r="H108" s="177" t="str">
        <f>IFERROR(Tab_Compteur_5[[#This Row],[Montant]]/Tab_Compteur_5[[#This Row],[Delta Jour]],"")</f>
        <v/>
      </c>
      <c r="I108" s="184" t="str">
        <f>IF(SUM(Tab_Compteur_5[[#This Row],[Quantité]],Tab_Compteur_5[[#This Row],[Index]])&lt;=0,"",G108)</f>
        <v/>
      </c>
      <c r="J108" s="185"/>
      <c r="K108" s="36"/>
      <c r="L108" s="36"/>
      <c r="M108" s="36"/>
    </row>
    <row r="109" spans="1:13">
      <c r="A109" s="2">
        <f t="shared" si="3"/>
        <v>1</v>
      </c>
      <c r="B109" s="501"/>
      <c r="C109" s="178"/>
      <c r="D109" s="491"/>
      <c r="E109" s="502"/>
      <c r="F109" s="177">
        <f t="shared" si="2"/>
        <v>0</v>
      </c>
      <c r="G109" s="177" t="str">
        <f>IF(IFERROR(IF(Str_TypeDonneesCpt5=Cpt_Index,Tab_Compteur_5[[#This Row],[Index]]-E108,Tab_Compteur_5[[#This Row],[Quantité]])/Tab_Compteur_5[[#This Row],[Delta Jour]],"")&lt;0,"",IFERROR(IF(Str_TypeDonneesCpt5=Cpt_Index,Tab_Compteur_5[[#This Row],[Index]]-E108,Tab_Compteur_5[[#This Row],[Quantité]])/Tab_Compteur_5[[#This Row],[Delta Jour]],""))</f>
        <v/>
      </c>
      <c r="H109" s="177" t="str">
        <f>IFERROR(Tab_Compteur_5[[#This Row],[Montant]]/Tab_Compteur_5[[#This Row],[Delta Jour]],"")</f>
        <v/>
      </c>
      <c r="I109" s="184" t="str">
        <f>IF(SUM(Tab_Compteur_5[[#This Row],[Quantité]],Tab_Compteur_5[[#This Row],[Index]])&lt;=0,"",G109)</f>
        <v/>
      </c>
      <c r="J109" s="185"/>
      <c r="K109" s="36"/>
      <c r="L109" s="36"/>
      <c r="M109" s="36"/>
    </row>
    <row r="110" spans="1:13">
      <c r="A110" s="2">
        <f t="shared" si="3"/>
        <v>1</v>
      </c>
      <c r="B110" s="501"/>
      <c r="C110" s="178"/>
      <c r="D110" s="491"/>
      <c r="E110" s="502"/>
      <c r="F110" s="177">
        <f t="shared" si="2"/>
        <v>0</v>
      </c>
      <c r="G110" s="177" t="str">
        <f>IF(IFERROR(IF(Str_TypeDonneesCpt5=Cpt_Index,Tab_Compteur_5[[#This Row],[Index]]-E109,Tab_Compteur_5[[#This Row],[Quantité]])/Tab_Compteur_5[[#This Row],[Delta Jour]],"")&lt;0,"",IFERROR(IF(Str_TypeDonneesCpt5=Cpt_Index,Tab_Compteur_5[[#This Row],[Index]]-E109,Tab_Compteur_5[[#This Row],[Quantité]])/Tab_Compteur_5[[#This Row],[Delta Jour]],""))</f>
        <v/>
      </c>
      <c r="H110" s="177" t="str">
        <f>IFERROR(Tab_Compteur_5[[#This Row],[Montant]]/Tab_Compteur_5[[#This Row],[Delta Jour]],"")</f>
        <v/>
      </c>
      <c r="I110" s="184" t="str">
        <f>IF(SUM(Tab_Compteur_5[[#This Row],[Quantité]],Tab_Compteur_5[[#This Row],[Index]])&lt;=0,"",G110)</f>
        <v/>
      </c>
      <c r="J110" s="185"/>
      <c r="K110" s="36"/>
      <c r="L110" s="36"/>
      <c r="M110" s="36"/>
    </row>
    <row r="111" spans="1:13">
      <c r="A111" s="2">
        <f t="shared" si="3"/>
        <v>1</v>
      </c>
      <c r="B111" s="501"/>
      <c r="C111" s="178"/>
      <c r="D111" s="491"/>
      <c r="E111" s="502"/>
      <c r="F111" s="177">
        <f t="shared" si="2"/>
        <v>0</v>
      </c>
      <c r="G111" s="177" t="str">
        <f>IF(IFERROR(IF(Str_TypeDonneesCpt5=Cpt_Index,Tab_Compteur_5[[#This Row],[Index]]-E110,Tab_Compteur_5[[#This Row],[Quantité]])/Tab_Compteur_5[[#This Row],[Delta Jour]],"")&lt;0,"",IFERROR(IF(Str_TypeDonneesCpt5=Cpt_Index,Tab_Compteur_5[[#This Row],[Index]]-E110,Tab_Compteur_5[[#This Row],[Quantité]])/Tab_Compteur_5[[#This Row],[Delta Jour]],""))</f>
        <v/>
      </c>
      <c r="H111" s="177" t="str">
        <f>IFERROR(Tab_Compteur_5[[#This Row],[Montant]]/Tab_Compteur_5[[#This Row],[Delta Jour]],"")</f>
        <v/>
      </c>
      <c r="I111" s="184" t="str">
        <f>IF(SUM(Tab_Compteur_5[[#This Row],[Quantité]],Tab_Compteur_5[[#This Row],[Index]])&lt;=0,"",G111)</f>
        <v/>
      </c>
      <c r="J111" s="185"/>
      <c r="K111" s="36"/>
      <c r="L111" s="36"/>
      <c r="M111" s="36"/>
    </row>
    <row r="112" spans="1:13">
      <c r="A112" s="2">
        <f t="shared" si="3"/>
        <v>1</v>
      </c>
      <c r="B112" s="501"/>
      <c r="C112" s="178"/>
      <c r="D112" s="491"/>
      <c r="E112" s="502"/>
      <c r="F112" s="177">
        <f t="shared" si="2"/>
        <v>0</v>
      </c>
      <c r="G112" s="177" t="str">
        <f>IF(IFERROR(IF(Str_TypeDonneesCpt5=Cpt_Index,Tab_Compteur_5[[#This Row],[Index]]-E111,Tab_Compteur_5[[#This Row],[Quantité]])/Tab_Compteur_5[[#This Row],[Delta Jour]],"")&lt;0,"",IFERROR(IF(Str_TypeDonneesCpt5=Cpt_Index,Tab_Compteur_5[[#This Row],[Index]]-E111,Tab_Compteur_5[[#This Row],[Quantité]])/Tab_Compteur_5[[#This Row],[Delta Jour]],""))</f>
        <v/>
      </c>
      <c r="H112" s="177" t="str">
        <f>IFERROR(Tab_Compteur_5[[#This Row],[Montant]]/Tab_Compteur_5[[#This Row],[Delta Jour]],"")</f>
        <v/>
      </c>
      <c r="I112" s="184" t="str">
        <f>IF(SUM(Tab_Compteur_5[[#This Row],[Quantité]],Tab_Compteur_5[[#This Row],[Index]])&lt;=0,"",G112)</f>
        <v/>
      </c>
      <c r="J112" s="185"/>
      <c r="K112" s="36"/>
      <c r="L112" s="36"/>
      <c r="M112" s="36"/>
    </row>
    <row r="113" spans="1:13">
      <c r="A113" s="2">
        <f t="shared" si="3"/>
        <v>1</v>
      </c>
      <c r="B113" s="501"/>
      <c r="C113" s="178"/>
      <c r="D113" s="491"/>
      <c r="E113" s="502"/>
      <c r="F113" s="177">
        <f t="shared" si="2"/>
        <v>0</v>
      </c>
      <c r="G113" s="177" t="str">
        <f>IF(IFERROR(IF(Str_TypeDonneesCpt5=Cpt_Index,Tab_Compteur_5[[#This Row],[Index]]-E112,Tab_Compteur_5[[#This Row],[Quantité]])/Tab_Compteur_5[[#This Row],[Delta Jour]],"")&lt;0,"",IFERROR(IF(Str_TypeDonneesCpt5=Cpt_Index,Tab_Compteur_5[[#This Row],[Index]]-E112,Tab_Compteur_5[[#This Row],[Quantité]])/Tab_Compteur_5[[#This Row],[Delta Jour]],""))</f>
        <v/>
      </c>
      <c r="H113" s="177" t="str">
        <f>IFERROR(Tab_Compteur_5[[#This Row],[Montant]]/Tab_Compteur_5[[#This Row],[Delta Jour]],"")</f>
        <v/>
      </c>
      <c r="I113" s="184" t="str">
        <f>IF(SUM(Tab_Compteur_5[[#This Row],[Quantité]],Tab_Compteur_5[[#This Row],[Index]])&lt;=0,"",G113)</f>
        <v/>
      </c>
      <c r="J113" s="185"/>
      <c r="K113" s="36"/>
      <c r="L113" s="36"/>
      <c r="M113" s="36"/>
    </row>
    <row r="114" spans="1:13">
      <c r="A114" s="2">
        <f t="shared" si="3"/>
        <v>1</v>
      </c>
      <c r="B114" s="501"/>
      <c r="C114" s="178"/>
      <c r="D114" s="491"/>
      <c r="E114" s="502"/>
      <c r="F114" s="177">
        <f t="shared" si="2"/>
        <v>0</v>
      </c>
      <c r="G114" s="177" t="str">
        <f>IF(IFERROR(IF(Str_TypeDonneesCpt5=Cpt_Index,Tab_Compteur_5[[#This Row],[Index]]-E113,Tab_Compteur_5[[#This Row],[Quantité]])/Tab_Compteur_5[[#This Row],[Delta Jour]],"")&lt;0,"",IFERROR(IF(Str_TypeDonneesCpt5=Cpt_Index,Tab_Compteur_5[[#This Row],[Index]]-E113,Tab_Compteur_5[[#This Row],[Quantité]])/Tab_Compteur_5[[#This Row],[Delta Jour]],""))</f>
        <v/>
      </c>
      <c r="H114" s="177" t="str">
        <f>IFERROR(Tab_Compteur_5[[#This Row],[Montant]]/Tab_Compteur_5[[#This Row],[Delta Jour]],"")</f>
        <v/>
      </c>
      <c r="I114" s="184" t="str">
        <f>IF(SUM(Tab_Compteur_5[[#This Row],[Quantité]],Tab_Compteur_5[[#This Row],[Index]])&lt;=0,"",G114)</f>
        <v/>
      </c>
      <c r="J114" s="185"/>
      <c r="K114" s="36"/>
      <c r="L114" s="36"/>
      <c r="M114" s="36"/>
    </row>
    <row r="115" spans="1:13">
      <c r="A115" s="2">
        <f t="shared" si="3"/>
        <v>1</v>
      </c>
      <c r="B115" s="501"/>
      <c r="C115" s="178"/>
      <c r="D115" s="491"/>
      <c r="E115" s="502"/>
      <c r="F115" s="177">
        <f t="shared" si="2"/>
        <v>0</v>
      </c>
      <c r="G115" s="177" t="str">
        <f>IF(IFERROR(IF(Str_TypeDonneesCpt5=Cpt_Index,Tab_Compteur_5[[#This Row],[Index]]-E114,Tab_Compteur_5[[#This Row],[Quantité]])/Tab_Compteur_5[[#This Row],[Delta Jour]],"")&lt;0,"",IFERROR(IF(Str_TypeDonneesCpt5=Cpt_Index,Tab_Compteur_5[[#This Row],[Index]]-E114,Tab_Compteur_5[[#This Row],[Quantité]])/Tab_Compteur_5[[#This Row],[Delta Jour]],""))</f>
        <v/>
      </c>
      <c r="H115" s="177" t="str">
        <f>IFERROR(Tab_Compteur_5[[#This Row],[Montant]]/Tab_Compteur_5[[#This Row],[Delta Jour]],"")</f>
        <v/>
      </c>
      <c r="I115" s="184" t="str">
        <f>IF(SUM(Tab_Compteur_5[[#This Row],[Quantité]],Tab_Compteur_5[[#This Row],[Index]])&lt;=0,"",G115)</f>
        <v/>
      </c>
      <c r="J115" s="185"/>
      <c r="K115" s="36"/>
      <c r="L115" s="36"/>
      <c r="M115" s="36"/>
    </row>
    <row r="116" spans="1:13">
      <c r="A116" s="2">
        <f t="shared" si="3"/>
        <v>1</v>
      </c>
      <c r="B116" s="501"/>
      <c r="C116" s="178"/>
      <c r="D116" s="491"/>
      <c r="E116" s="502"/>
      <c r="F116" s="177">
        <f t="shared" si="2"/>
        <v>0</v>
      </c>
      <c r="G116" s="177" t="str">
        <f>IF(IFERROR(IF(Str_TypeDonneesCpt5=Cpt_Index,Tab_Compteur_5[[#This Row],[Index]]-E115,Tab_Compteur_5[[#This Row],[Quantité]])/Tab_Compteur_5[[#This Row],[Delta Jour]],"")&lt;0,"",IFERROR(IF(Str_TypeDonneesCpt5=Cpt_Index,Tab_Compteur_5[[#This Row],[Index]]-E115,Tab_Compteur_5[[#This Row],[Quantité]])/Tab_Compteur_5[[#This Row],[Delta Jour]],""))</f>
        <v/>
      </c>
      <c r="H116" s="177" t="str">
        <f>IFERROR(Tab_Compteur_5[[#This Row],[Montant]]/Tab_Compteur_5[[#This Row],[Delta Jour]],"")</f>
        <v/>
      </c>
      <c r="I116" s="184" t="str">
        <f>IF(SUM(Tab_Compteur_5[[#This Row],[Quantité]],Tab_Compteur_5[[#This Row],[Index]])&lt;=0,"",G116)</f>
        <v/>
      </c>
      <c r="J116" s="185"/>
      <c r="K116" s="36"/>
      <c r="L116" s="36"/>
      <c r="M116" s="36"/>
    </row>
    <row r="117" spans="1:13">
      <c r="A117" s="2">
        <f t="shared" si="3"/>
        <v>1</v>
      </c>
      <c r="B117" s="501"/>
      <c r="C117" s="178"/>
      <c r="D117" s="491"/>
      <c r="E117" s="502"/>
      <c r="F117" s="177">
        <f t="shared" si="2"/>
        <v>0</v>
      </c>
      <c r="G117" s="177" t="str">
        <f>IF(IFERROR(IF(Str_TypeDonneesCpt5=Cpt_Index,Tab_Compteur_5[[#This Row],[Index]]-E116,Tab_Compteur_5[[#This Row],[Quantité]])/Tab_Compteur_5[[#This Row],[Delta Jour]],"")&lt;0,"",IFERROR(IF(Str_TypeDonneesCpt5=Cpt_Index,Tab_Compteur_5[[#This Row],[Index]]-E116,Tab_Compteur_5[[#This Row],[Quantité]])/Tab_Compteur_5[[#This Row],[Delta Jour]],""))</f>
        <v/>
      </c>
      <c r="H117" s="177" t="str">
        <f>IFERROR(Tab_Compteur_5[[#This Row],[Montant]]/Tab_Compteur_5[[#This Row],[Delta Jour]],"")</f>
        <v/>
      </c>
      <c r="I117" s="184" t="str">
        <f>IF(SUM(Tab_Compteur_5[[#This Row],[Quantité]],Tab_Compteur_5[[#This Row],[Index]])&lt;=0,"",G117)</f>
        <v/>
      </c>
      <c r="J117" s="185"/>
      <c r="K117" s="36"/>
      <c r="L117" s="36"/>
      <c r="M117" s="36"/>
    </row>
    <row r="118" spans="1:13">
      <c r="A118" s="2">
        <f t="shared" si="3"/>
        <v>1</v>
      </c>
      <c r="B118" s="501"/>
      <c r="C118" s="178"/>
      <c r="D118" s="491"/>
      <c r="E118" s="502"/>
      <c r="F118" s="177">
        <f t="shared" si="2"/>
        <v>0</v>
      </c>
      <c r="G118" s="177" t="str">
        <f>IF(IFERROR(IF(Str_TypeDonneesCpt5=Cpt_Index,Tab_Compteur_5[[#This Row],[Index]]-E117,Tab_Compteur_5[[#This Row],[Quantité]])/Tab_Compteur_5[[#This Row],[Delta Jour]],"")&lt;0,"",IFERROR(IF(Str_TypeDonneesCpt5=Cpt_Index,Tab_Compteur_5[[#This Row],[Index]]-E117,Tab_Compteur_5[[#This Row],[Quantité]])/Tab_Compteur_5[[#This Row],[Delta Jour]],""))</f>
        <v/>
      </c>
      <c r="H118" s="177" t="str">
        <f>IFERROR(Tab_Compteur_5[[#This Row],[Montant]]/Tab_Compteur_5[[#This Row],[Delta Jour]],"")</f>
        <v/>
      </c>
      <c r="I118" s="184" t="str">
        <f>IF(SUM(Tab_Compteur_5[[#This Row],[Quantité]],Tab_Compteur_5[[#This Row],[Index]])&lt;=0,"",G118)</f>
        <v/>
      </c>
      <c r="J118" s="185"/>
      <c r="K118" s="36"/>
      <c r="L118" s="36"/>
      <c r="M118" s="36"/>
    </row>
    <row r="119" spans="1:13">
      <c r="A119" s="2">
        <f t="shared" si="3"/>
        <v>1</v>
      </c>
      <c r="B119" s="501"/>
      <c r="C119" s="178"/>
      <c r="D119" s="491"/>
      <c r="E119" s="502"/>
      <c r="F119" s="177">
        <f t="shared" si="2"/>
        <v>0</v>
      </c>
      <c r="G119" s="177" t="str">
        <f>IF(IFERROR(IF(Str_TypeDonneesCpt5=Cpt_Index,Tab_Compteur_5[[#This Row],[Index]]-E118,Tab_Compteur_5[[#This Row],[Quantité]])/Tab_Compteur_5[[#This Row],[Delta Jour]],"")&lt;0,"",IFERROR(IF(Str_TypeDonneesCpt5=Cpt_Index,Tab_Compteur_5[[#This Row],[Index]]-E118,Tab_Compteur_5[[#This Row],[Quantité]])/Tab_Compteur_5[[#This Row],[Delta Jour]],""))</f>
        <v/>
      </c>
      <c r="H119" s="177" t="str">
        <f>IFERROR(Tab_Compteur_5[[#This Row],[Montant]]/Tab_Compteur_5[[#This Row],[Delta Jour]],"")</f>
        <v/>
      </c>
      <c r="I119" s="184" t="str">
        <f>IF(SUM(Tab_Compteur_5[[#This Row],[Quantité]],Tab_Compteur_5[[#This Row],[Index]])&lt;=0,"",G119)</f>
        <v/>
      </c>
      <c r="J119" s="185"/>
      <c r="K119" s="36"/>
      <c r="L119" s="36"/>
      <c r="M119" s="36"/>
    </row>
    <row r="120" spans="1:13">
      <c r="A120" s="2">
        <f t="shared" si="3"/>
        <v>1</v>
      </c>
      <c r="B120" s="501"/>
      <c r="C120" s="178"/>
      <c r="D120" s="491"/>
      <c r="E120" s="502"/>
      <c r="F120" s="177">
        <f t="shared" si="2"/>
        <v>0</v>
      </c>
      <c r="G120" s="177" t="str">
        <f>IF(IFERROR(IF(Str_TypeDonneesCpt5=Cpt_Index,Tab_Compteur_5[[#This Row],[Index]]-E119,Tab_Compteur_5[[#This Row],[Quantité]])/Tab_Compteur_5[[#This Row],[Delta Jour]],"")&lt;0,"",IFERROR(IF(Str_TypeDonneesCpt5=Cpt_Index,Tab_Compteur_5[[#This Row],[Index]]-E119,Tab_Compteur_5[[#This Row],[Quantité]])/Tab_Compteur_5[[#This Row],[Delta Jour]],""))</f>
        <v/>
      </c>
      <c r="H120" s="177" t="str">
        <f>IFERROR(Tab_Compteur_5[[#This Row],[Montant]]/Tab_Compteur_5[[#This Row],[Delta Jour]],"")</f>
        <v/>
      </c>
      <c r="I120" s="184" t="str">
        <f>IF(SUM(Tab_Compteur_5[[#This Row],[Quantité]],Tab_Compteur_5[[#This Row],[Index]])&lt;=0,"",G120)</f>
        <v/>
      </c>
      <c r="J120" s="185"/>
      <c r="K120" s="36"/>
      <c r="L120" s="36"/>
      <c r="M120" s="36"/>
    </row>
    <row r="121" spans="1:13">
      <c r="A121" s="2">
        <f t="shared" si="3"/>
        <v>1</v>
      </c>
      <c r="B121" s="501"/>
      <c r="C121" s="178"/>
      <c r="D121" s="491"/>
      <c r="E121" s="502"/>
      <c r="F121" s="177">
        <f t="shared" si="2"/>
        <v>0</v>
      </c>
      <c r="G121" s="177" t="str">
        <f>IF(IFERROR(IF(Str_TypeDonneesCpt5=Cpt_Index,Tab_Compteur_5[[#This Row],[Index]]-E120,Tab_Compteur_5[[#This Row],[Quantité]])/Tab_Compteur_5[[#This Row],[Delta Jour]],"")&lt;0,"",IFERROR(IF(Str_TypeDonneesCpt5=Cpt_Index,Tab_Compteur_5[[#This Row],[Index]]-E120,Tab_Compteur_5[[#This Row],[Quantité]])/Tab_Compteur_5[[#This Row],[Delta Jour]],""))</f>
        <v/>
      </c>
      <c r="H121" s="177" t="str">
        <f>IFERROR(Tab_Compteur_5[[#This Row],[Montant]]/Tab_Compteur_5[[#This Row],[Delta Jour]],"")</f>
        <v/>
      </c>
      <c r="I121" s="184" t="str">
        <f>IF(SUM(Tab_Compteur_5[[#This Row],[Quantité]],Tab_Compteur_5[[#This Row],[Index]])&lt;=0,"",G121)</f>
        <v/>
      </c>
      <c r="J121" s="185"/>
      <c r="K121" s="36"/>
      <c r="L121" s="36"/>
      <c r="M121" s="36"/>
    </row>
    <row r="122" spans="1:13">
      <c r="A122" s="2">
        <f t="shared" si="3"/>
        <v>1</v>
      </c>
      <c r="B122" s="501"/>
      <c r="C122" s="178"/>
      <c r="D122" s="491"/>
      <c r="E122" s="502"/>
      <c r="F122" s="177">
        <f t="shared" si="2"/>
        <v>0</v>
      </c>
      <c r="G122" s="177" t="str">
        <f>IF(IFERROR(IF(Str_TypeDonneesCpt5=Cpt_Index,Tab_Compteur_5[[#This Row],[Index]]-E121,Tab_Compteur_5[[#This Row],[Quantité]])/Tab_Compteur_5[[#This Row],[Delta Jour]],"")&lt;0,"",IFERROR(IF(Str_TypeDonneesCpt5=Cpt_Index,Tab_Compteur_5[[#This Row],[Index]]-E121,Tab_Compteur_5[[#This Row],[Quantité]])/Tab_Compteur_5[[#This Row],[Delta Jour]],""))</f>
        <v/>
      </c>
      <c r="H122" s="177" t="str">
        <f>IFERROR(Tab_Compteur_5[[#This Row],[Montant]]/Tab_Compteur_5[[#This Row],[Delta Jour]],"")</f>
        <v/>
      </c>
      <c r="I122" s="184" t="str">
        <f>IF(SUM(Tab_Compteur_5[[#This Row],[Quantité]],Tab_Compteur_5[[#This Row],[Index]])&lt;=0,"",G122)</f>
        <v/>
      </c>
      <c r="J122" s="185"/>
      <c r="K122" s="36"/>
      <c r="L122" s="36"/>
      <c r="M122" s="36"/>
    </row>
    <row r="123" spans="1:13">
      <c r="A123" s="2">
        <f t="shared" si="3"/>
        <v>1</v>
      </c>
      <c r="B123" s="501"/>
      <c r="C123" s="178"/>
      <c r="D123" s="491"/>
      <c r="E123" s="502"/>
      <c r="F123" s="177">
        <f t="shared" si="2"/>
        <v>0</v>
      </c>
      <c r="G123" s="177" t="str">
        <f>IF(IFERROR(IF(Str_TypeDonneesCpt5=Cpt_Index,Tab_Compteur_5[[#This Row],[Index]]-E122,Tab_Compteur_5[[#This Row],[Quantité]])/Tab_Compteur_5[[#This Row],[Delta Jour]],"")&lt;0,"",IFERROR(IF(Str_TypeDonneesCpt5=Cpt_Index,Tab_Compteur_5[[#This Row],[Index]]-E122,Tab_Compteur_5[[#This Row],[Quantité]])/Tab_Compteur_5[[#This Row],[Delta Jour]],""))</f>
        <v/>
      </c>
      <c r="H123" s="177" t="str">
        <f>IFERROR(Tab_Compteur_5[[#This Row],[Montant]]/Tab_Compteur_5[[#This Row],[Delta Jour]],"")</f>
        <v/>
      </c>
      <c r="I123" s="184" t="str">
        <f>IF(SUM(Tab_Compteur_5[[#This Row],[Quantité]],Tab_Compteur_5[[#This Row],[Index]])&lt;=0,"",G123)</f>
        <v/>
      </c>
      <c r="J123" s="185"/>
      <c r="K123" s="36"/>
      <c r="L123" s="36"/>
      <c r="M123" s="36"/>
    </row>
    <row r="124" spans="1:13">
      <c r="A124" s="2">
        <f t="shared" si="3"/>
        <v>1</v>
      </c>
      <c r="B124" s="501"/>
      <c r="C124" s="178"/>
      <c r="D124" s="491"/>
      <c r="E124" s="502"/>
      <c r="F124" s="177">
        <f t="shared" si="2"/>
        <v>0</v>
      </c>
      <c r="G124" s="177" t="str">
        <f>IF(IFERROR(IF(Str_TypeDonneesCpt5=Cpt_Index,Tab_Compteur_5[[#This Row],[Index]]-E123,Tab_Compteur_5[[#This Row],[Quantité]])/Tab_Compteur_5[[#This Row],[Delta Jour]],"")&lt;0,"",IFERROR(IF(Str_TypeDonneesCpt5=Cpt_Index,Tab_Compteur_5[[#This Row],[Index]]-E123,Tab_Compteur_5[[#This Row],[Quantité]])/Tab_Compteur_5[[#This Row],[Delta Jour]],""))</f>
        <v/>
      </c>
      <c r="H124" s="177" t="str">
        <f>IFERROR(Tab_Compteur_5[[#This Row],[Montant]]/Tab_Compteur_5[[#This Row],[Delta Jour]],"")</f>
        <v/>
      </c>
      <c r="I124" s="184" t="str">
        <f>IF(SUM(Tab_Compteur_5[[#This Row],[Quantité]],Tab_Compteur_5[[#This Row],[Index]])&lt;=0,"",G124)</f>
        <v/>
      </c>
      <c r="J124" s="185"/>
      <c r="K124" s="36"/>
      <c r="L124" s="36"/>
      <c r="M124" s="36"/>
    </row>
    <row r="125" spans="1:13">
      <c r="A125" s="2">
        <f t="shared" si="3"/>
        <v>1</v>
      </c>
      <c r="B125" s="501"/>
      <c r="C125" s="178"/>
      <c r="D125" s="491"/>
      <c r="E125" s="502"/>
      <c r="F125" s="177">
        <f t="shared" si="2"/>
        <v>0</v>
      </c>
      <c r="G125" s="177" t="str">
        <f>IF(IFERROR(IF(Str_TypeDonneesCpt5=Cpt_Index,Tab_Compteur_5[[#This Row],[Index]]-E124,Tab_Compteur_5[[#This Row],[Quantité]])/Tab_Compteur_5[[#This Row],[Delta Jour]],"")&lt;0,"",IFERROR(IF(Str_TypeDonneesCpt5=Cpt_Index,Tab_Compteur_5[[#This Row],[Index]]-E124,Tab_Compteur_5[[#This Row],[Quantité]])/Tab_Compteur_5[[#This Row],[Delta Jour]],""))</f>
        <v/>
      </c>
      <c r="H125" s="177" t="str">
        <f>IFERROR(Tab_Compteur_5[[#This Row],[Montant]]/Tab_Compteur_5[[#This Row],[Delta Jour]],"")</f>
        <v/>
      </c>
      <c r="I125" s="184" t="str">
        <f>IF(SUM(Tab_Compteur_5[[#This Row],[Quantité]],Tab_Compteur_5[[#This Row],[Index]])&lt;=0,"",G125)</f>
        <v/>
      </c>
      <c r="J125" s="185"/>
      <c r="K125" s="36"/>
      <c r="L125" s="36"/>
      <c r="M125" s="36"/>
    </row>
    <row r="126" spans="1:13">
      <c r="A126" s="2">
        <f t="shared" si="3"/>
        <v>1</v>
      </c>
      <c r="B126" s="501"/>
      <c r="C126" s="178"/>
      <c r="D126" s="491"/>
      <c r="E126" s="502"/>
      <c r="F126" s="177">
        <f t="shared" si="2"/>
        <v>0</v>
      </c>
      <c r="G126" s="177" t="str">
        <f>IF(IFERROR(IF(Str_TypeDonneesCpt5=Cpt_Index,Tab_Compteur_5[[#This Row],[Index]]-E125,Tab_Compteur_5[[#This Row],[Quantité]])/Tab_Compteur_5[[#This Row],[Delta Jour]],"")&lt;0,"",IFERROR(IF(Str_TypeDonneesCpt5=Cpt_Index,Tab_Compteur_5[[#This Row],[Index]]-E125,Tab_Compteur_5[[#This Row],[Quantité]])/Tab_Compteur_5[[#This Row],[Delta Jour]],""))</f>
        <v/>
      </c>
      <c r="H126" s="177" t="str">
        <f>IFERROR(Tab_Compteur_5[[#This Row],[Montant]]/Tab_Compteur_5[[#This Row],[Delta Jour]],"")</f>
        <v/>
      </c>
      <c r="I126" s="184" t="str">
        <f>IF(SUM(Tab_Compteur_5[[#This Row],[Quantité]],Tab_Compteur_5[[#This Row],[Index]])&lt;=0,"",G126)</f>
        <v/>
      </c>
      <c r="J126" s="185"/>
      <c r="K126" s="36"/>
      <c r="L126" s="36"/>
      <c r="M126" s="36"/>
    </row>
    <row r="127" spans="1:13">
      <c r="A127" s="2">
        <f t="shared" si="3"/>
        <v>1</v>
      </c>
      <c r="B127" s="501"/>
      <c r="C127" s="178"/>
      <c r="D127" s="491"/>
      <c r="E127" s="502"/>
      <c r="F127" s="177">
        <f t="shared" si="2"/>
        <v>0</v>
      </c>
      <c r="G127" s="177" t="str">
        <f>IF(IFERROR(IF(Str_TypeDonneesCpt5=Cpt_Index,Tab_Compteur_5[[#This Row],[Index]]-E126,Tab_Compteur_5[[#This Row],[Quantité]])/Tab_Compteur_5[[#This Row],[Delta Jour]],"")&lt;0,"",IFERROR(IF(Str_TypeDonneesCpt5=Cpt_Index,Tab_Compteur_5[[#This Row],[Index]]-E126,Tab_Compteur_5[[#This Row],[Quantité]])/Tab_Compteur_5[[#This Row],[Delta Jour]],""))</f>
        <v/>
      </c>
      <c r="H127" s="177" t="str">
        <f>IFERROR(Tab_Compteur_5[[#This Row],[Montant]]/Tab_Compteur_5[[#This Row],[Delta Jour]],"")</f>
        <v/>
      </c>
      <c r="I127" s="184" t="str">
        <f>IF(SUM(Tab_Compteur_5[[#This Row],[Quantité]],Tab_Compteur_5[[#This Row],[Index]])&lt;=0,"",G127)</f>
        <v/>
      </c>
      <c r="J127" s="185"/>
      <c r="K127" s="36"/>
      <c r="L127" s="36"/>
      <c r="M127" s="36"/>
    </row>
    <row r="128" spans="1:13">
      <c r="A128" s="2">
        <f t="shared" si="3"/>
        <v>1</v>
      </c>
      <c r="B128" s="501"/>
      <c r="C128" s="178"/>
      <c r="D128" s="491"/>
      <c r="E128" s="502"/>
      <c r="F128" s="177">
        <f t="shared" si="2"/>
        <v>0</v>
      </c>
      <c r="G128" s="177" t="str">
        <f>IF(IFERROR(IF(Str_TypeDonneesCpt5=Cpt_Index,Tab_Compteur_5[[#This Row],[Index]]-E127,Tab_Compteur_5[[#This Row],[Quantité]])/Tab_Compteur_5[[#This Row],[Delta Jour]],"")&lt;0,"",IFERROR(IF(Str_TypeDonneesCpt5=Cpt_Index,Tab_Compteur_5[[#This Row],[Index]]-E127,Tab_Compteur_5[[#This Row],[Quantité]])/Tab_Compteur_5[[#This Row],[Delta Jour]],""))</f>
        <v/>
      </c>
      <c r="H128" s="177" t="str">
        <f>IFERROR(Tab_Compteur_5[[#This Row],[Montant]]/Tab_Compteur_5[[#This Row],[Delta Jour]],"")</f>
        <v/>
      </c>
      <c r="I128" s="184" t="str">
        <f>IF(SUM(Tab_Compteur_5[[#This Row],[Quantité]],Tab_Compteur_5[[#This Row],[Index]])&lt;=0,"",G128)</f>
        <v/>
      </c>
      <c r="J128" s="185"/>
      <c r="K128" s="36"/>
      <c r="L128" s="36"/>
      <c r="M128" s="36"/>
    </row>
    <row r="129" spans="1:13">
      <c r="A129" s="2">
        <f t="shared" si="3"/>
        <v>1</v>
      </c>
      <c r="B129" s="501"/>
      <c r="C129" s="178"/>
      <c r="D129" s="491"/>
      <c r="E129" s="502"/>
      <c r="F129" s="177">
        <f t="shared" si="2"/>
        <v>0</v>
      </c>
      <c r="G129" s="177" t="str">
        <f>IF(IFERROR(IF(Str_TypeDonneesCpt5=Cpt_Index,Tab_Compteur_5[[#This Row],[Index]]-E128,Tab_Compteur_5[[#This Row],[Quantité]])/Tab_Compteur_5[[#This Row],[Delta Jour]],"")&lt;0,"",IFERROR(IF(Str_TypeDonneesCpt5=Cpt_Index,Tab_Compteur_5[[#This Row],[Index]]-E128,Tab_Compteur_5[[#This Row],[Quantité]])/Tab_Compteur_5[[#This Row],[Delta Jour]],""))</f>
        <v/>
      </c>
      <c r="H129" s="177" t="str">
        <f>IFERROR(Tab_Compteur_5[[#This Row],[Montant]]/Tab_Compteur_5[[#This Row],[Delta Jour]],"")</f>
        <v/>
      </c>
      <c r="I129" s="184" t="str">
        <f>IF(SUM(Tab_Compteur_5[[#This Row],[Quantité]],Tab_Compteur_5[[#This Row],[Index]])&lt;=0,"",G129)</f>
        <v/>
      </c>
      <c r="J129" s="185"/>
      <c r="K129" s="36"/>
      <c r="L129" s="36"/>
      <c r="M129" s="36"/>
    </row>
    <row r="130" spans="1:13">
      <c r="A130" s="2">
        <f t="shared" si="3"/>
        <v>1</v>
      </c>
      <c r="B130" s="501"/>
      <c r="C130" s="178"/>
      <c r="D130" s="491"/>
      <c r="E130" s="502"/>
      <c r="F130" s="177">
        <f t="shared" si="2"/>
        <v>0</v>
      </c>
      <c r="G130" s="177" t="str">
        <f>IF(IFERROR(IF(Str_TypeDonneesCpt5=Cpt_Index,Tab_Compteur_5[[#This Row],[Index]]-E129,Tab_Compteur_5[[#This Row],[Quantité]])/Tab_Compteur_5[[#This Row],[Delta Jour]],"")&lt;0,"",IFERROR(IF(Str_TypeDonneesCpt5=Cpt_Index,Tab_Compteur_5[[#This Row],[Index]]-E129,Tab_Compteur_5[[#This Row],[Quantité]])/Tab_Compteur_5[[#This Row],[Delta Jour]],""))</f>
        <v/>
      </c>
      <c r="H130" s="177" t="str">
        <f>IFERROR(Tab_Compteur_5[[#This Row],[Montant]]/Tab_Compteur_5[[#This Row],[Delta Jour]],"")</f>
        <v/>
      </c>
      <c r="I130" s="184" t="str">
        <f>IF(SUM(Tab_Compteur_5[[#This Row],[Quantité]],Tab_Compteur_5[[#This Row],[Index]])&lt;=0,"",G130)</f>
        <v/>
      </c>
      <c r="J130" s="185"/>
      <c r="K130" s="36"/>
      <c r="L130" s="36"/>
      <c r="M130" s="36"/>
    </row>
    <row r="131" spans="1:13">
      <c r="A131" s="2">
        <f t="shared" si="3"/>
        <v>1</v>
      </c>
      <c r="B131" s="501"/>
      <c r="C131" s="178"/>
      <c r="D131" s="491"/>
      <c r="E131" s="502"/>
      <c r="F131" s="177">
        <f t="shared" ref="F131:F194" si="4">IFERROR(B131-A131+1,"")</f>
        <v>0</v>
      </c>
      <c r="G131" s="177" t="str">
        <f>IF(IFERROR(IF(Str_TypeDonneesCpt5=Cpt_Index,Tab_Compteur_5[[#This Row],[Index]]-E130,Tab_Compteur_5[[#This Row],[Quantité]])/Tab_Compteur_5[[#This Row],[Delta Jour]],"")&lt;0,"",IFERROR(IF(Str_TypeDonneesCpt5=Cpt_Index,Tab_Compteur_5[[#This Row],[Index]]-E130,Tab_Compteur_5[[#This Row],[Quantité]])/Tab_Compteur_5[[#This Row],[Delta Jour]],""))</f>
        <v/>
      </c>
      <c r="H131" s="177" t="str">
        <f>IFERROR(Tab_Compteur_5[[#This Row],[Montant]]/Tab_Compteur_5[[#This Row],[Delta Jour]],"")</f>
        <v/>
      </c>
      <c r="I131" s="184" t="str">
        <f>IF(SUM(Tab_Compteur_5[[#This Row],[Quantité]],Tab_Compteur_5[[#This Row],[Index]])&lt;=0,"",G131)</f>
        <v/>
      </c>
      <c r="J131" s="185"/>
      <c r="K131" s="36"/>
      <c r="L131" s="36"/>
      <c r="M131" s="36"/>
    </row>
    <row r="132" spans="1:13">
      <c r="A132" s="2">
        <f t="shared" si="3"/>
        <v>1</v>
      </c>
      <c r="B132" s="501"/>
      <c r="C132" s="178"/>
      <c r="D132" s="491"/>
      <c r="E132" s="502"/>
      <c r="F132" s="177">
        <f t="shared" si="4"/>
        <v>0</v>
      </c>
      <c r="G132" s="177" t="str">
        <f>IF(IFERROR(IF(Str_TypeDonneesCpt5=Cpt_Index,Tab_Compteur_5[[#This Row],[Index]]-E131,Tab_Compteur_5[[#This Row],[Quantité]])/Tab_Compteur_5[[#This Row],[Delta Jour]],"")&lt;0,"",IFERROR(IF(Str_TypeDonneesCpt5=Cpt_Index,Tab_Compteur_5[[#This Row],[Index]]-E131,Tab_Compteur_5[[#This Row],[Quantité]])/Tab_Compteur_5[[#This Row],[Delta Jour]],""))</f>
        <v/>
      </c>
      <c r="H132" s="177" t="str">
        <f>IFERROR(Tab_Compteur_5[[#This Row],[Montant]]/Tab_Compteur_5[[#This Row],[Delta Jour]],"")</f>
        <v/>
      </c>
      <c r="I132" s="184" t="str">
        <f>IF(SUM(Tab_Compteur_5[[#This Row],[Quantité]],Tab_Compteur_5[[#This Row],[Index]])&lt;=0,"",G132)</f>
        <v/>
      </c>
      <c r="J132" s="185"/>
      <c r="K132" s="36"/>
      <c r="L132" s="36"/>
      <c r="M132" s="36"/>
    </row>
    <row r="133" spans="1:13">
      <c r="A133" s="2">
        <f t="shared" si="3"/>
        <v>1</v>
      </c>
      <c r="B133" s="501"/>
      <c r="C133" s="178"/>
      <c r="D133" s="491"/>
      <c r="E133" s="502"/>
      <c r="F133" s="177">
        <f t="shared" si="4"/>
        <v>0</v>
      </c>
      <c r="G133" s="177" t="str">
        <f>IF(IFERROR(IF(Str_TypeDonneesCpt5=Cpt_Index,Tab_Compteur_5[[#This Row],[Index]]-E132,Tab_Compteur_5[[#This Row],[Quantité]])/Tab_Compteur_5[[#This Row],[Delta Jour]],"")&lt;0,"",IFERROR(IF(Str_TypeDonneesCpt5=Cpt_Index,Tab_Compteur_5[[#This Row],[Index]]-E132,Tab_Compteur_5[[#This Row],[Quantité]])/Tab_Compteur_5[[#This Row],[Delta Jour]],""))</f>
        <v/>
      </c>
      <c r="H133" s="177" t="str">
        <f>IFERROR(Tab_Compteur_5[[#This Row],[Montant]]/Tab_Compteur_5[[#This Row],[Delta Jour]],"")</f>
        <v/>
      </c>
      <c r="I133" s="184" t="str">
        <f>IF(SUM(Tab_Compteur_5[[#This Row],[Quantité]],Tab_Compteur_5[[#This Row],[Index]])&lt;=0,"",G133)</f>
        <v/>
      </c>
      <c r="J133" s="185"/>
      <c r="K133" s="36"/>
      <c r="L133" s="36"/>
      <c r="M133" s="36"/>
    </row>
    <row r="134" spans="1:13">
      <c r="A134" s="2">
        <f t="shared" ref="A134:A197" si="5">IFERROR(B133+1,0)</f>
        <v>1</v>
      </c>
      <c r="B134" s="501"/>
      <c r="C134" s="178"/>
      <c r="D134" s="491"/>
      <c r="E134" s="502"/>
      <c r="F134" s="177">
        <f t="shared" si="4"/>
        <v>0</v>
      </c>
      <c r="G134" s="177" t="str">
        <f>IF(IFERROR(IF(Str_TypeDonneesCpt5=Cpt_Index,Tab_Compteur_5[[#This Row],[Index]]-E133,Tab_Compteur_5[[#This Row],[Quantité]])/Tab_Compteur_5[[#This Row],[Delta Jour]],"")&lt;0,"",IFERROR(IF(Str_TypeDonneesCpt5=Cpt_Index,Tab_Compteur_5[[#This Row],[Index]]-E133,Tab_Compteur_5[[#This Row],[Quantité]])/Tab_Compteur_5[[#This Row],[Delta Jour]],""))</f>
        <v/>
      </c>
      <c r="H134" s="177" t="str">
        <f>IFERROR(Tab_Compteur_5[[#This Row],[Montant]]/Tab_Compteur_5[[#This Row],[Delta Jour]],"")</f>
        <v/>
      </c>
      <c r="I134" s="184" t="str">
        <f>IF(SUM(Tab_Compteur_5[[#This Row],[Quantité]],Tab_Compteur_5[[#This Row],[Index]])&lt;=0,"",G134)</f>
        <v/>
      </c>
      <c r="J134" s="185"/>
      <c r="K134" s="36"/>
      <c r="L134" s="36"/>
      <c r="M134" s="36"/>
    </row>
    <row r="135" spans="1:13">
      <c r="A135" s="2">
        <f t="shared" si="5"/>
        <v>1</v>
      </c>
      <c r="B135" s="501"/>
      <c r="C135" s="178"/>
      <c r="D135" s="491"/>
      <c r="E135" s="502"/>
      <c r="F135" s="177">
        <f t="shared" si="4"/>
        <v>0</v>
      </c>
      <c r="G135" s="177" t="str">
        <f>IF(IFERROR(IF(Str_TypeDonneesCpt5=Cpt_Index,Tab_Compteur_5[[#This Row],[Index]]-E134,Tab_Compteur_5[[#This Row],[Quantité]])/Tab_Compteur_5[[#This Row],[Delta Jour]],"")&lt;0,"",IFERROR(IF(Str_TypeDonneesCpt5=Cpt_Index,Tab_Compteur_5[[#This Row],[Index]]-E134,Tab_Compteur_5[[#This Row],[Quantité]])/Tab_Compteur_5[[#This Row],[Delta Jour]],""))</f>
        <v/>
      </c>
      <c r="H135" s="177" t="str">
        <f>IFERROR(Tab_Compteur_5[[#This Row],[Montant]]/Tab_Compteur_5[[#This Row],[Delta Jour]],"")</f>
        <v/>
      </c>
      <c r="I135" s="184" t="str">
        <f>IF(SUM(Tab_Compteur_5[[#This Row],[Quantité]],Tab_Compteur_5[[#This Row],[Index]])&lt;=0,"",G135)</f>
        <v/>
      </c>
      <c r="J135" s="185"/>
      <c r="K135" s="36"/>
      <c r="L135" s="36"/>
      <c r="M135" s="36"/>
    </row>
    <row r="136" spans="1:13">
      <c r="A136" s="2">
        <f t="shared" si="5"/>
        <v>1</v>
      </c>
      <c r="B136" s="501"/>
      <c r="C136" s="178"/>
      <c r="D136" s="491"/>
      <c r="E136" s="502"/>
      <c r="F136" s="177">
        <f t="shared" si="4"/>
        <v>0</v>
      </c>
      <c r="G136" s="177" t="str">
        <f>IF(IFERROR(IF(Str_TypeDonneesCpt5=Cpt_Index,Tab_Compteur_5[[#This Row],[Index]]-E135,Tab_Compteur_5[[#This Row],[Quantité]])/Tab_Compteur_5[[#This Row],[Delta Jour]],"")&lt;0,"",IFERROR(IF(Str_TypeDonneesCpt5=Cpt_Index,Tab_Compteur_5[[#This Row],[Index]]-E135,Tab_Compteur_5[[#This Row],[Quantité]])/Tab_Compteur_5[[#This Row],[Delta Jour]],""))</f>
        <v/>
      </c>
      <c r="H136" s="177" t="str">
        <f>IFERROR(Tab_Compteur_5[[#This Row],[Montant]]/Tab_Compteur_5[[#This Row],[Delta Jour]],"")</f>
        <v/>
      </c>
      <c r="I136" s="184" t="str">
        <f>IF(SUM(Tab_Compteur_5[[#This Row],[Quantité]],Tab_Compteur_5[[#This Row],[Index]])&lt;=0,"",G136)</f>
        <v/>
      </c>
      <c r="J136" s="185"/>
      <c r="K136" s="36"/>
      <c r="L136" s="36"/>
      <c r="M136" s="36"/>
    </row>
    <row r="137" spans="1:13">
      <c r="A137" s="2">
        <f t="shared" si="5"/>
        <v>1</v>
      </c>
      <c r="B137" s="501"/>
      <c r="C137" s="178"/>
      <c r="D137" s="491"/>
      <c r="E137" s="502"/>
      <c r="F137" s="177">
        <f t="shared" si="4"/>
        <v>0</v>
      </c>
      <c r="G137" s="177" t="str">
        <f>IF(IFERROR(IF(Str_TypeDonneesCpt5=Cpt_Index,Tab_Compteur_5[[#This Row],[Index]]-E136,Tab_Compteur_5[[#This Row],[Quantité]])/Tab_Compteur_5[[#This Row],[Delta Jour]],"")&lt;0,"",IFERROR(IF(Str_TypeDonneesCpt5=Cpt_Index,Tab_Compteur_5[[#This Row],[Index]]-E136,Tab_Compteur_5[[#This Row],[Quantité]])/Tab_Compteur_5[[#This Row],[Delta Jour]],""))</f>
        <v/>
      </c>
      <c r="H137" s="177" t="str">
        <f>IFERROR(Tab_Compteur_5[[#This Row],[Montant]]/Tab_Compteur_5[[#This Row],[Delta Jour]],"")</f>
        <v/>
      </c>
      <c r="I137" s="184" t="str">
        <f>IF(SUM(Tab_Compteur_5[[#This Row],[Quantité]],Tab_Compteur_5[[#This Row],[Index]])&lt;=0,"",G137)</f>
        <v/>
      </c>
      <c r="J137" s="185"/>
      <c r="K137" s="36"/>
      <c r="L137" s="36"/>
      <c r="M137" s="36"/>
    </row>
    <row r="138" spans="1:13">
      <c r="A138" s="2">
        <f t="shared" si="5"/>
        <v>1</v>
      </c>
      <c r="B138" s="501"/>
      <c r="C138" s="178"/>
      <c r="D138" s="491"/>
      <c r="E138" s="502"/>
      <c r="F138" s="177">
        <f t="shared" si="4"/>
        <v>0</v>
      </c>
      <c r="G138" s="177" t="str">
        <f>IF(IFERROR(IF(Str_TypeDonneesCpt5=Cpt_Index,Tab_Compteur_5[[#This Row],[Index]]-E137,Tab_Compteur_5[[#This Row],[Quantité]])/Tab_Compteur_5[[#This Row],[Delta Jour]],"")&lt;0,"",IFERROR(IF(Str_TypeDonneesCpt5=Cpt_Index,Tab_Compteur_5[[#This Row],[Index]]-E137,Tab_Compteur_5[[#This Row],[Quantité]])/Tab_Compteur_5[[#This Row],[Delta Jour]],""))</f>
        <v/>
      </c>
      <c r="H138" s="177" t="str">
        <f>IFERROR(Tab_Compteur_5[[#This Row],[Montant]]/Tab_Compteur_5[[#This Row],[Delta Jour]],"")</f>
        <v/>
      </c>
      <c r="I138" s="184" t="str">
        <f>IF(SUM(Tab_Compteur_5[[#This Row],[Quantité]],Tab_Compteur_5[[#This Row],[Index]])&lt;=0,"",G138)</f>
        <v/>
      </c>
      <c r="J138" s="185"/>
      <c r="K138" s="36"/>
      <c r="L138" s="36"/>
      <c r="M138" s="36"/>
    </row>
    <row r="139" spans="1:13">
      <c r="A139" s="2">
        <f t="shared" si="5"/>
        <v>1</v>
      </c>
      <c r="B139" s="501"/>
      <c r="C139" s="178"/>
      <c r="D139" s="491"/>
      <c r="E139" s="502"/>
      <c r="F139" s="177">
        <f t="shared" si="4"/>
        <v>0</v>
      </c>
      <c r="G139" s="177" t="str">
        <f>IF(IFERROR(IF(Str_TypeDonneesCpt5=Cpt_Index,Tab_Compteur_5[[#This Row],[Index]]-E138,Tab_Compteur_5[[#This Row],[Quantité]])/Tab_Compteur_5[[#This Row],[Delta Jour]],"")&lt;0,"",IFERROR(IF(Str_TypeDonneesCpt5=Cpt_Index,Tab_Compteur_5[[#This Row],[Index]]-E138,Tab_Compteur_5[[#This Row],[Quantité]])/Tab_Compteur_5[[#This Row],[Delta Jour]],""))</f>
        <v/>
      </c>
      <c r="H139" s="177" t="str">
        <f>IFERROR(Tab_Compteur_5[[#This Row],[Montant]]/Tab_Compteur_5[[#This Row],[Delta Jour]],"")</f>
        <v/>
      </c>
      <c r="I139" s="184" t="str">
        <f>IF(SUM(Tab_Compteur_5[[#This Row],[Quantité]],Tab_Compteur_5[[#This Row],[Index]])&lt;=0,"",G139)</f>
        <v/>
      </c>
      <c r="J139" s="185"/>
      <c r="K139" s="36"/>
      <c r="L139" s="36"/>
      <c r="M139" s="36"/>
    </row>
    <row r="140" spans="1:13">
      <c r="A140" s="2">
        <f t="shared" si="5"/>
        <v>1</v>
      </c>
      <c r="B140" s="501"/>
      <c r="C140" s="178"/>
      <c r="D140" s="491"/>
      <c r="E140" s="502"/>
      <c r="F140" s="177">
        <f t="shared" si="4"/>
        <v>0</v>
      </c>
      <c r="G140" s="177" t="str">
        <f>IF(IFERROR(IF(Str_TypeDonneesCpt5=Cpt_Index,Tab_Compteur_5[[#This Row],[Index]]-E139,Tab_Compteur_5[[#This Row],[Quantité]])/Tab_Compteur_5[[#This Row],[Delta Jour]],"")&lt;0,"",IFERROR(IF(Str_TypeDonneesCpt5=Cpt_Index,Tab_Compteur_5[[#This Row],[Index]]-E139,Tab_Compteur_5[[#This Row],[Quantité]])/Tab_Compteur_5[[#This Row],[Delta Jour]],""))</f>
        <v/>
      </c>
      <c r="H140" s="177" t="str">
        <f>IFERROR(Tab_Compteur_5[[#This Row],[Montant]]/Tab_Compteur_5[[#This Row],[Delta Jour]],"")</f>
        <v/>
      </c>
      <c r="I140" s="184" t="str">
        <f>IF(SUM(Tab_Compteur_5[[#This Row],[Quantité]],Tab_Compteur_5[[#This Row],[Index]])&lt;=0,"",G140)</f>
        <v/>
      </c>
      <c r="J140" s="185"/>
      <c r="K140" s="36"/>
      <c r="L140" s="36"/>
      <c r="M140" s="36"/>
    </row>
    <row r="141" spans="1:13">
      <c r="A141" s="2">
        <f t="shared" si="5"/>
        <v>1</v>
      </c>
      <c r="B141" s="501"/>
      <c r="C141" s="178"/>
      <c r="D141" s="491"/>
      <c r="E141" s="502"/>
      <c r="F141" s="177">
        <f t="shared" si="4"/>
        <v>0</v>
      </c>
      <c r="G141" s="177" t="str">
        <f>IF(IFERROR(IF(Str_TypeDonneesCpt5=Cpt_Index,Tab_Compteur_5[[#This Row],[Index]]-E140,Tab_Compteur_5[[#This Row],[Quantité]])/Tab_Compteur_5[[#This Row],[Delta Jour]],"")&lt;0,"",IFERROR(IF(Str_TypeDonneesCpt5=Cpt_Index,Tab_Compteur_5[[#This Row],[Index]]-E140,Tab_Compteur_5[[#This Row],[Quantité]])/Tab_Compteur_5[[#This Row],[Delta Jour]],""))</f>
        <v/>
      </c>
      <c r="H141" s="177" t="str">
        <f>IFERROR(Tab_Compteur_5[[#This Row],[Montant]]/Tab_Compteur_5[[#This Row],[Delta Jour]],"")</f>
        <v/>
      </c>
      <c r="I141" s="184" t="str">
        <f>IF(SUM(Tab_Compteur_5[[#This Row],[Quantité]],Tab_Compteur_5[[#This Row],[Index]])&lt;=0,"",G141)</f>
        <v/>
      </c>
      <c r="J141" s="185"/>
      <c r="K141" s="36"/>
      <c r="L141" s="36"/>
      <c r="M141" s="36"/>
    </row>
    <row r="142" spans="1:13">
      <c r="A142" s="2">
        <f t="shared" si="5"/>
        <v>1</v>
      </c>
      <c r="B142" s="501"/>
      <c r="C142" s="178"/>
      <c r="D142" s="491"/>
      <c r="E142" s="502"/>
      <c r="F142" s="177">
        <f t="shared" si="4"/>
        <v>0</v>
      </c>
      <c r="G142" s="177" t="str">
        <f>IF(IFERROR(IF(Str_TypeDonneesCpt5=Cpt_Index,Tab_Compteur_5[[#This Row],[Index]]-E141,Tab_Compteur_5[[#This Row],[Quantité]])/Tab_Compteur_5[[#This Row],[Delta Jour]],"")&lt;0,"",IFERROR(IF(Str_TypeDonneesCpt5=Cpt_Index,Tab_Compteur_5[[#This Row],[Index]]-E141,Tab_Compteur_5[[#This Row],[Quantité]])/Tab_Compteur_5[[#This Row],[Delta Jour]],""))</f>
        <v/>
      </c>
      <c r="H142" s="177" t="str">
        <f>IFERROR(Tab_Compteur_5[[#This Row],[Montant]]/Tab_Compteur_5[[#This Row],[Delta Jour]],"")</f>
        <v/>
      </c>
      <c r="I142" s="184" t="str">
        <f>IF(SUM(Tab_Compteur_5[[#This Row],[Quantité]],Tab_Compteur_5[[#This Row],[Index]])&lt;=0,"",G142)</f>
        <v/>
      </c>
      <c r="J142" s="185"/>
      <c r="K142" s="36"/>
      <c r="L142" s="36"/>
      <c r="M142" s="36"/>
    </row>
    <row r="143" spans="1:13">
      <c r="A143" s="2">
        <f t="shared" si="5"/>
        <v>1</v>
      </c>
      <c r="B143" s="501"/>
      <c r="C143" s="178"/>
      <c r="D143" s="491"/>
      <c r="E143" s="502"/>
      <c r="F143" s="177">
        <f t="shared" si="4"/>
        <v>0</v>
      </c>
      <c r="G143" s="177" t="str">
        <f>IF(IFERROR(IF(Str_TypeDonneesCpt5=Cpt_Index,Tab_Compteur_5[[#This Row],[Index]]-E142,Tab_Compteur_5[[#This Row],[Quantité]])/Tab_Compteur_5[[#This Row],[Delta Jour]],"")&lt;0,"",IFERROR(IF(Str_TypeDonneesCpt5=Cpt_Index,Tab_Compteur_5[[#This Row],[Index]]-E142,Tab_Compteur_5[[#This Row],[Quantité]])/Tab_Compteur_5[[#This Row],[Delta Jour]],""))</f>
        <v/>
      </c>
      <c r="H143" s="177" t="str">
        <f>IFERROR(Tab_Compteur_5[[#This Row],[Montant]]/Tab_Compteur_5[[#This Row],[Delta Jour]],"")</f>
        <v/>
      </c>
      <c r="I143" s="184" t="str">
        <f>IF(SUM(Tab_Compteur_5[[#This Row],[Quantité]],Tab_Compteur_5[[#This Row],[Index]])&lt;=0,"",G143)</f>
        <v/>
      </c>
      <c r="J143" s="185"/>
      <c r="K143" s="36"/>
      <c r="L143" s="36"/>
      <c r="M143" s="36"/>
    </row>
    <row r="144" spans="1:13">
      <c r="A144" s="2">
        <f t="shared" si="5"/>
        <v>1</v>
      </c>
      <c r="B144" s="501"/>
      <c r="C144" s="178"/>
      <c r="D144" s="491"/>
      <c r="E144" s="502"/>
      <c r="F144" s="177">
        <f t="shared" si="4"/>
        <v>0</v>
      </c>
      <c r="G144" s="177" t="str">
        <f>IF(IFERROR(IF(Str_TypeDonneesCpt5=Cpt_Index,Tab_Compteur_5[[#This Row],[Index]]-E143,Tab_Compteur_5[[#This Row],[Quantité]])/Tab_Compteur_5[[#This Row],[Delta Jour]],"")&lt;0,"",IFERROR(IF(Str_TypeDonneesCpt5=Cpt_Index,Tab_Compteur_5[[#This Row],[Index]]-E143,Tab_Compteur_5[[#This Row],[Quantité]])/Tab_Compteur_5[[#This Row],[Delta Jour]],""))</f>
        <v/>
      </c>
      <c r="H144" s="177" t="str">
        <f>IFERROR(Tab_Compteur_5[[#This Row],[Montant]]/Tab_Compteur_5[[#This Row],[Delta Jour]],"")</f>
        <v/>
      </c>
      <c r="I144" s="184" t="str">
        <f>IF(SUM(Tab_Compteur_5[[#This Row],[Quantité]],Tab_Compteur_5[[#This Row],[Index]])&lt;=0,"",G144)</f>
        <v/>
      </c>
      <c r="J144" s="185"/>
      <c r="K144" s="36"/>
      <c r="L144" s="36"/>
      <c r="M144" s="36"/>
    </row>
    <row r="145" spans="1:13">
      <c r="A145" s="2">
        <f t="shared" si="5"/>
        <v>1</v>
      </c>
      <c r="B145" s="501"/>
      <c r="C145" s="178"/>
      <c r="D145" s="491"/>
      <c r="E145" s="502"/>
      <c r="F145" s="177">
        <f t="shared" si="4"/>
        <v>0</v>
      </c>
      <c r="G145" s="177" t="str">
        <f>IF(IFERROR(IF(Str_TypeDonneesCpt5=Cpt_Index,Tab_Compteur_5[[#This Row],[Index]]-E144,Tab_Compteur_5[[#This Row],[Quantité]])/Tab_Compteur_5[[#This Row],[Delta Jour]],"")&lt;0,"",IFERROR(IF(Str_TypeDonneesCpt5=Cpt_Index,Tab_Compteur_5[[#This Row],[Index]]-E144,Tab_Compteur_5[[#This Row],[Quantité]])/Tab_Compteur_5[[#This Row],[Delta Jour]],""))</f>
        <v/>
      </c>
      <c r="H145" s="177" t="str">
        <f>IFERROR(Tab_Compteur_5[[#This Row],[Montant]]/Tab_Compteur_5[[#This Row],[Delta Jour]],"")</f>
        <v/>
      </c>
      <c r="I145" s="184" t="str">
        <f>IF(SUM(Tab_Compteur_5[[#This Row],[Quantité]],Tab_Compteur_5[[#This Row],[Index]])&lt;=0,"",G145)</f>
        <v/>
      </c>
      <c r="J145" s="185"/>
      <c r="K145" s="36"/>
      <c r="L145" s="36"/>
      <c r="M145" s="36"/>
    </row>
    <row r="146" spans="1:13">
      <c r="A146" s="2">
        <f t="shared" si="5"/>
        <v>1</v>
      </c>
      <c r="B146" s="501"/>
      <c r="C146" s="178"/>
      <c r="D146" s="491"/>
      <c r="E146" s="502"/>
      <c r="F146" s="177">
        <f t="shared" si="4"/>
        <v>0</v>
      </c>
      <c r="G146" s="177" t="str">
        <f>IF(IFERROR(IF(Str_TypeDonneesCpt5=Cpt_Index,Tab_Compteur_5[[#This Row],[Index]]-E145,Tab_Compteur_5[[#This Row],[Quantité]])/Tab_Compteur_5[[#This Row],[Delta Jour]],"")&lt;0,"",IFERROR(IF(Str_TypeDonneesCpt5=Cpt_Index,Tab_Compteur_5[[#This Row],[Index]]-E145,Tab_Compteur_5[[#This Row],[Quantité]])/Tab_Compteur_5[[#This Row],[Delta Jour]],""))</f>
        <v/>
      </c>
      <c r="H146" s="177" t="str">
        <f>IFERROR(Tab_Compteur_5[[#This Row],[Montant]]/Tab_Compteur_5[[#This Row],[Delta Jour]],"")</f>
        <v/>
      </c>
      <c r="I146" s="184" t="str">
        <f>IF(SUM(Tab_Compteur_5[[#This Row],[Quantité]],Tab_Compteur_5[[#This Row],[Index]])&lt;=0,"",G146)</f>
        <v/>
      </c>
      <c r="J146" s="185"/>
      <c r="K146" s="36"/>
      <c r="L146" s="36"/>
      <c r="M146" s="36"/>
    </row>
    <row r="147" spans="1:13">
      <c r="A147" s="2">
        <f t="shared" si="5"/>
        <v>1</v>
      </c>
      <c r="B147" s="501"/>
      <c r="C147" s="178"/>
      <c r="D147" s="491"/>
      <c r="E147" s="502"/>
      <c r="F147" s="177">
        <f t="shared" si="4"/>
        <v>0</v>
      </c>
      <c r="G147" s="177" t="str">
        <f>IF(IFERROR(IF(Str_TypeDonneesCpt5=Cpt_Index,Tab_Compteur_5[[#This Row],[Index]]-E146,Tab_Compteur_5[[#This Row],[Quantité]])/Tab_Compteur_5[[#This Row],[Delta Jour]],"")&lt;0,"",IFERROR(IF(Str_TypeDonneesCpt5=Cpt_Index,Tab_Compteur_5[[#This Row],[Index]]-E146,Tab_Compteur_5[[#This Row],[Quantité]])/Tab_Compteur_5[[#This Row],[Delta Jour]],""))</f>
        <v/>
      </c>
      <c r="H147" s="177" t="str">
        <f>IFERROR(Tab_Compteur_5[[#This Row],[Montant]]/Tab_Compteur_5[[#This Row],[Delta Jour]],"")</f>
        <v/>
      </c>
      <c r="I147" s="184" t="str">
        <f>IF(SUM(Tab_Compteur_5[[#This Row],[Quantité]],Tab_Compteur_5[[#This Row],[Index]])&lt;=0,"",G147)</f>
        <v/>
      </c>
      <c r="J147" s="185"/>
      <c r="K147" s="36"/>
      <c r="L147" s="36"/>
      <c r="M147" s="36"/>
    </row>
    <row r="148" spans="1:13">
      <c r="A148" s="2">
        <f t="shared" si="5"/>
        <v>1</v>
      </c>
      <c r="B148" s="501"/>
      <c r="C148" s="178"/>
      <c r="D148" s="491"/>
      <c r="E148" s="502"/>
      <c r="F148" s="177">
        <f t="shared" si="4"/>
        <v>0</v>
      </c>
      <c r="G148" s="177" t="str">
        <f>IF(IFERROR(IF(Str_TypeDonneesCpt5=Cpt_Index,Tab_Compteur_5[[#This Row],[Index]]-E147,Tab_Compteur_5[[#This Row],[Quantité]])/Tab_Compteur_5[[#This Row],[Delta Jour]],"")&lt;0,"",IFERROR(IF(Str_TypeDonneesCpt5=Cpt_Index,Tab_Compteur_5[[#This Row],[Index]]-E147,Tab_Compteur_5[[#This Row],[Quantité]])/Tab_Compteur_5[[#This Row],[Delta Jour]],""))</f>
        <v/>
      </c>
      <c r="H148" s="177" t="str">
        <f>IFERROR(Tab_Compteur_5[[#This Row],[Montant]]/Tab_Compteur_5[[#This Row],[Delta Jour]],"")</f>
        <v/>
      </c>
      <c r="I148" s="184" t="str">
        <f>IF(SUM(Tab_Compteur_5[[#This Row],[Quantité]],Tab_Compteur_5[[#This Row],[Index]])&lt;=0,"",G148)</f>
        <v/>
      </c>
      <c r="J148" s="185"/>
      <c r="K148" s="36"/>
      <c r="L148" s="36"/>
      <c r="M148" s="36"/>
    </row>
    <row r="149" spans="1:13">
      <c r="A149" s="2">
        <f t="shared" si="5"/>
        <v>1</v>
      </c>
      <c r="B149" s="501"/>
      <c r="C149" s="178"/>
      <c r="D149" s="491"/>
      <c r="E149" s="502"/>
      <c r="F149" s="177">
        <f t="shared" si="4"/>
        <v>0</v>
      </c>
      <c r="G149" s="177" t="str">
        <f>IF(IFERROR(IF(Str_TypeDonneesCpt5=Cpt_Index,Tab_Compteur_5[[#This Row],[Index]]-E148,Tab_Compteur_5[[#This Row],[Quantité]])/Tab_Compteur_5[[#This Row],[Delta Jour]],"")&lt;0,"",IFERROR(IF(Str_TypeDonneesCpt5=Cpt_Index,Tab_Compteur_5[[#This Row],[Index]]-E148,Tab_Compteur_5[[#This Row],[Quantité]])/Tab_Compteur_5[[#This Row],[Delta Jour]],""))</f>
        <v/>
      </c>
      <c r="H149" s="177" t="str">
        <f>IFERROR(Tab_Compteur_5[[#This Row],[Montant]]/Tab_Compteur_5[[#This Row],[Delta Jour]],"")</f>
        <v/>
      </c>
      <c r="I149" s="184" t="str">
        <f>IF(SUM(Tab_Compteur_5[[#This Row],[Quantité]],Tab_Compteur_5[[#This Row],[Index]])&lt;=0,"",G149)</f>
        <v/>
      </c>
      <c r="J149" s="185"/>
      <c r="K149" s="36"/>
      <c r="L149" s="36"/>
      <c r="M149" s="36"/>
    </row>
    <row r="150" spans="1:13">
      <c r="A150" s="2">
        <f t="shared" si="5"/>
        <v>1</v>
      </c>
      <c r="B150" s="501"/>
      <c r="C150" s="178"/>
      <c r="D150" s="491"/>
      <c r="E150" s="502"/>
      <c r="F150" s="177">
        <f t="shared" si="4"/>
        <v>0</v>
      </c>
      <c r="G150" s="177" t="str">
        <f>IF(IFERROR(IF(Str_TypeDonneesCpt5=Cpt_Index,Tab_Compteur_5[[#This Row],[Index]]-E149,Tab_Compteur_5[[#This Row],[Quantité]])/Tab_Compteur_5[[#This Row],[Delta Jour]],"")&lt;0,"",IFERROR(IF(Str_TypeDonneesCpt5=Cpt_Index,Tab_Compteur_5[[#This Row],[Index]]-E149,Tab_Compteur_5[[#This Row],[Quantité]])/Tab_Compteur_5[[#This Row],[Delta Jour]],""))</f>
        <v/>
      </c>
      <c r="H150" s="177" t="str">
        <f>IFERROR(Tab_Compteur_5[[#This Row],[Montant]]/Tab_Compteur_5[[#This Row],[Delta Jour]],"")</f>
        <v/>
      </c>
      <c r="I150" s="184" t="str">
        <f>IF(SUM(Tab_Compteur_5[[#This Row],[Quantité]],Tab_Compteur_5[[#This Row],[Index]])&lt;=0,"",G150)</f>
        <v/>
      </c>
      <c r="J150" s="185"/>
      <c r="K150" s="36"/>
      <c r="L150" s="36"/>
      <c r="M150" s="36"/>
    </row>
    <row r="151" spans="1:13">
      <c r="A151" s="2">
        <f t="shared" si="5"/>
        <v>1</v>
      </c>
      <c r="B151" s="501"/>
      <c r="C151" s="178"/>
      <c r="D151" s="491"/>
      <c r="E151" s="502"/>
      <c r="F151" s="177">
        <f t="shared" si="4"/>
        <v>0</v>
      </c>
      <c r="G151" s="177" t="str">
        <f>IF(IFERROR(IF(Str_TypeDonneesCpt5=Cpt_Index,Tab_Compteur_5[[#This Row],[Index]]-E150,Tab_Compteur_5[[#This Row],[Quantité]])/Tab_Compteur_5[[#This Row],[Delta Jour]],"")&lt;0,"",IFERROR(IF(Str_TypeDonneesCpt5=Cpt_Index,Tab_Compteur_5[[#This Row],[Index]]-E150,Tab_Compteur_5[[#This Row],[Quantité]])/Tab_Compteur_5[[#This Row],[Delta Jour]],""))</f>
        <v/>
      </c>
      <c r="H151" s="177" t="str">
        <f>IFERROR(Tab_Compteur_5[[#This Row],[Montant]]/Tab_Compteur_5[[#This Row],[Delta Jour]],"")</f>
        <v/>
      </c>
      <c r="I151" s="184" t="str">
        <f>IF(SUM(Tab_Compteur_5[[#This Row],[Quantité]],Tab_Compteur_5[[#This Row],[Index]])&lt;=0,"",G151)</f>
        <v/>
      </c>
      <c r="J151" s="185"/>
      <c r="K151" s="36"/>
      <c r="L151" s="36"/>
      <c r="M151" s="36"/>
    </row>
    <row r="152" spans="1:13">
      <c r="A152" s="2">
        <f t="shared" si="5"/>
        <v>1</v>
      </c>
      <c r="B152" s="501"/>
      <c r="C152" s="178"/>
      <c r="D152" s="491"/>
      <c r="E152" s="502"/>
      <c r="F152" s="177">
        <f t="shared" si="4"/>
        <v>0</v>
      </c>
      <c r="G152" s="177" t="str">
        <f>IF(IFERROR(IF(Str_TypeDonneesCpt5=Cpt_Index,Tab_Compteur_5[[#This Row],[Index]]-E151,Tab_Compteur_5[[#This Row],[Quantité]])/Tab_Compteur_5[[#This Row],[Delta Jour]],"")&lt;0,"",IFERROR(IF(Str_TypeDonneesCpt5=Cpt_Index,Tab_Compteur_5[[#This Row],[Index]]-E151,Tab_Compteur_5[[#This Row],[Quantité]])/Tab_Compteur_5[[#This Row],[Delta Jour]],""))</f>
        <v/>
      </c>
      <c r="H152" s="177" t="str">
        <f>IFERROR(Tab_Compteur_5[[#This Row],[Montant]]/Tab_Compteur_5[[#This Row],[Delta Jour]],"")</f>
        <v/>
      </c>
      <c r="I152" s="184" t="str">
        <f>IF(SUM(Tab_Compteur_5[[#This Row],[Quantité]],Tab_Compteur_5[[#This Row],[Index]])&lt;=0,"",G152)</f>
        <v/>
      </c>
      <c r="J152" s="185"/>
      <c r="K152" s="36"/>
      <c r="L152" s="36"/>
      <c r="M152" s="36"/>
    </row>
    <row r="153" spans="1:13">
      <c r="A153" s="2">
        <f t="shared" si="5"/>
        <v>1</v>
      </c>
      <c r="B153" s="501"/>
      <c r="C153" s="178"/>
      <c r="D153" s="491"/>
      <c r="E153" s="502"/>
      <c r="F153" s="177">
        <f t="shared" si="4"/>
        <v>0</v>
      </c>
      <c r="G153" s="177" t="str">
        <f>IF(IFERROR(IF(Str_TypeDonneesCpt5=Cpt_Index,Tab_Compteur_5[[#This Row],[Index]]-E152,Tab_Compteur_5[[#This Row],[Quantité]])/Tab_Compteur_5[[#This Row],[Delta Jour]],"")&lt;0,"",IFERROR(IF(Str_TypeDonneesCpt5=Cpt_Index,Tab_Compteur_5[[#This Row],[Index]]-E152,Tab_Compteur_5[[#This Row],[Quantité]])/Tab_Compteur_5[[#This Row],[Delta Jour]],""))</f>
        <v/>
      </c>
      <c r="H153" s="177" t="str">
        <f>IFERROR(Tab_Compteur_5[[#This Row],[Montant]]/Tab_Compteur_5[[#This Row],[Delta Jour]],"")</f>
        <v/>
      </c>
      <c r="I153" s="184" t="str">
        <f>IF(SUM(Tab_Compteur_5[[#This Row],[Quantité]],Tab_Compteur_5[[#This Row],[Index]])&lt;=0,"",G153)</f>
        <v/>
      </c>
      <c r="J153" s="185"/>
      <c r="K153" s="36"/>
      <c r="L153" s="36"/>
      <c r="M153" s="36"/>
    </row>
    <row r="154" spans="1:13">
      <c r="A154" s="2">
        <f t="shared" si="5"/>
        <v>1</v>
      </c>
      <c r="B154" s="501"/>
      <c r="C154" s="178"/>
      <c r="D154" s="491"/>
      <c r="E154" s="502"/>
      <c r="F154" s="177">
        <f t="shared" si="4"/>
        <v>0</v>
      </c>
      <c r="G154" s="177" t="str">
        <f>IF(IFERROR(IF(Str_TypeDonneesCpt5=Cpt_Index,Tab_Compteur_5[[#This Row],[Index]]-E153,Tab_Compteur_5[[#This Row],[Quantité]])/Tab_Compteur_5[[#This Row],[Delta Jour]],"")&lt;0,"",IFERROR(IF(Str_TypeDonneesCpt5=Cpt_Index,Tab_Compteur_5[[#This Row],[Index]]-E153,Tab_Compteur_5[[#This Row],[Quantité]])/Tab_Compteur_5[[#This Row],[Delta Jour]],""))</f>
        <v/>
      </c>
      <c r="H154" s="177" t="str">
        <f>IFERROR(Tab_Compteur_5[[#This Row],[Montant]]/Tab_Compteur_5[[#This Row],[Delta Jour]],"")</f>
        <v/>
      </c>
      <c r="I154" s="184" t="str">
        <f>IF(SUM(Tab_Compteur_5[[#This Row],[Quantité]],Tab_Compteur_5[[#This Row],[Index]])&lt;=0,"",G154)</f>
        <v/>
      </c>
      <c r="J154" s="185"/>
      <c r="K154" s="36"/>
      <c r="L154" s="36"/>
      <c r="M154" s="36"/>
    </row>
    <row r="155" spans="1:13">
      <c r="A155" s="2">
        <f t="shared" si="5"/>
        <v>1</v>
      </c>
      <c r="B155" s="501"/>
      <c r="C155" s="178"/>
      <c r="D155" s="491"/>
      <c r="E155" s="502"/>
      <c r="F155" s="177">
        <f t="shared" si="4"/>
        <v>0</v>
      </c>
      <c r="G155" s="177" t="str">
        <f>IF(IFERROR(IF(Str_TypeDonneesCpt5=Cpt_Index,Tab_Compteur_5[[#This Row],[Index]]-E154,Tab_Compteur_5[[#This Row],[Quantité]])/Tab_Compteur_5[[#This Row],[Delta Jour]],"")&lt;0,"",IFERROR(IF(Str_TypeDonneesCpt5=Cpt_Index,Tab_Compteur_5[[#This Row],[Index]]-E154,Tab_Compteur_5[[#This Row],[Quantité]])/Tab_Compteur_5[[#This Row],[Delta Jour]],""))</f>
        <v/>
      </c>
      <c r="H155" s="177" t="str">
        <f>IFERROR(Tab_Compteur_5[[#This Row],[Montant]]/Tab_Compteur_5[[#This Row],[Delta Jour]],"")</f>
        <v/>
      </c>
      <c r="I155" s="184" t="str">
        <f>IF(SUM(Tab_Compteur_5[[#This Row],[Quantité]],Tab_Compteur_5[[#This Row],[Index]])&lt;=0,"",G155)</f>
        <v/>
      </c>
      <c r="J155" s="185"/>
      <c r="K155" s="36"/>
      <c r="L155" s="36"/>
      <c r="M155" s="36"/>
    </row>
    <row r="156" spans="1:13">
      <c r="A156" s="2">
        <f t="shared" si="5"/>
        <v>1</v>
      </c>
      <c r="B156" s="501"/>
      <c r="C156" s="178"/>
      <c r="D156" s="491"/>
      <c r="E156" s="502"/>
      <c r="F156" s="177">
        <f t="shared" si="4"/>
        <v>0</v>
      </c>
      <c r="G156" s="177" t="str">
        <f>IF(IFERROR(IF(Str_TypeDonneesCpt5=Cpt_Index,Tab_Compteur_5[[#This Row],[Index]]-E155,Tab_Compteur_5[[#This Row],[Quantité]])/Tab_Compteur_5[[#This Row],[Delta Jour]],"")&lt;0,"",IFERROR(IF(Str_TypeDonneesCpt5=Cpt_Index,Tab_Compteur_5[[#This Row],[Index]]-E155,Tab_Compteur_5[[#This Row],[Quantité]])/Tab_Compteur_5[[#This Row],[Delta Jour]],""))</f>
        <v/>
      </c>
      <c r="H156" s="177" t="str">
        <f>IFERROR(Tab_Compteur_5[[#This Row],[Montant]]/Tab_Compteur_5[[#This Row],[Delta Jour]],"")</f>
        <v/>
      </c>
      <c r="I156" s="184" t="str">
        <f>IF(SUM(Tab_Compteur_5[[#This Row],[Quantité]],Tab_Compteur_5[[#This Row],[Index]])&lt;=0,"",G156)</f>
        <v/>
      </c>
      <c r="J156" s="185"/>
      <c r="K156" s="36"/>
      <c r="L156" s="36"/>
      <c r="M156" s="36"/>
    </row>
    <row r="157" spans="1:13">
      <c r="A157" s="2">
        <f t="shared" si="5"/>
        <v>1</v>
      </c>
      <c r="B157" s="501"/>
      <c r="C157" s="178"/>
      <c r="D157" s="491"/>
      <c r="E157" s="502"/>
      <c r="F157" s="177">
        <f t="shared" si="4"/>
        <v>0</v>
      </c>
      <c r="G157" s="177" t="str">
        <f>IF(IFERROR(IF(Str_TypeDonneesCpt5=Cpt_Index,Tab_Compteur_5[[#This Row],[Index]]-E156,Tab_Compteur_5[[#This Row],[Quantité]])/Tab_Compteur_5[[#This Row],[Delta Jour]],"")&lt;0,"",IFERROR(IF(Str_TypeDonneesCpt5=Cpt_Index,Tab_Compteur_5[[#This Row],[Index]]-E156,Tab_Compteur_5[[#This Row],[Quantité]])/Tab_Compteur_5[[#This Row],[Delta Jour]],""))</f>
        <v/>
      </c>
      <c r="H157" s="177" t="str">
        <f>IFERROR(Tab_Compteur_5[[#This Row],[Montant]]/Tab_Compteur_5[[#This Row],[Delta Jour]],"")</f>
        <v/>
      </c>
      <c r="I157" s="184" t="str">
        <f>IF(SUM(Tab_Compteur_5[[#This Row],[Quantité]],Tab_Compteur_5[[#This Row],[Index]])&lt;=0,"",G157)</f>
        <v/>
      </c>
      <c r="J157" s="185"/>
      <c r="K157" s="36"/>
      <c r="L157" s="36"/>
      <c r="M157" s="36"/>
    </row>
    <row r="158" spans="1:13">
      <c r="A158" s="2">
        <f t="shared" si="5"/>
        <v>1</v>
      </c>
      <c r="B158" s="501"/>
      <c r="C158" s="178"/>
      <c r="D158" s="491"/>
      <c r="E158" s="502"/>
      <c r="F158" s="177">
        <f t="shared" si="4"/>
        <v>0</v>
      </c>
      <c r="G158" s="177" t="str">
        <f>IF(IFERROR(IF(Str_TypeDonneesCpt5=Cpt_Index,Tab_Compteur_5[[#This Row],[Index]]-E157,Tab_Compteur_5[[#This Row],[Quantité]])/Tab_Compteur_5[[#This Row],[Delta Jour]],"")&lt;0,"",IFERROR(IF(Str_TypeDonneesCpt5=Cpt_Index,Tab_Compteur_5[[#This Row],[Index]]-E157,Tab_Compteur_5[[#This Row],[Quantité]])/Tab_Compteur_5[[#This Row],[Delta Jour]],""))</f>
        <v/>
      </c>
      <c r="H158" s="177" t="str">
        <f>IFERROR(Tab_Compteur_5[[#This Row],[Montant]]/Tab_Compteur_5[[#This Row],[Delta Jour]],"")</f>
        <v/>
      </c>
      <c r="I158" s="184" t="str">
        <f>IF(SUM(Tab_Compteur_5[[#This Row],[Quantité]],Tab_Compteur_5[[#This Row],[Index]])&lt;=0,"",G158)</f>
        <v/>
      </c>
      <c r="J158" s="185"/>
      <c r="K158" s="36"/>
      <c r="L158" s="36"/>
      <c r="M158" s="36"/>
    </row>
    <row r="159" spans="1:13">
      <c r="A159" s="2">
        <f t="shared" si="5"/>
        <v>1</v>
      </c>
      <c r="B159" s="501"/>
      <c r="C159" s="178"/>
      <c r="D159" s="491"/>
      <c r="E159" s="502"/>
      <c r="F159" s="177">
        <f t="shared" si="4"/>
        <v>0</v>
      </c>
      <c r="G159" s="177" t="str">
        <f>IF(IFERROR(IF(Str_TypeDonneesCpt5=Cpt_Index,Tab_Compteur_5[[#This Row],[Index]]-E158,Tab_Compteur_5[[#This Row],[Quantité]])/Tab_Compteur_5[[#This Row],[Delta Jour]],"")&lt;0,"",IFERROR(IF(Str_TypeDonneesCpt5=Cpt_Index,Tab_Compteur_5[[#This Row],[Index]]-E158,Tab_Compteur_5[[#This Row],[Quantité]])/Tab_Compteur_5[[#This Row],[Delta Jour]],""))</f>
        <v/>
      </c>
      <c r="H159" s="177" t="str">
        <f>IFERROR(Tab_Compteur_5[[#This Row],[Montant]]/Tab_Compteur_5[[#This Row],[Delta Jour]],"")</f>
        <v/>
      </c>
      <c r="I159" s="184" t="str">
        <f>IF(SUM(Tab_Compteur_5[[#This Row],[Quantité]],Tab_Compteur_5[[#This Row],[Index]])&lt;=0,"",G159)</f>
        <v/>
      </c>
      <c r="J159" s="185"/>
      <c r="K159" s="36"/>
      <c r="L159" s="36"/>
      <c r="M159" s="36"/>
    </row>
    <row r="160" spans="1:13">
      <c r="A160" s="2">
        <f t="shared" si="5"/>
        <v>1</v>
      </c>
      <c r="B160" s="501"/>
      <c r="C160" s="178"/>
      <c r="D160" s="491"/>
      <c r="E160" s="502"/>
      <c r="F160" s="177">
        <f t="shared" si="4"/>
        <v>0</v>
      </c>
      <c r="G160" s="177" t="str">
        <f>IF(IFERROR(IF(Str_TypeDonneesCpt5=Cpt_Index,Tab_Compteur_5[[#This Row],[Index]]-E159,Tab_Compteur_5[[#This Row],[Quantité]])/Tab_Compteur_5[[#This Row],[Delta Jour]],"")&lt;0,"",IFERROR(IF(Str_TypeDonneesCpt5=Cpt_Index,Tab_Compteur_5[[#This Row],[Index]]-E159,Tab_Compteur_5[[#This Row],[Quantité]])/Tab_Compteur_5[[#This Row],[Delta Jour]],""))</f>
        <v/>
      </c>
      <c r="H160" s="177" t="str">
        <f>IFERROR(Tab_Compteur_5[[#This Row],[Montant]]/Tab_Compteur_5[[#This Row],[Delta Jour]],"")</f>
        <v/>
      </c>
      <c r="I160" s="184" t="str">
        <f>IF(SUM(Tab_Compteur_5[[#This Row],[Quantité]],Tab_Compteur_5[[#This Row],[Index]])&lt;=0,"",G160)</f>
        <v/>
      </c>
      <c r="J160" s="185"/>
      <c r="K160" s="36"/>
      <c r="L160" s="36"/>
      <c r="M160" s="36"/>
    </row>
    <row r="161" spans="1:13">
      <c r="A161" s="2">
        <f t="shared" si="5"/>
        <v>1</v>
      </c>
      <c r="B161" s="501"/>
      <c r="C161" s="178"/>
      <c r="D161" s="491"/>
      <c r="E161" s="502"/>
      <c r="F161" s="177">
        <f t="shared" si="4"/>
        <v>0</v>
      </c>
      <c r="G161" s="177" t="str">
        <f>IF(IFERROR(IF(Str_TypeDonneesCpt5=Cpt_Index,Tab_Compteur_5[[#This Row],[Index]]-E160,Tab_Compteur_5[[#This Row],[Quantité]])/Tab_Compteur_5[[#This Row],[Delta Jour]],"")&lt;0,"",IFERROR(IF(Str_TypeDonneesCpt5=Cpt_Index,Tab_Compteur_5[[#This Row],[Index]]-E160,Tab_Compteur_5[[#This Row],[Quantité]])/Tab_Compteur_5[[#This Row],[Delta Jour]],""))</f>
        <v/>
      </c>
      <c r="H161" s="177" t="str">
        <f>IFERROR(Tab_Compteur_5[[#This Row],[Montant]]/Tab_Compteur_5[[#This Row],[Delta Jour]],"")</f>
        <v/>
      </c>
      <c r="I161" s="184" t="str">
        <f>IF(SUM(Tab_Compteur_5[[#This Row],[Quantité]],Tab_Compteur_5[[#This Row],[Index]])&lt;=0,"",G161)</f>
        <v/>
      </c>
      <c r="J161" s="185"/>
      <c r="K161" s="36"/>
      <c r="L161" s="36"/>
      <c r="M161" s="36"/>
    </row>
    <row r="162" spans="1:13">
      <c r="A162" s="2">
        <f t="shared" si="5"/>
        <v>1</v>
      </c>
      <c r="B162" s="501"/>
      <c r="C162" s="178"/>
      <c r="D162" s="491"/>
      <c r="E162" s="502"/>
      <c r="F162" s="177">
        <f t="shared" si="4"/>
        <v>0</v>
      </c>
      <c r="G162" s="177" t="str">
        <f>IF(IFERROR(IF(Str_TypeDonneesCpt5=Cpt_Index,Tab_Compteur_5[[#This Row],[Index]]-E161,Tab_Compteur_5[[#This Row],[Quantité]])/Tab_Compteur_5[[#This Row],[Delta Jour]],"")&lt;0,"",IFERROR(IF(Str_TypeDonneesCpt5=Cpt_Index,Tab_Compteur_5[[#This Row],[Index]]-E161,Tab_Compteur_5[[#This Row],[Quantité]])/Tab_Compteur_5[[#This Row],[Delta Jour]],""))</f>
        <v/>
      </c>
      <c r="H162" s="177" t="str">
        <f>IFERROR(Tab_Compteur_5[[#This Row],[Montant]]/Tab_Compteur_5[[#This Row],[Delta Jour]],"")</f>
        <v/>
      </c>
      <c r="I162" s="184" t="str">
        <f>IF(SUM(Tab_Compteur_5[[#This Row],[Quantité]],Tab_Compteur_5[[#This Row],[Index]])&lt;=0,"",G162)</f>
        <v/>
      </c>
      <c r="J162" s="185"/>
      <c r="K162" s="36"/>
      <c r="L162" s="36"/>
      <c r="M162" s="36"/>
    </row>
    <row r="163" spans="1:13">
      <c r="A163" s="2">
        <f t="shared" si="5"/>
        <v>1</v>
      </c>
      <c r="B163" s="501"/>
      <c r="C163" s="178"/>
      <c r="D163" s="491"/>
      <c r="E163" s="502"/>
      <c r="F163" s="177">
        <f t="shared" si="4"/>
        <v>0</v>
      </c>
      <c r="G163" s="177" t="str">
        <f>IF(IFERROR(IF(Str_TypeDonneesCpt5=Cpt_Index,Tab_Compteur_5[[#This Row],[Index]]-E162,Tab_Compteur_5[[#This Row],[Quantité]])/Tab_Compteur_5[[#This Row],[Delta Jour]],"")&lt;0,"",IFERROR(IF(Str_TypeDonneesCpt5=Cpt_Index,Tab_Compteur_5[[#This Row],[Index]]-E162,Tab_Compteur_5[[#This Row],[Quantité]])/Tab_Compteur_5[[#This Row],[Delta Jour]],""))</f>
        <v/>
      </c>
      <c r="H163" s="177" t="str">
        <f>IFERROR(Tab_Compteur_5[[#This Row],[Montant]]/Tab_Compteur_5[[#This Row],[Delta Jour]],"")</f>
        <v/>
      </c>
      <c r="I163" s="184" t="str">
        <f>IF(SUM(Tab_Compteur_5[[#This Row],[Quantité]],Tab_Compteur_5[[#This Row],[Index]])&lt;=0,"",G163)</f>
        <v/>
      </c>
      <c r="J163" s="185"/>
      <c r="K163" s="36"/>
      <c r="L163" s="36"/>
      <c r="M163" s="36"/>
    </row>
    <row r="164" spans="1:13">
      <c r="A164" s="2">
        <f t="shared" si="5"/>
        <v>1</v>
      </c>
      <c r="B164" s="501"/>
      <c r="C164" s="178"/>
      <c r="D164" s="491"/>
      <c r="E164" s="502"/>
      <c r="F164" s="177">
        <f t="shared" si="4"/>
        <v>0</v>
      </c>
      <c r="G164" s="177" t="str">
        <f>IF(IFERROR(IF(Str_TypeDonneesCpt5=Cpt_Index,Tab_Compteur_5[[#This Row],[Index]]-E163,Tab_Compteur_5[[#This Row],[Quantité]])/Tab_Compteur_5[[#This Row],[Delta Jour]],"")&lt;0,"",IFERROR(IF(Str_TypeDonneesCpt5=Cpt_Index,Tab_Compteur_5[[#This Row],[Index]]-E163,Tab_Compteur_5[[#This Row],[Quantité]])/Tab_Compteur_5[[#This Row],[Delta Jour]],""))</f>
        <v/>
      </c>
      <c r="H164" s="177" t="str">
        <f>IFERROR(Tab_Compteur_5[[#This Row],[Montant]]/Tab_Compteur_5[[#This Row],[Delta Jour]],"")</f>
        <v/>
      </c>
      <c r="I164" s="184" t="str">
        <f>IF(SUM(Tab_Compteur_5[[#This Row],[Quantité]],Tab_Compteur_5[[#This Row],[Index]])&lt;=0,"",G164)</f>
        <v/>
      </c>
      <c r="J164" s="185"/>
      <c r="K164" s="36"/>
      <c r="L164" s="36"/>
      <c r="M164" s="36"/>
    </row>
    <row r="165" spans="1:13">
      <c r="A165" s="2">
        <f t="shared" si="5"/>
        <v>1</v>
      </c>
      <c r="B165" s="501"/>
      <c r="C165" s="178"/>
      <c r="D165" s="491"/>
      <c r="E165" s="502"/>
      <c r="F165" s="177">
        <f t="shared" si="4"/>
        <v>0</v>
      </c>
      <c r="G165" s="177" t="str">
        <f>IF(IFERROR(IF(Str_TypeDonneesCpt5=Cpt_Index,Tab_Compteur_5[[#This Row],[Index]]-E164,Tab_Compteur_5[[#This Row],[Quantité]])/Tab_Compteur_5[[#This Row],[Delta Jour]],"")&lt;0,"",IFERROR(IF(Str_TypeDonneesCpt5=Cpt_Index,Tab_Compteur_5[[#This Row],[Index]]-E164,Tab_Compteur_5[[#This Row],[Quantité]])/Tab_Compteur_5[[#This Row],[Delta Jour]],""))</f>
        <v/>
      </c>
      <c r="H165" s="177" t="str">
        <f>IFERROR(Tab_Compteur_5[[#This Row],[Montant]]/Tab_Compteur_5[[#This Row],[Delta Jour]],"")</f>
        <v/>
      </c>
      <c r="I165" s="184" t="str">
        <f>IF(SUM(Tab_Compteur_5[[#This Row],[Quantité]],Tab_Compteur_5[[#This Row],[Index]])&lt;=0,"",G165)</f>
        <v/>
      </c>
      <c r="J165" s="185"/>
      <c r="K165" s="36"/>
      <c r="L165" s="36"/>
      <c r="M165" s="36"/>
    </row>
    <row r="166" spans="1:13">
      <c r="A166" s="2">
        <f t="shared" si="5"/>
        <v>1</v>
      </c>
      <c r="B166" s="501"/>
      <c r="C166" s="178"/>
      <c r="D166" s="491"/>
      <c r="E166" s="502"/>
      <c r="F166" s="177">
        <f t="shared" si="4"/>
        <v>0</v>
      </c>
      <c r="G166" s="177" t="str">
        <f>IF(IFERROR(IF(Str_TypeDonneesCpt5=Cpt_Index,Tab_Compteur_5[[#This Row],[Index]]-E165,Tab_Compteur_5[[#This Row],[Quantité]])/Tab_Compteur_5[[#This Row],[Delta Jour]],"")&lt;0,"",IFERROR(IF(Str_TypeDonneesCpt5=Cpt_Index,Tab_Compteur_5[[#This Row],[Index]]-E165,Tab_Compteur_5[[#This Row],[Quantité]])/Tab_Compteur_5[[#This Row],[Delta Jour]],""))</f>
        <v/>
      </c>
      <c r="H166" s="177" t="str">
        <f>IFERROR(Tab_Compteur_5[[#This Row],[Montant]]/Tab_Compteur_5[[#This Row],[Delta Jour]],"")</f>
        <v/>
      </c>
      <c r="I166" s="184" t="str">
        <f>IF(SUM(Tab_Compteur_5[[#This Row],[Quantité]],Tab_Compteur_5[[#This Row],[Index]])&lt;=0,"",G166)</f>
        <v/>
      </c>
      <c r="J166" s="185"/>
      <c r="K166" s="36"/>
      <c r="L166" s="36"/>
      <c r="M166" s="36"/>
    </row>
    <row r="167" spans="1:13">
      <c r="A167" s="2">
        <f t="shared" si="5"/>
        <v>1</v>
      </c>
      <c r="B167" s="501"/>
      <c r="C167" s="178"/>
      <c r="D167" s="491"/>
      <c r="E167" s="502"/>
      <c r="F167" s="177">
        <f t="shared" si="4"/>
        <v>0</v>
      </c>
      <c r="G167" s="177" t="str">
        <f>IF(IFERROR(IF(Str_TypeDonneesCpt5=Cpt_Index,Tab_Compteur_5[[#This Row],[Index]]-E166,Tab_Compteur_5[[#This Row],[Quantité]])/Tab_Compteur_5[[#This Row],[Delta Jour]],"")&lt;0,"",IFERROR(IF(Str_TypeDonneesCpt5=Cpt_Index,Tab_Compteur_5[[#This Row],[Index]]-E166,Tab_Compteur_5[[#This Row],[Quantité]])/Tab_Compteur_5[[#This Row],[Delta Jour]],""))</f>
        <v/>
      </c>
      <c r="H167" s="177" t="str">
        <f>IFERROR(Tab_Compteur_5[[#This Row],[Montant]]/Tab_Compteur_5[[#This Row],[Delta Jour]],"")</f>
        <v/>
      </c>
      <c r="I167" s="184" t="str">
        <f>IF(SUM(Tab_Compteur_5[[#This Row],[Quantité]],Tab_Compteur_5[[#This Row],[Index]])&lt;=0,"",G167)</f>
        <v/>
      </c>
      <c r="J167" s="185"/>
      <c r="K167" s="36"/>
      <c r="L167" s="36"/>
      <c r="M167" s="36"/>
    </row>
    <row r="168" spans="1:13">
      <c r="A168" s="2">
        <f t="shared" si="5"/>
        <v>1</v>
      </c>
      <c r="B168" s="501"/>
      <c r="C168" s="178"/>
      <c r="D168" s="491"/>
      <c r="E168" s="502"/>
      <c r="F168" s="177">
        <f t="shared" si="4"/>
        <v>0</v>
      </c>
      <c r="G168" s="177" t="str">
        <f>IF(IFERROR(IF(Str_TypeDonneesCpt5=Cpt_Index,Tab_Compteur_5[[#This Row],[Index]]-E167,Tab_Compteur_5[[#This Row],[Quantité]])/Tab_Compteur_5[[#This Row],[Delta Jour]],"")&lt;0,"",IFERROR(IF(Str_TypeDonneesCpt5=Cpt_Index,Tab_Compteur_5[[#This Row],[Index]]-E167,Tab_Compteur_5[[#This Row],[Quantité]])/Tab_Compteur_5[[#This Row],[Delta Jour]],""))</f>
        <v/>
      </c>
      <c r="H168" s="177" t="str">
        <f>IFERROR(Tab_Compteur_5[[#This Row],[Montant]]/Tab_Compteur_5[[#This Row],[Delta Jour]],"")</f>
        <v/>
      </c>
      <c r="I168" s="184" t="str">
        <f>IF(SUM(Tab_Compteur_5[[#This Row],[Quantité]],Tab_Compteur_5[[#This Row],[Index]])&lt;=0,"",G168)</f>
        <v/>
      </c>
      <c r="J168" s="185"/>
      <c r="K168" s="36"/>
      <c r="L168" s="36"/>
      <c r="M168" s="36"/>
    </row>
    <row r="169" spans="1:13">
      <c r="A169" s="2">
        <f t="shared" si="5"/>
        <v>1</v>
      </c>
      <c r="B169" s="501"/>
      <c r="C169" s="178"/>
      <c r="D169" s="491"/>
      <c r="E169" s="502"/>
      <c r="F169" s="177">
        <f t="shared" si="4"/>
        <v>0</v>
      </c>
      <c r="G169" s="177" t="str">
        <f>IF(IFERROR(IF(Str_TypeDonneesCpt5=Cpt_Index,Tab_Compteur_5[[#This Row],[Index]]-E168,Tab_Compteur_5[[#This Row],[Quantité]])/Tab_Compteur_5[[#This Row],[Delta Jour]],"")&lt;0,"",IFERROR(IF(Str_TypeDonneesCpt5=Cpt_Index,Tab_Compteur_5[[#This Row],[Index]]-E168,Tab_Compteur_5[[#This Row],[Quantité]])/Tab_Compteur_5[[#This Row],[Delta Jour]],""))</f>
        <v/>
      </c>
      <c r="H169" s="177" t="str">
        <f>IFERROR(Tab_Compteur_5[[#This Row],[Montant]]/Tab_Compteur_5[[#This Row],[Delta Jour]],"")</f>
        <v/>
      </c>
      <c r="I169" s="184" t="str">
        <f>IF(SUM(Tab_Compteur_5[[#This Row],[Quantité]],Tab_Compteur_5[[#This Row],[Index]])&lt;=0,"",G169)</f>
        <v/>
      </c>
      <c r="J169" s="185"/>
      <c r="K169" s="36"/>
      <c r="L169" s="36"/>
      <c r="M169" s="36"/>
    </row>
    <row r="170" spans="1:13">
      <c r="A170" s="2">
        <f t="shared" si="5"/>
        <v>1</v>
      </c>
      <c r="B170" s="501"/>
      <c r="C170" s="178"/>
      <c r="D170" s="491"/>
      <c r="E170" s="502"/>
      <c r="F170" s="177">
        <f t="shared" si="4"/>
        <v>0</v>
      </c>
      <c r="G170" s="177" t="str">
        <f>IF(IFERROR(IF(Str_TypeDonneesCpt5=Cpt_Index,Tab_Compteur_5[[#This Row],[Index]]-E169,Tab_Compteur_5[[#This Row],[Quantité]])/Tab_Compteur_5[[#This Row],[Delta Jour]],"")&lt;0,"",IFERROR(IF(Str_TypeDonneesCpt5=Cpt_Index,Tab_Compteur_5[[#This Row],[Index]]-E169,Tab_Compteur_5[[#This Row],[Quantité]])/Tab_Compteur_5[[#This Row],[Delta Jour]],""))</f>
        <v/>
      </c>
      <c r="H170" s="177" t="str">
        <f>IFERROR(Tab_Compteur_5[[#This Row],[Montant]]/Tab_Compteur_5[[#This Row],[Delta Jour]],"")</f>
        <v/>
      </c>
      <c r="I170" s="184" t="str">
        <f>IF(SUM(Tab_Compteur_5[[#This Row],[Quantité]],Tab_Compteur_5[[#This Row],[Index]])&lt;=0,"",G170)</f>
        <v/>
      </c>
      <c r="J170" s="185"/>
      <c r="K170" s="36"/>
      <c r="L170" s="36"/>
      <c r="M170" s="36"/>
    </row>
    <row r="171" spans="1:13">
      <c r="A171" s="2">
        <f t="shared" si="5"/>
        <v>1</v>
      </c>
      <c r="B171" s="501"/>
      <c r="C171" s="178"/>
      <c r="D171" s="491"/>
      <c r="E171" s="502"/>
      <c r="F171" s="177">
        <f t="shared" si="4"/>
        <v>0</v>
      </c>
      <c r="G171" s="177" t="str">
        <f>IF(IFERROR(IF(Str_TypeDonneesCpt5=Cpt_Index,Tab_Compteur_5[[#This Row],[Index]]-E170,Tab_Compteur_5[[#This Row],[Quantité]])/Tab_Compteur_5[[#This Row],[Delta Jour]],"")&lt;0,"",IFERROR(IF(Str_TypeDonneesCpt5=Cpt_Index,Tab_Compteur_5[[#This Row],[Index]]-E170,Tab_Compteur_5[[#This Row],[Quantité]])/Tab_Compteur_5[[#This Row],[Delta Jour]],""))</f>
        <v/>
      </c>
      <c r="H171" s="177" t="str">
        <f>IFERROR(Tab_Compteur_5[[#This Row],[Montant]]/Tab_Compteur_5[[#This Row],[Delta Jour]],"")</f>
        <v/>
      </c>
      <c r="I171" s="184" t="str">
        <f>IF(SUM(Tab_Compteur_5[[#This Row],[Quantité]],Tab_Compteur_5[[#This Row],[Index]])&lt;=0,"",G171)</f>
        <v/>
      </c>
      <c r="J171" s="185"/>
      <c r="K171" s="36"/>
      <c r="L171" s="36"/>
      <c r="M171" s="36"/>
    </row>
    <row r="172" spans="1:13">
      <c r="A172" s="2">
        <f t="shared" si="5"/>
        <v>1</v>
      </c>
      <c r="B172" s="501"/>
      <c r="C172" s="178"/>
      <c r="D172" s="491"/>
      <c r="E172" s="502"/>
      <c r="F172" s="177">
        <f t="shared" si="4"/>
        <v>0</v>
      </c>
      <c r="G172" s="177" t="str">
        <f>IF(IFERROR(IF(Str_TypeDonneesCpt5=Cpt_Index,Tab_Compteur_5[[#This Row],[Index]]-E171,Tab_Compteur_5[[#This Row],[Quantité]])/Tab_Compteur_5[[#This Row],[Delta Jour]],"")&lt;0,"",IFERROR(IF(Str_TypeDonneesCpt5=Cpt_Index,Tab_Compteur_5[[#This Row],[Index]]-E171,Tab_Compteur_5[[#This Row],[Quantité]])/Tab_Compteur_5[[#This Row],[Delta Jour]],""))</f>
        <v/>
      </c>
      <c r="H172" s="177" t="str">
        <f>IFERROR(Tab_Compteur_5[[#This Row],[Montant]]/Tab_Compteur_5[[#This Row],[Delta Jour]],"")</f>
        <v/>
      </c>
      <c r="I172" s="184" t="str">
        <f>IF(SUM(Tab_Compteur_5[[#This Row],[Quantité]],Tab_Compteur_5[[#This Row],[Index]])&lt;=0,"",G172)</f>
        <v/>
      </c>
      <c r="J172" s="185"/>
      <c r="K172" s="36"/>
      <c r="L172" s="36"/>
      <c r="M172" s="36"/>
    </row>
    <row r="173" spans="1:13">
      <c r="A173" s="2">
        <f t="shared" si="5"/>
        <v>1</v>
      </c>
      <c r="B173" s="501"/>
      <c r="C173" s="178"/>
      <c r="D173" s="491"/>
      <c r="E173" s="502"/>
      <c r="F173" s="177">
        <f t="shared" si="4"/>
        <v>0</v>
      </c>
      <c r="G173" s="177" t="str">
        <f>IF(IFERROR(IF(Str_TypeDonneesCpt5=Cpt_Index,Tab_Compteur_5[[#This Row],[Index]]-E172,Tab_Compteur_5[[#This Row],[Quantité]])/Tab_Compteur_5[[#This Row],[Delta Jour]],"")&lt;0,"",IFERROR(IF(Str_TypeDonneesCpt5=Cpt_Index,Tab_Compteur_5[[#This Row],[Index]]-E172,Tab_Compteur_5[[#This Row],[Quantité]])/Tab_Compteur_5[[#This Row],[Delta Jour]],""))</f>
        <v/>
      </c>
      <c r="H173" s="177" t="str">
        <f>IFERROR(Tab_Compteur_5[[#This Row],[Montant]]/Tab_Compteur_5[[#This Row],[Delta Jour]],"")</f>
        <v/>
      </c>
      <c r="I173" s="184" t="str">
        <f>IF(SUM(Tab_Compteur_5[[#This Row],[Quantité]],Tab_Compteur_5[[#This Row],[Index]])&lt;=0,"",G173)</f>
        <v/>
      </c>
      <c r="J173" s="185"/>
      <c r="K173" s="36"/>
      <c r="L173" s="36"/>
      <c r="M173" s="36"/>
    </row>
    <row r="174" spans="1:13">
      <c r="A174" s="2">
        <f t="shared" si="5"/>
        <v>1</v>
      </c>
      <c r="B174" s="501"/>
      <c r="C174" s="178"/>
      <c r="D174" s="491"/>
      <c r="E174" s="502"/>
      <c r="F174" s="177">
        <f t="shared" si="4"/>
        <v>0</v>
      </c>
      <c r="G174" s="177" t="str">
        <f>IF(IFERROR(IF(Str_TypeDonneesCpt5=Cpt_Index,Tab_Compteur_5[[#This Row],[Index]]-E173,Tab_Compteur_5[[#This Row],[Quantité]])/Tab_Compteur_5[[#This Row],[Delta Jour]],"")&lt;0,"",IFERROR(IF(Str_TypeDonneesCpt5=Cpt_Index,Tab_Compteur_5[[#This Row],[Index]]-E173,Tab_Compteur_5[[#This Row],[Quantité]])/Tab_Compteur_5[[#This Row],[Delta Jour]],""))</f>
        <v/>
      </c>
      <c r="H174" s="177" t="str">
        <f>IFERROR(Tab_Compteur_5[[#This Row],[Montant]]/Tab_Compteur_5[[#This Row],[Delta Jour]],"")</f>
        <v/>
      </c>
      <c r="I174" s="184" t="str">
        <f>IF(SUM(Tab_Compteur_5[[#This Row],[Quantité]],Tab_Compteur_5[[#This Row],[Index]])&lt;=0,"",G174)</f>
        <v/>
      </c>
      <c r="J174" s="185"/>
      <c r="K174" s="36"/>
      <c r="L174" s="36"/>
      <c r="M174" s="36"/>
    </row>
    <row r="175" spans="1:13">
      <c r="A175" s="2">
        <f t="shared" si="5"/>
        <v>1</v>
      </c>
      <c r="B175" s="501"/>
      <c r="C175" s="178"/>
      <c r="D175" s="491"/>
      <c r="E175" s="502"/>
      <c r="F175" s="177">
        <f t="shared" si="4"/>
        <v>0</v>
      </c>
      <c r="G175" s="177" t="str">
        <f>IF(IFERROR(IF(Str_TypeDonneesCpt5=Cpt_Index,Tab_Compteur_5[[#This Row],[Index]]-E174,Tab_Compteur_5[[#This Row],[Quantité]])/Tab_Compteur_5[[#This Row],[Delta Jour]],"")&lt;0,"",IFERROR(IF(Str_TypeDonneesCpt5=Cpt_Index,Tab_Compteur_5[[#This Row],[Index]]-E174,Tab_Compteur_5[[#This Row],[Quantité]])/Tab_Compteur_5[[#This Row],[Delta Jour]],""))</f>
        <v/>
      </c>
      <c r="H175" s="177" t="str">
        <f>IFERROR(Tab_Compteur_5[[#This Row],[Montant]]/Tab_Compteur_5[[#This Row],[Delta Jour]],"")</f>
        <v/>
      </c>
      <c r="I175" s="184" t="str">
        <f>IF(SUM(Tab_Compteur_5[[#This Row],[Quantité]],Tab_Compteur_5[[#This Row],[Index]])&lt;=0,"",G175)</f>
        <v/>
      </c>
      <c r="J175" s="185"/>
      <c r="K175" s="36"/>
      <c r="L175" s="36"/>
      <c r="M175" s="36"/>
    </row>
    <row r="176" spans="1:13">
      <c r="A176" s="2">
        <f t="shared" si="5"/>
        <v>1</v>
      </c>
      <c r="B176" s="501"/>
      <c r="C176" s="178"/>
      <c r="D176" s="491"/>
      <c r="E176" s="502"/>
      <c r="F176" s="177">
        <f t="shared" si="4"/>
        <v>0</v>
      </c>
      <c r="G176" s="177" t="str">
        <f>IF(IFERROR(IF(Str_TypeDonneesCpt5=Cpt_Index,Tab_Compteur_5[[#This Row],[Index]]-E175,Tab_Compteur_5[[#This Row],[Quantité]])/Tab_Compteur_5[[#This Row],[Delta Jour]],"")&lt;0,"",IFERROR(IF(Str_TypeDonneesCpt5=Cpt_Index,Tab_Compteur_5[[#This Row],[Index]]-E175,Tab_Compteur_5[[#This Row],[Quantité]])/Tab_Compteur_5[[#This Row],[Delta Jour]],""))</f>
        <v/>
      </c>
      <c r="H176" s="177" t="str">
        <f>IFERROR(Tab_Compteur_5[[#This Row],[Montant]]/Tab_Compteur_5[[#This Row],[Delta Jour]],"")</f>
        <v/>
      </c>
      <c r="I176" s="184" t="str">
        <f>IF(SUM(Tab_Compteur_5[[#This Row],[Quantité]],Tab_Compteur_5[[#This Row],[Index]])&lt;=0,"",G176)</f>
        <v/>
      </c>
      <c r="J176" s="185"/>
      <c r="K176" s="36"/>
      <c r="L176" s="36"/>
      <c r="M176" s="36"/>
    </row>
    <row r="177" spans="1:13">
      <c r="A177" s="2">
        <f t="shared" si="5"/>
        <v>1</v>
      </c>
      <c r="B177" s="501"/>
      <c r="C177" s="178"/>
      <c r="D177" s="491"/>
      <c r="E177" s="502"/>
      <c r="F177" s="177">
        <f t="shared" si="4"/>
        <v>0</v>
      </c>
      <c r="G177" s="177" t="str">
        <f>IF(IFERROR(IF(Str_TypeDonneesCpt5=Cpt_Index,Tab_Compteur_5[[#This Row],[Index]]-E176,Tab_Compteur_5[[#This Row],[Quantité]])/Tab_Compteur_5[[#This Row],[Delta Jour]],"")&lt;0,"",IFERROR(IF(Str_TypeDonneesCpt5=Cpt_Index,Tab_Compteur_5[[#This Row],[Index]]-E176,Tab_Compteur_5[[#This Row],[Quantité]])/Tab_Compteur_5[[#This Row],[Delta Jour]],""))</f>
        <v/>
      </c>
      <c r="H177" s="177" t="str">
        <f>IFERROR(Tab_Compteur_5[[#This Row],[Montant]]/Tab_Compteur_5[[#This Row],[Delta Jour]],"")</f>
        <v/>
      </c>
      <c r="I177" s="184" t="str">
        <f>IF(SUM(Tab_Compteur_5[[#This Row],[Quantité]],Tab_Compteur_5[[#This Row],[Index]])&lt;=0,"",G177)</f>
        <v/>
      </c>
      <c r="J177" s="185"/>
      <c r="K177" s="36"/>
      <c r="L177" s="36"/>
      <c r="M177" s="36"/>
    </row>
    <row r="178" spans="1:13">
      <c r="A178" s="2">
        <f t="shared" si="5"/>
        <v>1</v>
      </c>
      <c r="B178" s="501"/>
      <c r="C178" s="178"/>
      <c r="D178" s="491"/>
      <c r="E178" s="502"/>
      <c r="F178" s="177">
        <f t="shared" si="4"/>
        <v>0</v>
      </c>
      <c r="G178" s="177" t="str">
        <f>IF(IFERROR(IF(Str_TypeDonneesCpt5=Cpt_Index,Tab_Compteur_5[[#This Row],[Index]]-E177,Tab_Compteur_5[[#This Row],[Quantité]])/Tab_Compteur_5[[#This Row],[Delta Jour]],"")&lt;0,"",IFERROR(IF(Str_TypeDonneesCpt5=Cpt_Index,Tab_Compteur_5[[#This Row],[Index]]-E177,Tab_Compteur_5[[#This Row],[Quantité]])/Tab_Compteur_5[[#This Row],[Delta Jour]],""))</f>
        <v/>
      </c>
      <c r="H178" s="177" t="str">
        <f>IFERROR(Tab_Compteur_5[[#This Row],[Montant]]/Tab_Compteur_5[[#This Row],[Delta Jour]],"")</f>
        <v/>
      </c>
      <c r="I178" s="184" t="str">
        <f>IF(SUM(Tab_Compteur_5[[#This Row],[Quantité]],Tab_Compteur_5[[#This Row],[Index]])&lt;=0,"",G178)</f>
        <v/>
      </c>
      <c r="J178" s="185"/>
      <c r="K178" s="36"/>
      <c r="L178" s="36"/>
      <c r="M178" s="36"/>
    </row>
    <row r="179" spans="1:13">
      <c r="A179" s="2">
        <f t="shared" si="5"/>
        <v>1</v>
      </c>
      <c r="B179" s="501"/>
      <c r="C179" s="178"/>
      <c r="D179" s="491"/>
      <c r="E179" s="502"/>
      <c r="F179" s="177">
        <f t="shared" si="4"/>
        <v>0</v>
      </c>
      <c r="G179" s="177" t="str">
        <f>IF(IFERROR(IF(Str_TypeDonneesCpt5=Cpt_Index,Tab_Compteur_5[[#This Row],[Index]]-E178,Tab_Compteur_5[[#This Row],[Quantité]])/Tab_Compteur_5[[#This Row],[Delta Jour]],"")&lt;0,"",IFERROR(IF(Str_TypeDonneesCpt5=Cpt_Index,Tab_Compteur_5[[#This Row],[Index]]-E178,Tab_Compteur_5[[#This Row],[Quantité]])/Tab_Compteur_5[[#This Row],[Delta Jour]],""))</f>
        <v/>
      </c>
      <c r="H179" s="177" t="str">
        <f>IFERROR(Tab_Compteur_5[[#This Row],[Montant]]/Tab_Compteur_5[[#This Row],[Delta Jour]],"")</f>
        <v/>
      </c>
      <c r="I179" s="184" t="str">
        <f>IF(SUM(Tab_Compteur_5[[#This Row],[Quantité]],Tab_Compteur_5[[#This Row],[Index]])&lt;=0,"",G179)</f>
        <v/>
      </c>
      <c r="J179" s="185"/>
      <c r="K179" s="36"/>
      <c r="L179" s="36"/>
      <c r="M179" s="36"/>
    </row>
    <row r="180" spans="1:13">
      <c r="A180" s="2">
        <f t="shared" si="5"/>
        <v>1</v>
      </c>
      <c r="B180" s="501"/>
      <c r="C180" s="178"/>
      <c r="D180" s="491"/>
      <c r="E180" s="502"/>
      <c r="F180" s="177">
        <f t="shared" si="4"/>
        <v>0</v>
      </c>
      <c r="G180" s="177" t="str">
        <f>IF(IFERROR(IF(Str_TypeDonneesCpt5=Cpt_Index,Tab_Compteur_5[[#This Row],[Index]]-E179,Tab_Compteur_5[[#This Row],[Quantité]])/Tab_Compteur_5[[#This Row],[Delta Jour]],"")&lt;0,"",IFERROR(IF(Str_TypeDonneesCpt5=Cpt_Index,Tab_Compteur_5[[#This Row],[Index]]-E179,Tab_Compteur_5[[#This Row],[Quantité]])/Tab_Compteur_5[[#This Row],[Delta Jour]],""))</f>
        <v/>
      </c>
      <c r="H180" s="177" t="str">
        <f>IFERROR(Tab_Compteur_5[[#This Row],[Montant]]/Tab_Compteur_5[[#This Row],[Delta Jour]],"")</f>
        <v/>
      </c>
      <c r="I180" s="184" t="str">
        <f>IF(SUM(Tab_Compteur_5[[#This Row],[Quantité]],Tab_Compteur_5[[#This Row],[Index]])&lt;=0,"",G180)</f>
        <v/>
      </c>
      <c r="J180" s="185"/>
      <c r="K180" s="36"/>
      <c r="L180" s="36"/>
      <c r="M180" s="36"/>
    </row>
    <row r="181" spans="1:13">
      <c r="A181" s="2">
        <f t="shared" si="5"/>
        <v>1</v>
      </c>
      <c r="B181" s="501"/>
      <c r="C181" s="178"/>
      <c r="D181" s="491"/>
      <c r="E181" s="502"/>
      <c r="F181" s="177">
        <f t="shared" si="4"/>
        <v>0</v>
      </c>
      <c r="G181" s="177" t="str">
        <f>IF(IFERROR(IF(Str_TypeDonneesCpt5=Cpt_Index,Tab_Compteur_5[[#This Row],[Index]]-E180,Tab_Compteur_5[[#This Row],[Quantité]])/Tab_Compteur_5[[#This Row],[Delta Jour]],"")&lt;0,"",IFERROR(IF(Str_TypeDonneesCpt5=Cpt_Index,Tab_Compteur_5[[#This Row],[Index]]-E180,Tab_Compteur_5[[#This Row],[Quantité]])/Tab_Compteur_5[[#This Row],[Delta Jour]],""))</f>
        <v/>
      </c>
      <c r="H181" s="177" t="str">
        <f>IFERROR(Tab_Compteur_5[[#This Row],[Montant]]/Tab_Compteur_5[[#This Row],[Delta Jour]],"")</f>
        <v/>
      </c>
      <c r="I181" s="184" t="str">
        <f>IF(SUM(Tab_Compteur_5[[#This Row],[Quantité]],Tab_Compteur_5[[#This Row],[Index]])&lt;=0,"",G181)</f>
        <v/>
      </c>
      <c r="J181" s="185"/>
      <c r="K181" s="36"/>
      <c r="L181" s="36"/>
      <c r="M181" s="36"/>
    </row>
    <row r="182" spans="1:13">
      <c r="A182" s="2">
        <f t="shared" si="5"/>
        <v>1</v>
      </c>
      <c r="B182" s="501"/>
      <c r="C182" s="178"/>
      <c r="D182" s="491"/>
      <c r="E182" s="502"/>
      <c r="F182" s="177">
        <f t="shared" si="4"/>
        <v>0</v>
      </c>
      <c r="G182" s="177" t="str">
        <f>IF(IFERROR(IF(Str_TypeDonneesCpt5=Cpt_Index,Tab_Compteur_5[[#This Row],[Index]]-E181,Tab_Compteur_5[[#This Row],[Quantité]])/Tab_Compteur_5[[#This Row],[Delta Jour]],"")&lt;0,"",IFERROR(IF(Str_TypeDonneesCpt5=Cpt_Index,Tab_Compteur_5[[#This Row],[Index]]-E181,Tab_Compteur_5[[#This Row],[Quantité]])/Tab_Compteur_5[[#This Row],[Delta Jour]],""))</f>
        <v/>
      </c>
      <c r="H182" s="177" t="str">
        <f>IFERROR(Tab_Compteur_5[[#This Row],[Montant]]/Tab_Compteur_5[[#This Row],[Delta Jour]],"")</f>
        <v/>
      </c>
      <c r="I182" s="184" t="str">
        <f>IF(SUM(Tab_Compteur_5[[#This Row],[Quantité]],Tab_Compteur_5[[#This Row],[Index]])&lt;=0,"",G182)</f>
        <v/>
      </c>
      <c r="J182" s="185"/>
      <c r="K182" s="36"/>
      <c r="L182" s="36"/>
      <c r="M182" s="36"/>
    </row>
    <row r="183" spans="1:13">
      <c r="A183" s="2">
        <f t="shared" si="5"/>
        <v>1</v>
      </c>
      <c r="B183" s="501"/>
      <c r="C183" s="178"/>
      <c r="D183" s="491"/>
      <c r="E183" s="502"/>
      <c r="F183" s="177">
        <f t="shared" si="4"/>
        <v>0</v>
      </c>
      <c r="G183" s="177" t="str">
        <f>IF(IFERROR(IF(Str_TypeDonneesCpt5=Cpt_Index,Tab_Compteur_5[[#This Row],[Index]]-E182,Tab_Compteur_5[[#This Row],[Quantité]])/Tab_Compteur_5[[#This Row],[Delta Jour]],"")&lt;0,"",IFERROR(IF(Str_TypeDonneesCpt5=Cpt_Index,Tab_Compteur_5[[#This Row],[Index]]-E182,Tab_Compteur_5[[#This Row],[Quantité]])/Tab_Compteur_5[[#This Row],[Delta Jour]],""))</f>
        <v/>
      </c>
      <c r="H183" s="177" t="str">
        <f>IFERROR(Tab_Compteur_5[[#This Row],[Montant]]/Tab_Compteur_5[[#This Row],[Delta Jour]],"")</f>
        <v/>
      </c>
      <c r="I183" s="184" t="str">
        <f>IF(SUM(Tab_Compteur_5[[#This Row],[Quantité]],Tab_Compteur_5[[#This Row],[Index]])&lt;=0,"",G183)</f>
        <v/>
      </c>
      <c r="J183" s="185"/>
      <c r="K183" s="36"/>
      <c r="L183" s="36"/>
      <c r="M183" s="36"/>
    </row>
    <row r="184" spans="1:13">
      <c r="A184" s="2">
        <f t="shared" si="5"/>
        <v>1</v>
      </c>
      <c r="B184" s="501"/>
      <c r="C184" s="178"/>
      <c r="D184" s="491"/>
      <c r="E184" s="502"/>
      <c r="F184" s="177">
        <f t="shared" si="4"/>
        <v>0</v>
      </c>
      <c r="G184" s="177" t="str">
        <f>IF(IFERROR(IF(Str_TypeDonneesCpt5=Cpt_Index,Tab_Compteur_5[[#This Row],[Index]]-E183,Tab_Compteur_5[[#This Row],[Quantité]])/Tab_Compteur_5[[#This Row],[Delta Jour]],"")&lt;0,"",IFERROR(IF(Str_TypeDonneesCpt5=Cpt_Index,Tab_Compteur_5[[#This Row],[Index]]-E183,Tab_Compteur_5[[#This Row],[Quantité]])/Tab_Compteur_5[[#This Row],[Delta Jour]],""))</f>
        <v/>
      </c>
      <c r="H184" s="177" t="str">
        <f>IFERROR(Tab_Compteur_5[[#This Row],[Montant]]/Tab_Compteur_5[[#This Row],[Delta Jour]],"")</f>
        <v/>
      </c>
      <c r="I184" s="184" t="str">
        <f>IF(SUM(Tab_Compteur_5[[#This Row],[Quantité]],Tab_Compteur_5[[#This Row],[Index]])&lt;=0,"",G184)</f>
        <v/>
      </c>
      <c r="J184" s="185"/>
      <c r="K184" s="36"/>
      <c r="L184" s="36"/>
      <c r="M184" s="36"/>
    </row>
    <row r="185" spans="1:13">
      <c r="A185" s="2">
        <f t="shared" si="5"/>
        <v>1</v>
      </c>
      <c r="B185" s="501"/>
      <c r="C185" s="178"/>
      <c r="D185" s="491"/>
      <c r="E185" s="502"/>
      <c r="F185" s="177">
        <f t="shared" si="4"/>
        <v>0</v>
      </c>
      <c r="G185" s="177" t="str">
        <f>IF(IFERROR(IF(Str_TypeDonneesCpt5=Cpt_Index,Tab_Compteur_5[[#This Row],[Index]]-E184,Tab_Compteur_5[[#This Row],[Quantité]])/Tab_Compteur_5[[#This Row],[Delta Jour]],"")&lt;0,"",IFERROR(IF(Str_TypeDonneesCpt5=Cpt_Index,Tab_Compteur_5[[#This Row],[Index]]-E184,Tab_Compteur_5[[#This Row],[Quantité]])/Tab_Compteur_5[[#This Row],[Delta Jour]],""))</f>
        <v/>
      </c>
      <c r="H185" s="177" t="str">
        <f>IFERROR(Tab_Compteur_5[[#This Row],[Montant]]/Tab_Compteur_5[[#This Row],[Delta Jour]],"")</f>
        <v/>
      </c>
      <c r="I185" s="184" t="str">
        <f>IF(SUM(Tab_Compteur_5[[#This Row],[Quantité]],Tab_Compteur_5[[#This Row],[Index]])&lt;=0,"",G185)</f>
        <v/>
      </c>
      <c r="J185" s="185"/>
      <c r="K185" s="36"/>
      <c r="L185" s="36"/>
      <c r="M185" s="36"/>
    </row>
    <row r="186" spans="1:13">
      <c r="A186" s="2">
        <f t="shared" si="5"/>
        <v>1</v>
      </c>
      <c r="B186" s="501"/>
      <c r="C186" s="178"/>
      <c r="D186" s="491"/>
      <c r="E186" s="502"/>
      <c r="F186" s="177">
        <f t="shared" si="4"/>
        <v>0</v>
      </c>
      <c r="G186" s="177" t="str">
        <f>IF(IFERROR(IF(Str_TypeDonneesCpt5=Cpt_Index,Tab_Compteur_5[[#This Row],[Index]]-E185,Tab_Compteur_5[[#This Row],[Quantité]])/Tab_Compteur_5[[#This Row],[Delta Jour]],"")&lt;0,"",IFERROR(IF(Str_TypeDonneesCpt5=Cpt_Index,Tab_Compteur_5[[#This Row],[Index]]-E185,Tab_Compteur_5[[#This Row],[Quantité]])/Tab_Compteur_5[[#This Row],[Delta Jour]],""))</f>
        <v/>
      </c>
      <c r="H186" s="177" t="str">
        <f>IFERROR(Tab_Compteur_5[[#This Row],[Montant]]/Tab_Compteur_5[[#This Row],[Delta Jour]],"")</f>
        <v/>
      </c>
      <c r="I186" s="184" t="str">
        <f>IF(SUM(Tab_Compteur_5[[#This Row],[Quantité]],Tab_Compteur_5[[#This Row],[Index]])&lt;=0,"",G186)</f>
        <v/>
      </c>
      <c r="J186" s="185"/>
      <c r="K186" s="36"/>
      <c r="L186" s="36"/>
      <c r="M186" s="36"/>
    </row>
    <row r="187" spans="1:13">
      <c r="A187" s="2">
        <f t="shared" si="5"/>
        <v>1</v>
      </c>
      <c r="B187" s="501"/>
      <c r="C187" s="178"/>
      <c r="D187" s="491"/>
      <c r="E187" s="502"/>
      <c r="F187" s="177">
        <f t="shared" si="4"/>
        <v>0</v>
      </c>
      <c r="G187" s="177" t="str">
        <f>IF(IFERROR(IF(Str_TypeDonneesCpt5=Cpt_Index,Tab_Compteur_5[[#This Row],[Index]]-E186,Tab_Compteur_5[[#This Row],[Quantité]])/Tab_Compteur_5[[#This Row],[Delta Jour]],"")&lt;0,"",IFERROR(IF(Str_TypeDonneesCpt5=Cpt_Index,Tab_Compteur_5[[#This Row],[Index]]-E186,Tab_Compteur_5[[#This Row],[Quantité]])/Tab_Compteur_5[[#This Row],[Delta Jour]],""))</f>
        <v/>
      </c>
      <c r="H187" s="177" t="str">
        <f>IFERROR(Tab_Compteur_5[[#This Row],[Montant]]/Tab_Compteur_5[[#This Row],[Delta Jour]],"")</f>
        <v/>
      </c>
      <c r="I187" s="184" t="str">
        <f>IF(SUM(Tab_Compteur_5[[#This Row],[Quantité]],Tab_Compteur_5[[#This Row],[Index]])&lt;=0,"",G187)</f>
        <v/>
      </c>
      <c r="J187" s="185"/>
      <c r="K187" s="36"/>
      <c r="L187" s="36"/>
      <c r="M187" s="36"/>
    </row>
    <row r="188" spans="1:13">
      <c r="A188" s="2">
        <f t="shared" si="5"/>
        <v>1</v>
      </c>
      <c r="B188" s="501"/>
      <c r="C188" s="178"/>
      <c r="D188" s="491"/>
      <c r="E188" s="502"/>
      <c r="F188" s="177">
        <f t="shared" si="4"/>
        <v>0</v>
      </c>
      <c r="G188" s="177" t="str">
        <f>IF(IFERROR(IF(Str_TypeDonneesCpt5=Cpt_Index,Tab_Compteur_5[[#This Row],[Index]]-E187,Tab_Compteur_5[[#This Row],[Quantité]])/Tab_Compteur_5[[#This Row],[Delta Jour]],"")&lt;0,"",IFERROR(IF(Str_TypeDonneesCpt5=Cpt_Index,Tab_Compteur_5[[#This Row],[Index]]-E187,Tab_Compteur_5[[#This Row],[Quantité]])/Tab_Compteur_5[[#This Row],[Delta Jour]],""))</f>
        <v/>
      </c>
      <c r="H188" s="177" t="str">
        <f>IFERROR(Tab_Compteur_5[[#This Row],[Montant]]/Tab_Compteur_5[[#This Row],[Delta Jour]],"")</f>
        <v/>
      </c>
      <c r="I188" s="184" t="str">
        <f>IF(SUM(Tab_Compteur_5[[#This Row],[Quantité]],Tab_Compteur_5[[#This Row],[Index]])&lt;=0,"",G188)</f>
        <v/>
      </c>
      <c r="J188" s="185"/>
      <c r="K188" s="36"/>
      <c r="L188" s="36"/>
      <c r="M188" s="36"/>
    </row>
    <row r="189" spans="1:13">
      <c r="A189" s="2">
        <f t="shared" si="5"/>
        <v>1</v>
      </c>
      <c r="B189" s="501"/>
      <c r="C189" s="178"/>
      <c r="D189" s="491"/>
      <c r="E189" s="502"/>
      <c r="F189" s="177">
        <f t="shared" si="4"/>
        <v>0</v>
      </c>
      <c r="G189" s="177" t="str">
        <f>IF(IFERROR(IF(Str_TypeDonneesCpt5=Cpt_Index,Tab_Compteur_5[[#This Row],[Index]]-E188,Tab_Compteur_5[[#This Row],[Quantité]])/Tab_Compteur_5[[#This Row],[Delta Jour]],"")&lt;0,"",IFERROR(IF(Str_TypeDonneesCpt5=Cpt_Index,Tab_Compteur_5[[#This Row],[Index]]-E188,Tab_Compteur_5[[#This Row],[Quantité]])/Tab_Compteur_5[[#This Row],[Delta Jour]],""))</f>
        <v/>
      </c>
      <c r="H189" s="177" t="str">
        <f>IFERROR(Tab_Compteur_5[[#This Row],[Montant]]/Tab_Compteur_5[[#This Row],[Delta Jour]],"")</f>
        <v/>
      </c>
      <c r="I189" s="184" t="str">
        <f>IF(SUM(Tab_Compteur_5[[#This Row],[Quantité]],Tab_Compteur_5[[#This Row],[Index]])&lt;=0,"",G189)</f>
        <v/>
      </c>
      <c r="J189" s="185"/>
      <c r="K189" s="36"/>
      <c r="L189" s="36"/>
      <c r="M189" s="36"/>
    </row>
    <row r="190" spans="1:13">
      <c r="A190" s="2">
        <f t="shared" si="5"/>
        <v>1</v>
      </c>
      <c r="B190" s="501"/>
      <c r="C190" s="178"/>
      <c r="D190" s="491"/>
      <c r="E190" s="502"/>
      <c r="F190" s="177">
        <f t="shared" si="4"/>
        <v>0</v>
      </c>
      <c r="G190" s="177" t="str">
        <f>IF(IFERROR(IF(Str_TypeDonneesCpt5=Cpt_Index,Tab_Compteur_5[[#This Row],[Index]]-E189,Tab_Compteur_5[[#This Row],[Quantité]])/Tab_Compteur_5[[#This Row],[Delta Jour]],"")&lt;0,"",IFERROR(IF(Str_TypeDonneesCpt5=Cpt_Index,Tab_Compteur_5[[#This Row],[Index]]-E189,Tab_Compteur_5[[#This Row],[Quantité]])/Tab_Compteur_5[[#This Row],[Delta Jour]],""))</f>
        <v/>
      </c>
      <c r="H190" s="177" t="str">
        <f>IFERROR(Tab_Compteur_5[[#This Row],[Montant]]/Tab_Compteur_5[[#This Row],[Delta Jour]],"")</f>
        <v/>
      </c>
      <c r="I190" s="184" t="str">
        <f>IF(SUM(Tab_Compteur_5[[#This Row],[Quantité]],Tab_Compteur_5[[#This Row],[Index]])&lt;=0,"",G190)</f>
        <v/>
      </c>
      <c r="J190" s="185"/>
      <c r="K190" s="36"/>
      <c r="L190" s="36"/>
      <c r="M190" s="36"/>
    </row>
    <row r="191" spans="1:13">
      <c r="A191" s="2">
        <f t="shared" si="5"/>
        <v>1</v>
      </c>
      <c r="B191" s="501"/>
      <c r="C191" s="178"/>
      <c r="D191" s="491"/>
      <c r="E191" s="502"/>
      <c r="F191" s="177">
        <f t="shared" si="4"/>
        <v>0</v>
      </c>
      <c r="G191" s="177" t="str">
        <f>IF(IFERROR(IF(Str_TypeDonneesCpt5=Cpt_Index,Tab_Compteur_5[[#This Row],[Index]]-E190,Tab_Compteur_5[[#This Row],[Quantité]])/Tab_Compteur_5[[#This Row],[Delta Jour]],"")&lt;0,"",IFERROR(IF(Str_TypeDonneesCpt5=Cpt_Index,Tab_Compteur_5[[#This Row],[Index]]-E190,Tab_Compteur_5[[#This Row],[Quantité]])/Tab_Compteur_5[[#This Row],[Delta Jour]],""))</f>
        <v/>
      </c>
      <c r="H191" s="177" t="str">
        <f>IFERROR(Tab_Compteur_5[[#This Row],[Montant]]/Tab_Compteur_5[[#This Row],[Delta Jour]],"")</f>
        <v/>
      </c>
      <c r="I191" s="184" t="str">
        <f>IF(SUM(Tab_Compteur_5[[#This Row],[Quantité]],Tab_Compteur_5[[#This Row],[Index]])&lt;=0,"",G191)</f>
        <v/>
      </c>
      <c r="J191" s="185"/>
      <c r="K191" s="36"/>
      <c r="L191" s="36"/>
      <c r="M191" s="36"/>
    </row>
    <row r="192" spans="1:13">
      <c r="A192" s="2">
        <f t="shared" si="5"/>
        <v>1</v>
      </c>
      <c r="B192" s="501"/>
      <c r="C192" s="178"/>
      <c r="D192" s="491"/>
      <c r="E192" s="502"/>
      <c r="F192" s="177">
        <f t="shared" si="4"/>
        <v>0</v>
      </c>
      <c r="G192" s="177" t="str">
        <f>IF(IFERROR(IF(Str_TypeDonneesCpt5=Cpt_Index,Tab_Compteur_5[[#This Row],[Index]]-E191,Tab_Compteur_5[[#This Row],[Quantité]])/Tab_Compteur_5[[#This Row],[Delta Jour]],"")&lt;0,"",IFERROR(IF(Str_TypeDonneesCpt5=Cpt_Index,Tab_Compteur_5[[#This Row],[Index]]-E191,Tab_Compteur_5[[#This Row],[Quantité]])/Tab_Compteur_5[[#This Row],[Delta Jour]],""))</f>
        <v/>
      </c>
      <c r="H192" s="177" t="str">
        <f>IFERROR(Tab_Compteur_5[[#This Row],[Montant]]/Tab_Compteur_5[[#This Row],[Delta Jour]],"")</f>
        <v/>
      </c>
      <c r="I192" s="184" t="str">
        <f>IF(SUM(Tab_Compteur_5[[#This Row],[Quantité]],Tab_Compteur_5[[#This Row],[Index]])&lt;=0,"",G192)</f>
        <v/>
      </c>
      <c r="J192" s="185"/>
      <c r="K192" s="36"/>
      <c r="L192" s="36"/>
      <c r="M192" s="36"/>
    </row>
    <row r="193" spans="1:13">
      <c r="A193" s="2">
        <f t="shared" si="5"/>
        <v>1</v>
      </c>
      <c r="B193" s="501"/>
      <c r="C193" s="178"/>
      <c r="D193" s="491"/>
      <c r="E193" s="502"/>
      <c r="F193" s="177">
        <f t="shared" si="4"/>
        <v>0</v>
      </c>
      <c r="G193" s="177" t="str">
        <f>IF(IFERROR(IF(Str_TypeDonneesCpt5=Cpt_Index,Tab_Compteur_5[[#This Row],[Index]]-E192,Tab_Compteur_5[[#This Row],[Quantité]])/Tab_Compteur_5[[#This Row],[Delta Jour]],"")&lt;0,"",IFERROR(IF(Str_TypeDonneesCpt5=Cpt_Index,Tab_Compteur_5[[#This Row],[Index]]-E192,Tab_Compteur_5[[#This Row],[Quantité]])/Tab_Compteur_5[[#This Row],[Delta Jour]],""))</f>
        <v/>
      </c>
      <c r="H193" s="177" t="str">
        <f>IFERROR(Tab_Compteur_5[[#This Row],[Montant]]/Tab_Compteur_5[[#This Row],[Delta Jour]],"")</f>
        <v/>
      </c>
      <c r="I193" s="184" t="str">
        <f>IF(SUM(Tab_Compteur_5[[#This Row],[Quantité]],Tab_Compteur_5[[#This Row],[Index]])&lt;=0,"",G193)</f>
        <v/>
      </c>
      <c r="J193" s="185"/>
      <c r="K193" s="36"/>
      <c r="L193" s="36"/>
      <c r="M193" s="36"/>
    </row>
    <row r="194" spans="1:13">
      <c r="A194" s="2">
        <f t="shared" si="5"/>
        <v>1</v>
      </c>
      <c r="B194" s="501"/>
      <c r="C194" s="178"/>
      <c r="D194" s="491"/>
      <c r="E194" s="502"/>
      <c r="F194" s="177">
        <f t="shared" si="4"/>
        <v>0</v>
      </c>
      <c r="G194" s="177" t="str">
        <f>IF(IFERROR(IF(Str_TypeDonneesCpt5=Cpt_Index,Tab_Compteur_5[[#This Row],[Index]]-E193,Tab_Compteur_5[[#This Row],[Quantité]])/Tab_Compteur_5[[#This Row],[Delta Jour]],"")&lt;0,"",IFERROR(IF(Str_TypeDonneesCpt5=Cpt_Index,Tab_Compteur_5[[#This Row],[Index]]-E193,Tab_Compteur_5[[#This Row],[Quantité]])/Tab_Compteur_5[[#This Row],[Delta Jour]],""))</f>
        <v/>
      </c>
      <c r="H194" s="177" t="str">
        <f>IFERROR(Tab_Compteur_5[[#This Row],[Montant]]/Tab_Compteur_5[[#This Row],[Delta Jour]],"")</f>
        <v/>
      </c>
      <c r="I194" s="184" t="str">
        <f>IF(SUM(Tab_Compteur_5[[#This Row],[Quantité]],Tab_Compteur_5[[#This Row],[Index]])&lt;=0,"",G194)</f>
        <v/>
      </c>
      <c r="J194" s="185"/>
      <c r="K194" s="36"/>
      <c r="L194" s="36"/>
      <c r="M194" s="36"/>
    </row>
    <row r="195" spans="1:13">
      <c r="A195" s="2">
        <f t="shared" si="5"/>
        <v>1</v>
      </c>
      <c r="B195" s="501"/>
      <c r="C195" s="178"/>
      <c r="D195" s="491"/>
      <c r="E195" s="502"/>
      <c r="F195" s="177">
        <f t="shared" ref="F195:F243" si="6">IFERROR(B195-A195+1,"")</f>
        <v>0</v>
      </c>
      <c r="G195" s="177" t="str">
        <f>IF(IFERROR(IF(Str_TypeDonneesCpt5=Cpt_Index,Tab_Compteur_5[[#This Row],[Index]]-E194,Tab_Compteur_5[[#This Row],[Quantité]])/Tab_Compteur_5[[#This Row],[Delta Jour]],"")&lt;0,"",IFERROR(IF(Str_TypeDonneesCpt5=Cpt_Index,Tab_Compteur_5[[#This Row],[Index]]-E194,Tab_Compteur_5[[#This Row],[Quantité]])/Tab_Compteur_5[[#This Row],[Delta Jour]],""))</f>
        <v/>
      </c>
      <c r="H195" s="177" t="str">
        <f>IFERROR(Tab_Compteur_5[[#This Row],[Montant]]/Tab_Compteur_5[[#This Row],[Delta Jour]],"")</f>
        <v/>
      </c>
      <c r="I195" s="184" t="str">
        <f>IF(SUM(Tab_Compteur_5[[#This Row],[Quantité]],Tab_Compteur_5[[#This Row],[Index]])&lt;=0,"",G195)</f>
        <v/>
      </c>
      <c r="J195" s="185"/>
      <c r="K195" s="36"/>
      <c r="L195" s="36"/>
      <c r="M195" s="36"/>
    </row>
    <row r="196" spans="1:13">
      <c r="A196" s="2">
        <f t="shared" si="5"/>
        <v>1</v>
      </c>
      <c r="B196" s="501"/>
      <c r="C196" s="178"/>
      <c r="D196" s="491"/>
      <c r="E196" s="502"/>
      <c r="F196" s="177">
        <f t="shared" si="6"/>
        <v>0</v>
      </c>
      <c r="G196" s="177" t="str">
        <f>IF(IFERROR(IF(Str_TypeDonneesCpt5=Cpt_Index,Tab_Compteur_5[[#This Row],[Index]]-E195,Tab_Compteur_5[[#This Row],[Quantité]])/Tab_Compteur_5[[#This Row],[Delta Jour]],"")&lt;0,"",IFERROR(IF(Str_TypeDonneesCpt5=Cpt_Index,Tab_Compteur_5[[#This Row],[Index]]-E195,Tab_Compteur_5[[#This Row],[Quantité]])/Tab_Compteur_5[[#This Row],[Delta Jour]],""))</f>
        <v/>
      </c>
      <c r="H196" s="177" t="str">
        <f>IFERROR(Tab_Compteur_5[[#This Row],[Montant]]/Tab_Compteur_5[[#This Row],[Delta Jour]],"")</f>
        <v/>
      </c>
      <c r="I196" s="184" t="str">
        <f>IF(SUM(Tab_Compteur_5[[#This Row],[Quantité]],Tab_Compteur_5[[#This Row],[Index]])&lt;=0,"",G196)</f>
        <v/>
      </c>
      <c r="J196" s="185"/>
      <c r="K196" s="36"/>
      <c r="L196" s="36"/>
      <c r="M196" s="36"/>
    </row>
    <row r="197" spans="1:13">
      <c r="A197" s="2">
        <f t="shared" si="5"/>
        <v>1</v>
      </c>
      <c r="B197" s="501"/>
      <c r="C197" s="178"/>
      <c r="D197" s="491"/>
      <c r="E197" s="502"/>
      <c r="F197" s="177">
        <f t="shared" si="6"/>
        <v>0</v>
      </c>
      <c r="G197" s="177" t="str">
        <f>IF(IFERROR(IF(Str_TypeDonneesCpt5=Cpt_Index,Tab_Compteur_5[[#This Row],[Index]]-E196,Tab_Compteur_5[[#This Row],[Quantité]])/Tab_Compteur_5[[#This Row],[Delta Jour]],"")&lt;0,"",IFERROR(IF(Str_TypeDonneesCpt5=Cpt_Index,Tab_Compteur_5[[#This Row],[Index]]-E196,Tab_Compteur_5[[#This Row],[Quantité]])/Tab_Compteur_5[[#This Row],[Delta Jour]],""))</f>
        <v/>
      </c>
      <c r="H197" s="177" t="str">
        <f>IFERROR(Tab_Compteur_5[[#This Row],[Montant]]/Tab_Compteur_5[[#This Row],[Delta Jour]],"")</f>
        <v/>
      </c>
      <c r="I197" s="184" t="str">
        <f>IF(SUM(Tab_Compteur_5[[#This Row],[Quantité]],Tab_Compteur_5[[#This Row],[Index]])&lt;=0,"",G197)</f>
        <v/>
      </c>
      <c r="J197" s="185"/>
      <c r="K197" s="36"/>
      <c r="L197" s="36"/>
      <c r="M197" s="36"/>
    </row>
    <row r="198" spans="1:13">
      <c r="A198" s="2">
        <f t="shared" ref="A198:A243" si="7">IFERROR(B197+1,0)</f>
        <v>1</v>
      </c>
      <c r="B198" s="501"/>
      <c r="C198" s="178"/>
      <c r="D198" s="491"/>
      <c r="E198" s="502"/>
      <c r="F198" s="177">
        <f t="shared" si="6"/>
        <v>0</v>
      </c>
      <c r="G198" s="177" t="str">
        <f>IF(IFERROR(IF(Str_TypeDonneesCpt5=Cpt_Index,Tab_Compteur_5[[#This Row],[Index]]-E197,Tab_Compteur_5[[#This Row],[Quantité]])/Tab_Compteur_5[[#This Row],[Delta Jour]],"")&lt;0,"",IFERROR(IF(Str_TypeDonneesCpt5=Cpt_Index,Tab_Compteur_5[[#This Row],[Index]]-E197,Tab_Compteur_5[[#This Row],[Quantité]])/Tab_Compteur_5[[#This Row],[Delta Jour]],""))</f>
        <v/>
      </c>
      <c r="H198" s="177" t="str">
        <f>IFERROR(Tab_Compteur_5[[#This Row],[Montant]]/Tab_Compteur_5[[#This Row],[Delta Jour]],"")</f>
        <v/>
      </c>
      <c r="I198" s="184" t="str">
        <f>IF(SUM(Tab_Compteur_5[[#This Row],[Quantité]],Tab_Compteur_5[[#This Row],[Index]])&lt;=0,"",G198)</f>
        <v/>
      </c>
      <c r="J198" s="185"/>
      <c r="K198" s="36"/>
      <c r="L198" s="36"/>
      <c r="M198" s="36"/>
    </row>
    <row r="199" spans="1:13">
      <c r="A199" s="2">
        <f t="shared" si="7"/>
        <v>1</v>
      </c>
      <c r="B199" s="501"/>
      <c r="C199" s="178"/>
      <c r="D199" s="491"/>
      <c r="E199" s="502"/>
      <c r="F199" s="177">
        <f t="shared" si="6"/>
        <v>0</v>
      </c>
      <c r="G199" s="177" t="str">
        <f>IF(IFERROR(IF(Str_TypeDonneesCpt5=Cpt_Index,Tab_Compteur_5[[#This Row],[Index]]-E198,Tab_Compteur_5[[#This Row],[Quantité]])/Tab_Compteur_5[[#This Row],[Delta Jour]],"")&lt;0,"",IFERROR(IF(Str_TypeDonneesCpt5=Cpt_Index,Tab_Compteur_5[[#This Row],[Index]]-E198,Tab_Compteur_5[[#This Row],[Quantité]])/Tab_Compteur_5[[#This Row],[Delta Jour]],""))</f>
        <v/>
      </c>
      <c r="H199" s="177" t="str">
        <f>IFERROR(Tab_Compteur_5[[#This Row],[Montant]]/Tab_Compteur_5[[#This Row],[Delta Jour]],"")</f>
        <v/>
      </c>
      <c r="I199" s="184" t="str">
        <f>IF(SUM(Tab_Compteur_5[[#This Row],[Quantité]],Tab_Compteur_5[[#This Row],[Index]])&lt;=0,"",G199)</f>
        <v/>
      </c>
      <c r="J199" s="185"/>
      <c r="K199" s="36"/>
      <c r="L199" s="36"/>
      <c r="M199" s="36"/>
    </row>
    <row r="200" spans="1:13">
      <c r="A200" s="2">
        <f t="shared" si="7"/>
        <v>1</v>
      </c>
      <c r="B200" s="501"/>
      <c r="C200" s="178"/>
      <c r="D200" s="491"/>
      <c r="E200" s="502"/>
      <c r="F200" s="177">
        <f t="shared" si="6"/>
        <v>0</v>
      </c>
      <c r="G200" s="177" t="str">
        <f>IF(IFERROR(IF(Str_TypeDonneesCpt5=Cpt_Index,Tab_Compteur_5[[#This Row],[Index]]-E199,Tab_Compteur_5[[#This Row],[Quantité]])/Tab_Compteur_5[[#This Row],[Delta Jour]],"")&lt;0,"",IFERROR(IF(Str_TypeDonneesCpt5=Cpt_Index,Tab_Compteur_5[[#This Row],[Index]]-E199,Tab_Compteur_5[[#This Row],[Quantité]])/Tab_Compteur_5[[#This Row],[Delta Jour]],""))</f>
        <v/>
      </c>
      <c r="H200" s="177" t="str">
        <f>IFERROR(Tab_Compteur_5[[#This Row],[Montant]]/Tab_Compteur_5[[#This Row],[Delta Jour]],"")</f>
        <v/>
      </c>
      <c r="I200" s="184" t="str">
        <f>IF(SUM(Tab_Compteur_5[[#This Row],[Quantité]],Tab_Compteur_5[[#This Row],[Index]])&lt;=0,"",G200)</f>
        <v/>
      </c>
      <c r="J200" s="185"/>
      <c r="K200" s="36"/>
      <c r="L200" s="36"/>
      <c r="M200" s="36"/>
    </row>
    <row r="201" spans="1:13">
      <c r="A201" s="2">
        <f t="shared" si="7"/>
        <v>1</v>
      </c>
      <c r="B201" s="501"/>
      <c r="C201" s="178"/>
      <c r="D201" s="491"/>
      <c r="E201" s="502"/>
      <c r="F201" s="177">
        <f t="shared" si="6"/>
        <v>0</v>
      </c>
      <c r="G201" s="177" t="str">
        <f>IF(IFERROR(IF(Str_TypeDonneesCpt5=Cpt_Index,Tab_Compteur_5[[#This Row],[Index]]-E200,Tab_Compteur_5[[#This Row],[Quantité]])/Tab_Compteur_5[[#This Row],[Delta Jour]],"")&lt;0,"",IFERROR(IF(Str_TypeDonneesCpt5=Cpt_Index,Tab_Compteur_5[[#This Row],[Index]]-E200,Tab_Compteur_5[[#This Row],[Quantité]])/Tab_Compteur_5[[#This Row],[Delta Jour]],""))</f>
        <v/>
      </c>
      <c r="H201" s="177" t="str">
        <f>IFERROR(Tab_Compteur_5[[#This Row],[Montant]]/Tab_Compteur_5[[#This Row],[Delta Jour]],"")</f>
        <v/>
      </c>
      <c r="I201" s="184" t="str">
        <f>IF(SUM(Tab_Compteur_5[[#This Row],[Quantité]],Tab_Compteur_5[[#This Row],[Index]])&lt;=0,"",G201)</f>
        <v/>
      </c>
      <c r="J201" s="185"/>
      <c r="K201" s="36"/>
      <c r="L201" s="36"/>
      <c r="M201" s="36"/>
    </row>
    <row r="202" spans="1:13">
      <c r="A202" s="2">
        <f t="shared" si="7"/>
        <v>1</v>
      </c>
      <c r="B202" s="501"/>
      <c r="C202" s="178"/>
      <c r="D202" s="491"/>
      <c r="E202" s="502"/>
      <c r="F202" s="177">
        <f t="shared" si="6"/>
        <v>0</v>
      </c>
      <c r="G202" s="177" t="str">
        <f>IF(IFERROR(IF(Str_TypeDonneesCpt5=Cpt_Index,Tab_Compteur_5[[#This Row],[Index]]-E201,Tab_Compteur_5[[#This Row],[Quantité]])/Tab_Compteur_5[[#This Row],[Delta Jour]],"")&lt;0,"",IFERROR(IF(Str_TypeDonneesCpt5=Cpt_Index,Tab_Compteur_5[[#This Row],[Index]]-E201,Tab_Compteur_5[[#This Row],[Quantité]])/Tab_Compteur_5[[#This Row],[Delta Jour]],""))</f>
        <v/>
      </c>
      <c r="H202" s="177" t="str">
        <f>IFERROR(Tab_Compteur_5[[#This Row],[Montant]]/Tab_Compteur_5[[#This Row],[Delta Jour]],"")</f>
        <v/>
      </c>
      <c r="I202" s="184" t="str">
        <f>IF(SUM(Tab_Compteur_5[[#This Row],[Quantité]],Tab_Compteur_5[[#This Row],[Index]])&lt;=0,"",G202)</f>
        <v/>
      </c>
      <c r="J202" s="185"/>
      <c r="K202" s="36"/>
      <c r="L202" s="36"/>
      <c r="M202" s="36"/>
    </row>
    <row r="203" spans="1:13">
      <c r="A203" s="2">
        <f t="shared" si="7"/>
        <v>1</v>
      </c>
      <c r="B203" s="501"/>
      <c r="C203" s="178"/>
      <c r="D203" s="491"/>
      <c r="E203" s="502"/>
      <c r="F203" s="177">
        <f t="shared" si="6"/>
        <v>0</v>
      </c>
      <c r="G203" s="177" t="str">
        <f>IF(IFERROR(IF(Str_TypeDonneesCpt5=Cpt_Index,Tab_Compteur_5[[#This Row],[Index]]-E202,Tab_Compteur_5[[#This Row],[Quantité]])/Tab_Compteur_5[[#This Row],[Delta Jour]],"")&lt;0,"",IFERROR(IF(Str_TypeDonneesCpt5=Cpt_Index,Tab_Compteur_5[[#This Row],[Index]]-E202,Tab_Compteur_5[[#This Row],[Quantité]])/Tab_Compteur_5[[#This Row],[Delta Jour]],""))</f>
        <v/>
      </c>
      <c r="H203" s="177" t="str">
        <f>IFERROR(Tab_Compteur_5[[#This Row],[Montant]]/Tab_Compteur_5[[#This Row],[Delta Jour]],"")</f>
        <v/>
      </c>
      <c r="I203" s="184" t="str">
        <f>IF(SUM(Tab_Compteur_5[[#This Row],[Quantité]],Tab_Compteur_5[[#This Row],[Index]])&lt;=0,"",G203)</f>
        <v/>
      </c>
      <c r="J203" s="185"/>
      <c r="K203" s="36"/>
      <c r="L203" s="36"/>
      <c r="M203" s="36"/>
    </row>
    <row r="204" spans="1:13">
      <c r="A204" s="2">
        <f t="shared" si="7"/>
        <v>1</v>
      </c>
      <c r="B204" s="501"/>
      <c r="C204" s="178"/>
      <c r="D204" s="491"/>
      <c r="E204" s="502"/>
      <c r="F204" s="177">
        <f t="shared" si="6"/>
        <v>0</v>
      </c>
      <c r="G204" s="177" t="str">
        <f>IF(IFERROR(IF(Str_TypeDonneesCpt5=Cpt_Index,Tab_Compteur_5[[#This Row],[Index]]-E203,Tab_Compteur_5[[#This Row],[Quantité]])/Tab_Compteur_5[[#This Row],[Delta Jour]],"")&lt;0,"",IFERROR(IF(Str_TypeDonneesCpt5=Cpt_Index,Tab_Compteur_5[[#This Row],[Index]]-E203,Tab_Compteur_5[[#This Row],[Quantité]])/Tab_Compteur_5[[#This Row],[Delta Jour]],""))</f>
        <v/>
      </c>
      <c r="H204" s="177" t="str">
        <f>IFERROR(Tab_Compteur_5[[#This Row],[Montant]]/Tab_Compteur_5[[#This Row],[Delta Jour]],"")</f>
        <v/>
      </c>
      <c r="I204" s="184" t="str">
        <f>IF(SUM(Tab_Compteur_5[[#This Row],[Quantité]],Tab_Compteur_5[[#This Row],[Index]])&lt;=0,"",G204)</f>
        <v/>
      </c>
      <c r="J204" s="185"/>
      <c r="K204" s="36"/>
      <c r="L204" s="36"/>
      <c r="M204" s="36"/>
    </row>
    <row r="205" spans="1:13">
      <c r="A205" s="2">
        <f t="shared" si="7"/>
        <v>1</v>
      </c>
      <c r="B205" s="501"/>
      <c r="C205" s="178"/>
      <c r="D205" s="491"/>
      <c r="E205" s="502"/>
      <c r="F205" s="177">
        <f t="shared" si="6"/>
        <v>0</v>
      </c>
      <c r="G205" s="177" t="str">
        <f>IF(IFERROR(IF(Str_TypeDonneesCpt5=Cpt_Index,Tab_Compteur_5[[#This Row],[Index]]-E204,Tab_Compteur_5[[#This Row],[Quantité]])/Tab_Compteur_5[[#This Row],[Delta Jour]],"")&lt;0,"",IFERROR(IF(Str_TypeDonneesCpt5=Cpt_Index,Tab_Compteur_5[[#This Row],[Index]]-E204,Tab_Compteur_5[[#This Row],[Quantité]])/Tab_Compteur_5[[#This Row],[Delta Jour]],""))</f>
        <v/>
      </c>
      <c r="H205" s="177" t="str">
        <f>IFERROR(Tab_Compteur_5[[#This Row],[Montant]]/Tab_Compteur_5[[#This Row],[Delta Jour]],"")</f>
        <v/>
      </c>
      <c r="I205" s="184" t="str">
        <f>IF(SUM(Tab_Compteur_5[[#This Row],[Quantité]],Tab_Compteur_5[[#This Row],[Index]])&lt;=0,"",G205)</f>
        <v/>
      </c>
      <c r="J205" s="185"/>
      <c r="K205" s="36"/>
      <c r="L205" s="36"/>
      <c r="M205" s="36"/>
    </row>
    <row r="206" spans="1:13">
      <c r="A206" s="2">
        <f t="shared" si="7"/>
        <v>1</v>
      </c>
      <c r="B206" s="501"/>
      <c r="C206" s="178"/>
      <c r="D206" s="491"/>
      <c r="E206" s="502"/>
      <c r="F206" s="177">
        <f t="shared" si="6"/>
        <v>0</v>
      </c>
      <c r="G206" s="177" t="str">
        <f>IF(IFERROR(IF(Str_TypeDonneesCpt5=Cpt_Index,Tab_Compteur_5[[#This Row],[Index]]-E205,Tab_Compteur_5[[#This Row],[Quantité]])/Tab_Compteur_5[[#This Row],[Delta Jour]],"")&lt;0,"",IFERROR(IF(Str_TypeDonneesCpt5=Cpt_Index,Tab_Compteur_5[[#This Row],[Index]]-E205,Tab_Compteur_5[[#This Row],[Quantité]])/Tab_Compteur_5[[#This Row],[Delta Jour]],""))</f>
        <v/>
      </c>
      <c r="H206" s="177" t="str">
        <f>IFERROR(Tab_Compteur_5[[#This Row],[Montant]]/Tab_Compteur_5[[#This Row],[Delta Jour]],"")</f>
        <v/>
      </c>
      <c r="I206" s="184" t="str">
        <f>IF(SUM(Tab_Compteur_5[[#This Row],[Quantité]],Tab_Compteur_5[[#This Row],[Index]])&lt;=0,"",G206)</f>
        <v/>
      </c>
      <c r="J206" s="185"/>
      <c r="K206" s="36"/>
      <c r="L206" s="36"/>
      <c r="M206" s="36"/>
    </row>
    <row r="207" spans="1:13">
      <c r="A207" s="2">
        <f t="shared" si="7"/>
        <v>1</v>
      </c>
      <c r="B207" s="501"/>
      <c r="C207" s="178"/>
      <c r="D207" s="491"/>
      <c r="E207" s="502"/>
      <c r="F207" s="177">
        <f t="shared" si="6"/>
        <v>0</v>
      </c>
      <c r="G207" s="177" t="str">
        <f>IF(IFERROR(IF(Str_TypeDonneesCpt5=Cpt_Index,Tab_Compteur_5[[#This Row],[Index]]-E206,Tab_Compteur_5[[#This Row],[Quantité]])/Tab_Compteur_5[[#This Row],[Delta Jour]],"")&lt;0,"",IFERROR(IF(Str_TypeDonneesCpt5=Cpt_Index,Tab_Compteur_5[[#This Row],[Index]]-E206,Tab_Compteur_5[[#This Row],[Quantité]])/Tab_Compteur_5[[#This Row],[Delta Jour]],""))</f>
        <v/>
      </c>
      <c r="H207" s="177" t="str">
        <f>IFERROR(Tab_Compteur_5[[#This Row],[Montant]]/Tab_Compteur_5[[#This Row],[Delta Jour]],"")</f>
        <v/>
      </c>
      <c r="I207" s="184" t="str">
        <f>IF(SUM(Tab_Compteur_5[[#This Row],[Quantité]],Tab_Compteur_5[[#This Row],[Index]])&lt;=0,"",G207)</f>
        <v/>
      </c>
      <c r="J207" s="185"/>
      <c r="K207" s="36"/>
      <c r="L207" s="36"/>
      <c r="M207" s="36"/>
    </row>
    <row r="208" spans="1:13">
      <c r="A208" s="2">
        <f t="shared" si="7"/>
        <v>1</v>
      </c>
      <c r="B208" s="501"/>
      <c r="C208" s="178"/>
      <c r="D208" s="491"/>
      <c r="E208" s="502"/>
      <c r="F208" s="177">
        <f t="shared" si="6"/>
        <v>0</v>
      </c>
      <c r="G208" s="177" t="str">
        <f>IF(IFERROR(IF(Str_TypeDonneesCpt5=Cpt_Index,Tab_Compteur_5[[#This Row],[Index]]-E207,Tab_Compteur_5[[#This Row],[Quantité]])/Tab_Compteur_5[[#This Row],[Delta Jour]],"")&lt;0,"",IFERROR(IF(Str_TypeDonneesCpt5=Cpt_Index,Tab_Compteur_5[[#This Row],[Index]]-E207,Tab_Compteur_5[[#This Row],[Quantité]])/Tab_Compteur_5[[#This Row],[Delta Jour]],""))</f>
        <v/>
      </c>
      <c r="H208" s="177" t="str">
        <f>IFERROR(Tab_Compteur_5[[#This Row],[Montant]]/Tab_Compteur_5[[#This Row],[Delta Jour]],"")</f>
        <v/>
      </c>
      <c r="I208" s="184" t="str">
        <f>IF(SUM(Tab_Compteur_5[[#This Row],[Quantité]],Tab_Compteur_5[[#This Row],[Index]])&lt;=0,"",G208)</f>
        <v/>
      </c>
      <c r="J208" s="185"/>
      <c r="K208" s="36"/>
      <c r="L208" s="36"/>
      <c r="M208" s="36"/>
    </row>
    <row r="209" spans="1:13">
      <c r="A209" s="2">
        <f t="shared" si="7"/>
        <v>1</v>
      </c>
      <c r="B209" s="501"/>
      <c r="C209" s="178"/>
      <c r="D209" s="491"/>
      <c r="E209" s="502"/>
      <c r="F209" s="177">
        <f t="shared" si="6"/>
        <v>0</v>
      </c>
      <c r="G209" s="177" t="str">
        <f>IF(IFERROR(IF(Str_TypeDonneesCpt5=Cpt_Index,Tab_Compteur_5[[#This Row],[Index]]-E208,Tab_Compteur_5[[#This Row],[Quantité]])/Tab_Compteur_5[[#This Row],[Delta Jour]],"")&lt;0,"",IFERROR(IF(Str_TypeDonneesCpt5=Cpt_Index,Tab_Compteur_5[[#This Row],[Index]]-E208,Tab_Compteur_5[[#This Row],[Quantité]])/Tab_Compteur_5[[#This Row],[Delta Jour]],""))</f>
        <v/>
      </c>
      <c r="H209" s="177" t="str">
        <f>IFERROR(Tab_Compteur_5[[#This Row],[Montant]]/Tab_Compteur_5[[#This Row],[Delta Jour]],"")</f>
        <v/>
      </c>
      <c r="I209" s="184" t="str">
        <f>IF(SUM(Tab_Compteur_5[[#This Row],[Quantité]],Tab_Compteur_5[[#This Row],[Index]])&lt;=0,"",G209)</f>
        <v/>
      </c>
      <c r="J209" s="185"/>
      <c r="K209" s="36"/>
      <c r="L209" s="36"/>
      <c r="M209" s="36"/>
    </row>
    <row r="210" spans="1:13">
      <c r="A210" s="2">
        <f t="shared" si="7"/>
        <v>1</v>
      </c>
      <c r="B210" s="501"/>
      <c r="C210" s="178"/>
      <c r="D210" s="491"/>
      <c r="E210" s="502"/>
      <c r="F210" s="177">
        <f t="shared" si="6"/>
        <v>0</v>
      </c>
      <c r="G210" s="177" t="str">
        <f>IF(IFERROR(IF(Str_TypeDonneesCpt5=Cpt_Index,Tab_Compteur_5[[#This Row],[Index]]-E209,Tab_Compteur_5[[#This Row],[Quantité]])/Tab_Compteur_5[[#This Row],[Delta Jour]],"")&lt;0,"",IFERROR(IF(Str_TypeDonneesCpt5=Cpt_Index,Tab_Compteur_5[[#This Row],[Index]]-E209,Tab_Compteur_5[[#This Row],[Quantité]])/Tab_Compteur_5[[#This Row],[Delta Jour]],""))</f>
        <v/>
      </c>
      <c r="H210" s="177" t="str">
        <f>IFERROR(Tab_Compteur_5[[#This Row],[Montant]]/Tab_Compteur_5[[#This Row],[Delta Jour]],"")</f>
        <v/>
      </c>
      <c r="I210" s="184" t="str">
        <f>IF(SUM(Tab_Compteur_5[[#This Row],[Quantité]],Tab_Compteur_5[[#This Row],[Index]])&lt;=0,"",G210)</f>
        <v/>
      </c>
      <c r="J210" s="185"/>
      <c r="K210" s="36"/>
      <c r="L210" s="36"/>
      <c r="M210" s="36"/>
    </row>
    <row r="211" spans="1:13">
      <c r="A211" s="2">
        <f t="shared" si="7"/>
        <v>1</v>
      </c>
      <c r="B211" s="501"/>
      <c r="C211" s="178"/>
      <c r="D211" s="491"/>
      <c r="E211" s="502"/>
      <c r="F211" s="177">
        <f t="shared" si="6"/>
        <v>0</v>
      </c>
      <c r="G211" s="177" t="str">
        <f>IF(IFERROR(IF(Str_TypeDonneesCpt5=Cpt_Index,Tab_Compteur_5[[#This Row],[Index]]-E210,Tab_Compteur_5[[#This Row],[Quantité]])/Tab_Compteur_5[[#This Row],[Delta Jour]],"")&lt;0,"",IFERROR(IF(Str_TypeDonneesCpt5=Cpt_Index,Tab_Compteur_5[[#This Row],[Index]]-E210,Tab_Compteur_5[[#This Row],[Quantité]])/Tab_Compteur_5[[#This Row],[Delta Jour]],""))</f>
        <v/>
      </c>
      <c r="H211" s="177" t="str">
        <f>IFERROR(Tab_Compteur_5[[#This Row],[Montant]]/Tab_Compteur_5[[#This Row],[Delta Jour]],"")</f>
        <v/>
      </c>
      <c r="I211" s="184" t="str">
        <f>IF(SUM(Tab_Compteur_5[[#This Row],[Quantité]],Tab_Compteur_5[[#This Row],[Index]])&lt;=0,"",G211)</f>
        <v/>
      </c>
      <c r="J211" s="185"/>
      <c r="K211" s="36"/>
      <c r="L211" s="36"/>
      <c r="M211" s="36"/>
    </row>
    <row r="212" spans="1:13">
      <c r="A212" s="2">
        <f t="shared" si="7"/>
        <v>1</v>
      </c>
      <c r="B212" s="501"/>
      <c r="C212" s="178"/>
      <c r="D212" s="491"/>
      <c r="E212" s="502"/>
      <c r="F212" s="177">
        <f t="shared" si="6"/>
        <v>0</v>
      </c>
      <c r="G212" s="177" t="str">
        <f>IF(IFERROR(IF(Str_TypeDonneesCpt5=Cpt_Index,Tab_Compteur_5[[#This Row],[Index]]-E211,Tab_Compteur_5[[#This Row],[Quantité]])/Tab_Compteur_5[[#This Row],[Delta Jour]],"")&lt;0,"",IFERROR(IF(Str_TypeDonneesCpt5=Cpt_Index,Tab_Compteur_5[[#This Row],[Index]]-E211,Tab_Compteur_5[[#This Row],[Quantité]])/Tab_Compteur_5[[#This Row],[Delta Jour]],""))</f>
        <v/>
      </c>
      <c r="H212" s="177" t="str">
        <f>IFERROR(Tab_Compteur_5[[#This Row],[Montant]]/Tab_Compteur_5[[#This Row],[Delta Jour]],"")</f>
        <v/>
      </c>
      <c r="I212" s="184" t="str">
        <f>IF(SUM(Tab_Compteur_5[[#This Row],[Quantité]],Tab_Compteur_5[[#This Row],[Index]])&lt;=0,"",G212)</f>
        <v/>
      </c>
      <c r="J212" s="185"/>
      <c r="K212" s="36"/>
      <c r="L212" s="36"/>
      <c r="M212" s="36"/>
    </row>
    <row r="213" spans="1:13">
      <c r="A213" s="2">
        <f t="shared" si="7"/>
        <v>1</v>
      </c>
      <c r="B213" s="501"/>
      <c r="C213" s="178"/>
      <c r="D213" s="491"/>
      <c r="E213" s="502"/>
      <c r="F213" s="177">
        <f t="shared" si="6"/>
        <v>0</v>
      </c>
      <c r="G213" s="177" t="str">
        <f>IF(IFERROR(IF(Str_TypeDonneesCpt5=Cpt_Index,Tab_Compteur_5[[#This Row],[Index]]-E212,Tab_Compteur_5[[#This Row],[Quantité]])/Tab_Compteur_5[[#This Row],[Delta Jour]],"")&lt;0,"",IFERROR(IF(Str_TypeDonneesCpt5=Cpt_Index,Tab_Compteur_5[[#This Row],[Index]]-E212,Tab_Compteur_5[[#This Row],[Quantité]])/Tab_Compteur_5[[#This Row],[Delta Jour]],""))</f>
        <v/>
      </c>
      <c r="H213" s="177" t="str">
        <f>IFERROR(Tab_Compteur_5[[#This Row],[Montant]]/Tab_Compteur_5[[#This Row],[Delta Jour]],"")</f>
        <v/>
      </c>
      <c r="I213" s="184" t="str">
        <f>IF(SUM(Tab_Compteur_5[[#This Row],[Quantité]],Tab_Compteur_5[[#This Row],[Index]])&lt;=0,"",G213)</f>
        <v/>
      </c>
      <c r="J213" s="185"/>
      <c r="K213" s="36"/>
      <c r="L213" s="36"/>
      <c r="M213" s="36"/>
    </row>
    <row r="214" spans="1:13">
      <c r="A214" s="2">
        <f t="shared" si="7"/>
        <v>1</v>
      </c>
      <c r="B214" s="501"/>
      <c r="C214" s="178"/>
      <c r="D214" s="491"/>
      <c r="E214" s="502"/>
      <c r="F214" s="177">
        <f t="shared" si="6"/>
        <v>0</v>
      </c>
      <c r="G214" s="177" t="str">
        <f>IF(IFERROR(IF(Str_TypeDonneesCpt5=Cpt_Index,Tab_Compteur_5[[#This Row],[Index]]-E213,Tab_Compteur_5[[#This Row],[Quantité]])/Tab_Compteur_5[[#This Row],[Delta Jour]],"")&lt;0,"",IFERROR(IF(Str_TypeDonneesCpt5=Cpt_Index,Tab_Compteur_5[[#This Row],[Index]]-E213,Tab_Compteur_5[[#This Row],[Quantité]])/Tab_Compteur_5[[#This Row],[Delta Jour]],""))</f>
        <v/>
      </c>
      <c r="H214" s="177" t="str">
        <f>IFERROR(Tab_Compteur_5[[#This Row],[Montant]]/Tab_Compteur_5[[#This Row],[Delta Jour]],"")</f>
        <v/>
      </c>
      <c r="I214" s="184" t="str">
        <f>IF(SUM(Tab_Compteur_5[[#This Row],[Quantité]],Tab_Compteur_5[[#This Row],[Index]])&lt;=0,"",G214)</f>
        <v/>
      </c>
      <c r="J214" s="185"/>
      <c r="K214" s="36"/>
      <c r="L214" s="36"/>
      <c r="M214" s="36"/>
    </row>
    <row r="215" spans="1:13">
      <c r="A215" s="2">
        <f t="shared" si="7"/>
        <v>1</v>
      </c>
      <c r="B215" s="501"/>
      <c r="C215" s="178"/>
      <c r="D215" s="491"/>
      <c r="E215" s="502"/>
      <c r="F215" s="177">
        <f t="shared" si="6"/>
        <v>0</v>
      </c>
      <c r="G215" s="177" t="str">
        <f>IF(IFERROR(IF(Str_TypeDonneesCpt5=Cpt_Index,Tab_Compteur_5[[#This Row],[Index]]-E214,Tab_Compteur_5[[#This Row],[Quantité]])/Tab_Compteur_5[[#This Row],[Delta Jour]],"")&lt;0,"",IFERROR(IF(Str_TypeDonneesCpt5=Cpt_Index,Tab_Compteur_5[[#This Row],[Index]]-E214,Tab_Compteur_5[[#This Row],[Quantité]])/Tab_Compteur_5[[#This Row],[Delta Jour]],""))</f>
        <v/>
      </c>
      <c r="H215" s="177" t="str">
        <f>IFERROR(Tab_Compteur_5[[#This Row],[Montant]]/Tab_Compteur_5[[#This Row],[Delta Jour]],"")</f>
        <v/>
      </c>
      <c r="I215" s="184" t="str">
        <f>IF(SUM(Tab_Compteur_5[[#This Row],[Quantité]],Tab_Compteur_5[[#This Row],[Index]])&lt;=0,"",G215)</f>
        <v/>
      </c>
      <c r="J215" s="185"/>
      <c r="K215" s="36"/>
      <c r="L215" s="36"/>
      <c r="M215" s="36"/>
    </row>
    <row r="216" spans="1:13">
      <c r="A216" s="2">
        <f t="shared" si="7"/>
        <v>1</v>
      </c>
      <c r="B216" s="501"/>
      <c r="C216" s="178"/>
      <c r="D216" s="491"/>
      <c r="E216" s="502"/>
      <c r="F216" s="177">
        <f t="shared" si="6"/>
        <v>0</v>
      </c>
      <c r="G216" s="177" t="str">
        <f>IF(IFERROR(IF(Str_TypeDonneesCpt5=Cpt_Index,Tab_Compteur_5[[#This Row],[Index]]-E215,Tab_Compteur_5[[#This Row],[Quantité]])/Tab_Compteur_5[[#This Row],[Delta Jour]],"")&lt;0,"",IFERROR(IF(Str_TypeDonneesCpt5=Cpt_Index,Tab_Compteur_5[[#This Row],[Index]]-E215,Tab_Compteur_5[[#This Row],[Quantité]])/Tab_Compteur_5[[#This Row],[Delta Jour]],""))</f>
        <v/>
      </c>
      <c r="H216" s="177" t="str">
        <f>IFERROR(Tab_Compteur_5[[#This Row],[Montant]]/Tab_Compteur_5[[#This Row],[Delta Jour]],"")</f>
        <v/>
      </c>
      <c r="I216" s="184" t="str">
        <f>IF(SUM(Tab_Compteur_5[[#This Row],[Quantité]],Tab_Compteur_5[[#This Row],[Index]])&lt;=0,"",G216)</f>
        <v/>
      </c>
      <c r="J216" s="185"/>
      <c r="K216" s="36"/>
      <c r="L216" s="36"/>
      <c r="M216" s="36"/>
    </row>
    <row r="217" spans="1:13">
      <c r="A217" s="2">
        <f t="shared" si="7"/>
        <v>1</v>
      </c>
      <c r="B217" s="501"/>
      <c r="C217" s="178"/>
      <c r="D217" s="491"/>
      <c r="E217" s="502"/>
      <c r="F217" s="177">
        <f t="shared" si="6"/>
        <v>0</v>
      </c>
      <c r="G217" s="177" t="str">
        <f>IF(IFERROR(IF(Str_TypeDonneesCpt5=Cpt_Index,Tab_Compteur_5[[#This Row],[Index]]-E216,Tab_Compteur_5[[#This Row],[Quantité]])/Tab_Compteur_5[[#This Row],[Delta Jour]],"")&lt;0,"",IFERROR(IF(Str_TypeDonneesCpt5=Cpt_Index,Tab_Compteur_5[[#This Row],[Index]]-E216,Tab_Compteur_5[[#This Row],[Quantité]])/Tab_Compteur_5[[#This Row],[Delta Jour]],""))</f>
        <v/>
      </c>
      <c r="H217" s="177" t="str">
        <f>IFERROR(Tab_Compteur_5[[#This Row],[Montant]]/Tab_Compteur_5[[#This Row],[Delta Jour]],"")</f>
        <v/>
      </c>
      <c r="I217" s="184" t="str">
        <f>IF(SUM(Tab_Compteur_5[[#This Row],[Quantité]],Tab_Compteur_5[[#This Row],[Index]])&lt;=0,"",G217)</f>
        <v/>
      </c>
      <c r="J217" s="185"/>
      <c r="K217" s="36"/>
      <c r="L217" s="36"/>
      <c r="M217" s="36"/>
    </row>
    <row r="218" spans="1:13">
      <c r="A218" s="2">
        <f t="shared" si="7"/>
        <v>1</v>
      </c>
      <c r="B218" s="501"/>
      <c r="C218" s="178"/>
      <c r="D218" s="491"/>
      <c r="E218" s="502"/>
      <c r="F218" s="177">
        <f t="shared" si="6"/>
        <v>0</v>
      </c>
      <c r="G218" s="177" t="str">
        <f>IF(IFERROR(IF(Str_TypeDonneesCpt5=Cpt_Index,Tab_Compteur_5[[#This Row],[Index]]-E217,Tab_Compteur_5[[#This Row],[Quantité]])/Tab_Compteur_5[[#This Row],[Delta Jour]],"")&lt;0,"",IFERROR(IF(Str_TypeDonneesCpt5=Cpt_Index,Tab_Compteur_5[[#This Row],[Index]]-E217,Tab_Compteur_5[[#This Row],[Quantité]])/Tab_Compteur_5[[#This Row],[Delta Jour]],""))</f>
        <v/>
      </c>
      <c r="H218" s="177" t="str">
        <f>IFERROR(Tab_Compteur_5[[#This Row],[Montant]]/Tab_Compteur_5[[#This Row],[Delta Jour]],"")</f>
        <v/>
      </c>
      <c r="I218" s="184" t="str">
        <f>IF(SUM(Tab_Compteur_5[[#This Row],[Quantité]],Tab_Compteur_5[[#This Row],[Index]])&lt;=0,"",G218)</f>
        <v/>
      </c>
      <c r="J218" s="185"/>
      <c r="K218" s="36"/>
      <c r="L218" s="36"/>
      <c r="M218" s="36"/>
    </row>
    <row r="219" spans="1:13">
      <c r="A219" s="2">
        <f t="shared" si="7"/>
        <v>1</v>
      </c>
      <c r="B219" s="501"/>
      <c r="C219" s="178"/>
      <c r="D219" s="491"/>
      <c r="E219" s="502"/>
      <c r="F219" s="177">
        <f t="shared" si="6"/>
        <v>0</v>
      </c>
      <c r="G219" s="177" t="str">
        <f>IF(IFERROR(IF(Str_TypeDonneesCpt5=Cpt_Index,Tab_Compteur_5[[#This Row],[Index]]-E218,Tab_Compteur_5[[#This Row],[Quantité]])/Tab_Compteur_5[[#This Row],[Delta Jour]],"")&lt;0,"",IFERROR(IF(Str_TypeDonneesCpt5=Cpt_Index,Tab_Compteur_5[[#This Row],[Index]]-E218,Tab_Compteur_5[[#This Row],[Quantité]])/Tab_Compteur_5[[#This Row],[Delta Jour]],""))</f>
        <v/>
      </c>
      <c r="H219" s="177" t="str">
        <f>IFERROR(Tab_Compteur_5[[#This Row],[Montant]]/Tab_Compteur_5[[#This Row],[Delta Jour]],"")</f>
        <v/>
      </c>
      <c r="I219" s="184" t="str">
        <f>IF(SUM(Tab_Compteur_5[[#This Row],[Quantité]],Tab_Compteur_5[[#This Row],[Index]])&lt;=0,"",G219)</f>
        <v/>
      </c>
      <c r="J219" s="185"/>
      <c r="K219" s="36"/>
      <c r="L219" s="36"/>
      <c r="M219" s="36"/>
    </row>
    <row r="220" spans="1:13">
      <c r="A220" s="2">
        <f t="shared" si="7"/>
        <v>1</v>
      </c>
      <c r="B220" s="501"/>
      <c r="C220" s="178"/>
      <c r="D220" s="491"/>
      <c r="E220" s="502"/>
      <c r="F220" s="177">
        <f t="shared" si="6"/>
        <v>0</v>
      </c>
      <c r="G220" s="177" t="str">
        <f>IF(IFERROR(IF(Str_TypeDonneesCpt5=Cpt_Index,Tab_Compteur_5[[#This Row],[Index]]-E219,Tab_Compteur_5[[#This Row],[Quantité]])/Tab_Compteur_5[[#This Row],[Delta Jour]],"")&lt;0,"",IFERROR(IF(Str_TypeDonneesCpt5=Cpt_Index,Tab_Compteur_5[[#This Row],[Index]]-E219,Tab_Compteur_5[[#This Row],[Quantité]])/Tab_Compteur_5[[#This Row],[Delta Jour]],""))</f>
        <v/>
      </c>
      <c r="H220" s="177" t="str">
        <f>IFERROR(Tab_Compteur_5[[#This Row],[Montant]]/Tab_Compteur_5[[#This Row],[Delta Jour]],"")</f>
        <v/>
      </c>
      <c r="I220" s="184" t="str">
        <f>IF(SUM(Tab_Compteur_5[[#This Row],[Quantité]],Tab_Compteur_5[[#This Row],[Index]])&lt;=0,"",G220)</f>
        <v/>
      </c>
      <c r="J220" s="185"/>
      <c r="K220" s="36"/>
      <c r="L220" s="36"/>
      <c r="M220" s="36"/>
    </row>
    <row r="221" spans="1:13">
      <c r="A221" s="2">
        <f t="shared" si="7"/>
        <v>1</v>
      </c>
      <c r="B221" s="501"/>
      <c r="C221" s="178"/>
      <c r="D221" s="491"/>
      <c r="E221" s="502"/>
      <c r="F221" s="177">
        <f t="shared" si="6"/>
        <v>0</v>
      </c>
      <c r="G221" s="177" t="str">
        <f>IF(IFERROR(IF(Str_TypeDonneesCpt5=Cpt_Index,Tab_Compteur_5[[#This Row],[Index]]-E220,Tab_Compteur_5[[#This Row],[Quantité]])/Tab_Compteur_5[[#This Row],[Delta Jour]],"")&lt;0,"",IFERROR(IF(Str_TypeDonneesCpt5=Cpt_Index,Tab_Compteur_5[[#This Row],[Index]]-E220,Tab_Compteur_5[[#This Row],[Quantité]])/Tab_Compteur_5[[#This Row],[Delta Jour]],""))</f>
        <v/>
      </c>
      <c r="H221" s="177" t="str">
        <f>IFERROR(Tab_Compteur_5[[#This Row],[Montant]]/Tab_Compteur_5[[#This Row],[Delta Jour]],"")</f>
        <v/>
      </c>
      <c r="I221" s="184" t="str">
        <f>IF(SUM(Tab_Compteur_5[[#This Row],[Quantité]],Tab_Compteur_5[[#This Row],[Index]])&lt;=0,"",G221)</f>
        <v/>
      </c>
      <c r="J221" s="185"/>
      <c r="K221" s="36"/>
      <c r="L221" s="36"/>
      <c r="M221" s="36"/>
    </row>
    <row r="222" spans="1:13">
      <c r="A222" s="2">
        <f t="shared" si="7"/>
        <v>1</v>
      </c>
      <c r="B222" s="501"/>
      <c r="C222" s="178"/>
      <c r="D222" s="491"/>
      <c r="E222" s="502"/>
      <c r="F222" s="177">
        <f t="shared" si="6"/>
        <v>0</v>
      </c>
      <c r="G222" s="177" t="str">
        <f>IF(IFERROR(IF(Str_TypeDonneesCpt5=Cpt_Index,Tab_Compteur_5[[#This Row],[Index]]-E221,Tab_Compteur_5[[#This Row],[Quantité]])/Tab_Compteur_5[[#This Row],[Delta Jour]],"")&lt;0,"",IFERROR(IF(Str_TypeDonneesCpt5=Cpt_Index,Tab_Compteur_5[[#This Row],[Index]]-E221,Tab_Compteur_5[[#This Row],[Quantité]])/Tab_Compteur_5[[#This Row],[Delta Jour]],""))</f>
        <v/>
      </c>
      <c r="H222" s="177" t="str">
        <f>IFERROR(Tab_Compteur_5[[#This Row],[Montant]]/Tab_Compteur_5[[#This Row],[Delta Jour]],"")</f>
        <v/>
      </c>
      <c r="I222" s="184" t="str">
        <f>IF(SUM(Tab_Compteur_5[[#This Row],[Quantité]],Tab_Compteur_5[[#This Row],[Index]])&lt;=0,"",G222)</f>
        <v/>
      </c>
      <c r="J222" s="185"/>
      <c r="K222" s="36"/>
      <c r="L222" s="36"/>
      <c r="M222" s="36"/>
    </row>
    <row r="223" spans="1:13">
      <c r="A223" s="2">
        <f t="shared" si="7"/>
        <v>1</v>
      </c>
      <c r="B223" s="501"/>
      <c r="C223" s="178"/>
      <c r="D223" s="491"/>
      <c r="E223" s="502"/>
      <c r="F223" s="177">
        <f t="shared" si="6"/>
        <v>0</v>
      </c>
      <c r="G223" s="177" t="str">
        <f>IF(IFERROR(IF(Str_TypeDonneesCpt5=Cpt_Index,Tab_Compteur_5[[#This Row],[Index]]-E222,Tab_Compteur_5[[#This Row],[Quantité]])/Tab_Compteur_5[[#This Row],[Delta Jour]],"")&lt;0,"",IFERROR(IF(Str_TypeDonneesCpt5=Cpt_Index,Tab_Compteur_5[[#This Row],[Index]]-E222,Tab_Compteur_5[[#This Row],[Quantité]])/Tab_Compteur_5[[#This Row],[Delta Jour]],""))</f>
        <v/>
      </c>
      <c r="H223" s="177" t="str">
        <f>IFERROR(Tab_Compteur_5[[#This Row],[Montant]]/Tab_Compteur_5[[#This Row],[Delta Jour]],"")</f>
        <v/>
      </c>
      <c r="I223" s="184" t="str">
        <f>IF(SUM(Tab_Compteur_5[[#This Row],[Quantité]],Tab_Compteur_5[[#This Row],[Index]])&lt;=0,"",G223)</f>
        <v/>
      </c>
      <c r="J223" s="185"/>
      <c r="K223" s="36"/>
      <c r="L223" s="36"/>
      <c r="M223" s="36"/>
    </row>
    <row r="224" spans="1:13">
      <c r="A224" s="2">
        <f t="shared" si="7"/>
        <v>1</v>
      </c>
      <c r="B224" s="501"/>
      <c r="C224" s="178"/>
      <c r="D224" s="491"/>
      <c r="E224" s="502"/>
      <c r="F224" s="177">
        <f t="shared" si="6"/>
        <v>0</v>
      </c>
      <c r="G224" s="177" t="str">
        <f>IF(IFERROR(IF(Str_TypeDonneesCpt5=Cpt_Index,Tab_Compteur_5[[#This Row],[Index]]-E223,Tab_Compteur_5[[#This Row],[Quantité]])/Tab_Compteur_5[[#This Row],[Delta Jour]],"")&lt;0,"",IFERROR(IF(Str_TypeDonneesCpt5=Cpt_Index,Tab_Compteur_5[[#This Row],[Index]]-E223,Tab_Compteur_5[[#This Row],[Quantité]])/Tab_Compteur_5[[#This Row],[Delta Jour]],""))</f>
        <v/>
      </c>
      <c r="H224" s="177" t="str">
        <f>IFERROR(Tab_Compteur_5[[#This Row],[Montant]]/Tab_Compteur_5[[#This Row],[Delta Jour]],"")</f>
        <v/>
      </c>
      <c r="I224" s="184" t="str">
        <f>IF(SUM(Tab_Compteur_5[[#This Row],[Quantité]],Tab_Compteur_5[[#This Row],[Index]])&lt;=0,"",G224)</f>
        <v/>
      </c>
      <c r="J224" s="185"/>
      <c r="K224" s="36"/>
      <c r="L224" s="36"/>
      <c r="M224" s="36"/>
    </row>
    <row r="225" spans="1:13">
      <c r="A225" s="2">
        <f t="shared" si="7"/>
        <v>1</v>
      </c>
      <c r="B225" s="501"/>
      <c r="C225" s="178"/>
      <c r="D225" s="491"/>
      <c r="E225" s="502"/>
      <c r="F225" s="177">
        <f t="shared" si="6"/>
        <v>0</v>
      </c>
      <c r="G225" s="177" t="str">
        <f>IF(IFERROR(IF(Str_TypeDonneesCpt5=Cpt_Index,Tab_Compteur_5[[#This Row],[Index]]-E224,Tab_Compteur_5[[#This Row],[Quantité]])/Tab_Compteur_5[[#This Row],[Delta Jour]],"")&lt;0,"",IFERROR(IF(Str_TypeDonneesCpt5=Cpt_Index,Tab_Compteur_5[[#This Row],[Index]]-E224,Tab_Compteur_5[[#This Row],[Quantité]])/Tab_Compteur_5[[#This Row],[Delta Jour]],""))</f>
        <v/>
      </c>
      <c r="H225" s="177" t="str">
        <f>IFERROR(Tab_Compteur_5[[#This Row],[Montant]]/Tab_Compteur_5[[#This Row],[Delta Jour]],"")</f>
        <v/>
      </c>
      <c r="I225" s="184" t="str">
        <f>IF(SUM(Tab_Compteur_5[[#This Row],[Quantité]],Tab_Compteur_5[[#This Row],[Index]])&lt;=0,"",G225)</f>
        <v/>
      </c>
      <c r="J225" s="185"/>
      <c r="K225" s="36"/>
      <c r="L225" s="36"/>
      <c r="M225" s="36"/>
    </row>
    <row r="226" spans="1:13">
      <c r="A226" s="2">
        <f t="shared" si="7"/>
        <v>1</v>
      </c>
      <c r="B226" s="501"/>
      <c r="C226" s="178"/>
      <c r="D226" s="491"/>
      <c r="E226" s="502"/>
      <c r="F226" s="177">
        <f t="shared" si="6"/>
        <v>0</v>
      </c>
      <c r="G226" s="177" t="str">
        <f>IF(IFERROR(IF(Str_TypeDonneesCpt5=Cpt_Index,Tab_Compteur_5[[#This Row],[Index]]-E225,Tab_Compteur_5[[#This Row],[Quantité]])/Tab_Compteur_5[[#This Row],[Delta Jour]],"")&lt;0,"",IFERROR(IF(Str_TypeDonneesCpt5=Cpt_Index,Tab_Compteur_5[[#This Row],[Index]]-E225,Tab_Compteur_5[[#This Row],[Quantité]])/Tab_Compteur_5[[#This Row],[Delta Jour]],""))</f>
        <v/>
      </c>
      <c r="H226" s="177" t="str">
        <f>IFERROR(Tab_Compteur_5[[#This Row],[Montant]]/Tab_Compteur_5[[#This Row],[Delta Jour]],"")</f>
        <v/>
      </c>
      <c r="I226" s="184" t="str">
        <f>IF(SUM(Tab_Compteur_5[[#This Row],[Quantité]],Tab_Compteur_5[[#This Row],[Index]])&lt;=0,"",G226)</f>
        <v/>
      </c>
      <c r="J226" s="185"/>
      <c r="K226" s="36"/>
      <c r="L226" s="36"/>
      <c r="M226" s="36"/>
    </row>
    <row r="227" spans="1:13">
      <c r="A227" s="2">
        <f t="shared" si="7"/>
        <v>1</v>
      </c>
      <c r="B227" s="501"/>
      <c r="C227" s="178"/>
      <c r="D227" s="491"/>
      <c r="E227" s="502"/>
      <c r="F227" s="177">
        <f t="shared" si="6"/>
        <v>0</v>
      </c>
      <c r="G227" s="177" t="str">
        <f>IF(IFERROR(IF(Str_TypeDonneesCpt5=Cpt_Index,Tab_Compteur_5[[#This Row],[Index]]-E226,Tab_Compteur_5[[#This Row],[Quantité]])/Tab_Compteur_5[[#This Row],[Delta Jour]],"")&lt;0,"",IFERROR(IF(Str_TypeDonneesCpt5=Cpt_Index,Tab_Compteur_5[[#This Row],[Index]]-E226,Tab_Compteur_5[[#This Row],[Quantité]])/Tab_Compteur_5[[#This Row],[Delta Jour]],""))</f>
        <v/>
      </c>
      <c r="H227" s="177" t="str">
        <f>IFERROR(Tab_Compteur_5[[#This Row],[Montant]]/Tab_Compteur_5[[#This Row],[Delta Jour]],"")</f>
        <v/>
      </c>
      <c r="I227" s="184" t="str">
        <f>IF(SUM(Tab_Compteur_5[[#This Row],[Quantité]],Tab_Compteur_5[[#This Row],[Index]])&lt;=0,"",G227)</f>
        <v/>
      </c>
      <c r="J227" s="185"/>
      <c r="K227" s="36"/>
      <c r="L227" s="36"/>
      <c r="M227" s="36"/>
    </row>
    <row r="228" spans="1:13">
      <c r="A228" s="2">
        <f t="shared" si="7"/>
        <v>1</v>
      </c>
      <c r="B228" s="501"/>
      <c r="C228" s="178"/>
      <c r="D228" s="491"/>
      <c r="E228" s="502"/>
      <c r="F228" s="177">
        <f t="shared" si="6"/>
        <v>0</v>
      </c>
      <c r="G228" s="177" t="str">
        <f>IF(IFERROR(IF(Str_TypeDonneesCpt5=Cpt_Index,Tab_Compteur_5[[#This Row],[Index]]-E227,Tab_Compteur_5[[#This Row],[Quantité]])/Tab_Compteur_5[[#This Row],[Delta Jour]],"")&lt;0,"",IFERROR(IF(Str_TypeDonneesCpt5=Cpt_Index,Tab_Compteur_5[[#This Row],[Index]]-E227,Tab_Compteur_5[[#This Row],[Quantité]])/Tab_Compteur_5[[#This Row],[Delta Jour]],""))</f>
        <v/>
      </c>
      <c r="H228" s="177" t="str">
        <f>IFERROR(Tab_Compteur_5[[#This Row],[Montant]]/Tab_Compteur_5[[#This Row],[Delta Jour]],"")</f>
        <v/>
      </c>
      <c r="I228" s="184" t="str">
        <f>IF(SUM(Tab_Compteur_5[[#This Row],[Quantité]],Tab_Compteur_5[[#This Row],[Index]])&lt;=0,"",G228)</f>
        <v/>
      </c>
      <c r="J228" s="185"/>
      <c r="K228" s="36"/>
      <c r="L228" s="36"/>
      <c r="M228" s="36"/>
    </row>
    <row r="229" spans="1:13">
      <c r="A229" s="2">
        <f t="shared" si="7"/>
        <v>1</v>
      </c>
      <c r="B229" s="501"/>
      <c r="C229" s="178"/>
      <c r="D229" s="491"/>
      <c r="E229" s="502"/>
      <c r="F229" s="177">
        <f t="shared" si="6"/>
        <v>0</v>
      </c>
      <c r="G229" s="177" t="str">
        <f>IF(IFERROR(IF(Str_TypeDonneesCpt5=Cpt_Index,Tab_Compteur_5[[#This Row],[Index]]-E228,Tab_Compteur_5[[#This Row],[Quantité]])/Tab_Compteur_5[[#This Row],[Delta Jour]],"")&lt;0,"",IFERROR(IF(Str_TypeDonneesCpt5=Cpt_Index,Tab_Compteur_5[[#This Row],[Index]]-E228,Tab_Compteur_5[[#This Row],[Quantité]])/Tab_Compteur_5[[#This Row],[Delta Jour]],""))</f>
        <v/>
      </c>
      <c r="H229" s="177" t="str">
        <f>IFERROR(Tab_Compteur_5[[#This Row],[Montant]]/Tab_Compteur_5[[#This Row],[Delta Jour]],"")</f>
        <v/>
      </c>
      <c r="I229" s="184" t="str">
        <f>IF(SUM(Tab_Compteur_5[[#This Row],[Quantité]],Tab_Compteur_5[[#This Row],[Index]])&lt;=0,"",G229)</f>
        <v/>
      </c>
      <c r="J229" s="185"/>
      <c r="K229" s="36"/>
      <c r="L229" s="36"/>
      <c r="M229" s="36"/>
    </row>
    <row r="230" spans="1:13">
      <c r="A230" s="2">
        <f t="shared" si="7"/>
        <v>1</v>
      </c>
      <c r="B230" s="501"/>
      <c r="C230" s="178"/>
      <c r="D230" s="491"/>
      <c r="E230" s="502"/>
      <c r="F230" s="177">
        <f t="shared" si="6"/>
        <v>0</v>
      </c>
      <c r="G230" s="177" t="str">
        <f>IF(IFERROR(IF(Str_TypeDonneesCpt5=Cpt_Index,Tab_Compteur_5[[#This Row],[Index]]-E229,Tab_Compteur_5[[#This Row],[Quantité]])/Tab_Compteur_5[[#This Row],[Delta Jour]],"")&lt;0,"",IFERROR(IF(Str_TypeDonneesCpt5=Cpt_Index,Tab_Compteur_5[[#This Row],[Index]]-E229,Tab_Compteur_5[[#This Row],[Quantité]])/Tab_Compteur_5[[#This Row],[Delta Jour]],""))</f>
        <v/>
      </c>
      <c r="H230" s="177" t="str">
        <f>IFERROR(Tab_Compteur_5[[#This Row],[Montant]]/Tab_Compteur_5[[#This Row],[Delta Jour]],"")</f>
        <v/>
      </c>
      <c r="I230" s="184" t="str">
        <f>IF(SUM(Tab_Compteur_5[[#This Row],[Quantité]],Tab_Compteur_5[[#This Row],[Index]])&lt;=0,"",G230)</f>
        <v/>
      </c>
      <c r="J230" s="185"/>
      <c r="K230" s="36"/>
      <c r="L230" s="36"/>
      <c r="M230" s="36"/>
    </row>
    <row r="231" spans="1:13">
      <c r="A231" s="2">
        <f t="shared" si="7"/>
        <v>1</v>
      </c>
      <c r="B231" s="501"/>
      <c r="C231" s="178"/>
      <c r="D231" s="491"/>
      <c r="E231" s="502"/>
      <c r="F231" s="177">
        <f t="shared" si="6"/>
        <v>0</v>
      </c>
      <c r="G231" s="177" t="str">
        <f>IF(IFERROR(IF(Str_TypeDonneesCpt5=Cpt_Index,Tab_Compteur_5[[#This Row],[Index]]-E230,Tab_Compteur_5[[#This Row],[Quantité]])/Tab_Compteur_5[[#This Row],[Delta Jour]],"")&lt;0,"",IFERROR(IF(Str_TypeDonneesCpt5=Cpt_Index,Tab_Compteur_5[[#This Row],[Index]]-E230,Tab_Compteur_5[[#This Row],[Quantité]])/Tab_Compteur_5[[#This Row],[Delta Jour]],""))</f>
        <v/>
      </c>
      <c r="H231" s="177" t="str">
        <f>IFERROR(Tab_Compteur_5[[#This Row],[Montant]]/Tab_Compteur_5[[#This Row],[Delta Jour]],"")</f>
        <v/>
      </c>
      <c r="I231" s="184" t="str">
        <f>IF(SUM(Tab_Compteur_5[[#This Row],[Quantité]],Tab_Compteur_5[[#This Row],[Index]])&lt;=0,"",G231)</f>
        <v/>
      </c>
      <c r="J231" s="185"/>
      <c r="K231" s="36"/>
      <c r="L231" s="36"/>
      <c r="M231" s="36"/>
    </row>
    <row r="232" spans="1:13">
      <c r="A232" s="2">
        <f t="shared" si="7"/>
        <v>1</v>
      </c>
      <c r="B232" s="501"/>
      <c r="C232" s="178"/>
      <c r="D232" s="491"/>
      <c r="E232" s="502"/>
      <c r="F232" s="177">
        <f t="shared" si="6"/>
        <v>0</v>
      </c>
      <c r="G232" s="177" t="str">
        <f>IF(IFERROR(IF(Str_TypeDonneesCpt5=Cpt_Index,Tab_Compteur_5[[#This Row],[Index]]-E231,Tab_Compteur_5[[#This Row],[Quantité]])/Tab_Compteur_5[[#This Row],[Delta Jour]],"")&lt;0,"",IFERROR(IF(Str_TypeDonneesCpt5=Cpt_Index,Tab_Compteur_5[[#This Row],[Index]]-E231,Tab_Compteur_5[[#This Row],[Quantité]])/Tab_Compteur_5[[#This Row],[Delta Jour]],""))</f>
        <v/>
      </c>
      <c r="H232" s="177" t="str">
        <f>IFERROR(Tab_Compteur_5[[#This Row],[Montant]]/Tab_Compteur_5[[#This Row],[Delta Jour]],"")</f>
        <v/>
      </c>
      <c r="I232" s="184" t="str">
        <f>IF(SUM(Tab_Compteur_5[[#This Row],[Quantité]],Tab_Compteur_5[[#This Row],[Index]])&lt;=0,"",G232)</f>
        <v/>
      </c>
      <c r="J232" s="185"/>
      <c r="K232" s="36"/>
      <c r="L232" s="36"/>
      <c r="M232" s="36"/>
    </row>
    <row r="233" spans="1:13">
      <c r="A233" s="2">
        <f t="shared" si="7"/>
        <v>1</v>
      </c>
      <c r="B233" s="501"/>
      <c r="C233" s="178"/>
      <c r="D233" s="491"/>
      <c r="E233" s="502"/>
      <c r="F233" s="177">
        <f t="shared" si="6"/>
        <v>0</v>
      </c>
      <c r="G233" s="177" t="str">
        <f>IF(IFERROR(IF(Str_TypeDonneesCpt5=Cpt_Index,Tab_Compteur_5[[#This Row],[Index]]-E232,Tab_Compteur_5[[#This Row],[Quantité]])/Tab_Compteur_5[[#This Row],[Delta Jour]],"")&lt;0,"",IFERROR(IF(Str_TypeDonneesCpt5=Cpt_Index,Tab_Compteur_5[[#This Row],[Index]]-E232,Tab_Compteur_5[[#This Row],[Quantité]])/Tab_Compteur_5[[#This Row],[Delta Jour]],""))</f>
        <v/>
      </c>
      <c r="H233" s="177" t="str">
        <f>IFERROR(Tab_Compteur_5[[#This Row],[Montant]]/Tab_Compteur_5[[#This Row],[Delta Jour]],"")</f>
        <v/>
      </c>
      <c r="I233" s="184" t="str">
        <f>IF(SUM(Tab_Compteur_5[[#This Row],[Quantité]],Tab_Compteur_5[[#This Row],[Index]])&lt;=0,"",G233)</f>
        <v/>
      </c>
      <c r="J233" s="185"/>
      <c r="K233" s="36"/>
      <c r="L233" s="36"/>
      <c r="M233" s="36"/>
    </row>
    <row r="234" spans="1:13">
      <c r="A234" s="2">
        <f t="shared" si="7"/>
        <v>1</v>
      </c>
      <c r="B234" s="501"/>
      <c r="C234" s="178"/>
      <c r="D234" s="491"/>
      <c r="E234" s="502"/>
      <c r="F234" s="177">
        <f t="shared" si="6"/>
        <v>0</v>
      </c>
      <c r="G234" s="177" t="str">
        <f>IF(IFERROR(IF(Str_TypeDonneesCpt5=Cpt_Index,Tab_Compteur_5[[#This Row],[Index]]-E233,Tab_Compteur_5[[#This Row],[Quantité]])/Tab_Compteur_5[[#This Row],[Delta Jour]],"")&lt;0,"",IFERROR(IF(Str_TypeDonneesCpt5=Cpt_Index,Tab_Compteur_5[[#This Row],[Index]]-E233,Tab_Compteur_5[[#This Row],[Quantité]])/Tab_Compteur_5[[#This Row],[Delta Jour]],""))</f>
        <v/>
      </c>
      <c r="H234" s="177" t="str">
        <f>IFERROR(Tab_Compteur_5[[#This Row],[Montant]]/Tab_Compteur_5[[#This Row],[Delta Jour]],"")</f>
        <v/>
      </c>
      <c r="I234" s="184" t="str">
        <f>IF(SUM(Tab_Compteur_5[[#This Row],[Quantité]],Tab_Compteur_5[[#This Row],[Index]])&lt;=0,"",G234)</f>
        <v/>
      </c>
      <c r="J234" s="185"/>
      <c r="K234" s="36"/>
      <c r="L234" s="36"/>
      <c r="M234" s="36"/>
    </row>
    <row r="235" spans="1:13">
      <c r="A235" s="2">
        <f t="shared" si="7"/>
        <v>1</v>
      </c>
      <c r="B235" s="501"/>
      <c r="C235" s="178"/>
      <c r="D235" s="491"/>
      <c r="E235" s="502"/>
      <c r="F235" s="177">
        <f t="shared" si="6"/>
        <v>0</v>
      </c>
      <c r="G235" s="177" t="str">
        <f>IF(IFERROR(IF(Str_TypeDonneesCpt5=Cpt_Index,Tab_Compteur_5[[#This Row],[Index]]-E234,Tab_Compteur_5[[#This Row],[Quantité]])/Tab_Compteur_5[[#This Row],[Delta Jour]],"")&lt;0,"",IFERROR(IF(Str_TypeDonneesCpt5=Cpt_Index,Tab_Compteur_5[[#This Row],[Index]]-E234,Tab_Compteur_5[[#This Row],[Quantité]])/Tab_Compteur_5[[#This Row],[Delta Jour]],""))</f>
        <v/>
      </c>
      <c r="H235" s="177" t="str">
        <f>IFERROR(Tab_Compteur_5[[#This Row],[Montant]]/Tab_Compteur_5[[#This Row],[Delta Jour]],"")</f>
        <v/>
      </c>
      <c r="I235" s="184" t="str">
        <f>IF(SUM(Tab_Compteur_5[[#This Row],[Quantité]],Tab_Compteur_5[[#This Row],[Index]])&lt;=0,"",G235)</f>
        <v/>
      </c>
      <c r="J235" s="185"/>
      <c r="K235" s="36"/>
      <c r="L235" s="36"/>
      <c r="M235" s="36"/>
    </row>
    <row r="236" spans="1:13">
      <c r="A236" s="2">
        <f t="shared" si="7"/>
        <v>1</v>
      </c>
      <c r="B236" s="501"/>
      <c r="C236" s="178"/>
      <c r="D236" s="491"/>
      <c r="E236" s="502"/>
      <c r="F236" s="177">
        <f t="shared" si="6"/>
        <v>0</v>
      </c>
      <c r="G236" s="177" t="str">
        <f>IF(IFERROR(IF(Str_TypeDonneesCpt5=Cpt_Index,Tab_Compteur_5[[#This Row],[Index]]-E235,Tab_Compteur_5[[#This Row],[Quantité]])/Tab_Compteur_5[[#This Row],[Delta Jour]],"")&lt;0,"",IFERROR(IF(Str_TypeDonneesCpt5=Cpt_Index,Tab_Compteur_5[[#This Row],[Index]]-E235,Tab_Compteur_5[[#This Row],[Quantité]])/Tab_Compteur_5[[#This Row],[Delta Jour]],""))</f>
        <v/>
      </c>
      <c r="H236" s="177" t="str">
        <f>IFERROR(Tab_Compteur_5[[#This Row],[Montant]]/Tab_Compteur_5[[#This Row],[Delta Jour]],"")</f>
        <v/>
      </c>
      <c r="I236" s="184" t="str">
        <f>IF(SUM(Tab_Compteur_5[[#This Row],[Quantité]],Tab_Compteur_5[[#This Row],[Index]])&lt;=0,"",G236)</f>
        <v/>
      </c>
      <c r="J236" s="185"/>
      <c r="K236" s="36"/>
      <c r="L236" s="36"/>
      <c r="M236" s="36"/>
    </row>
    <row r="237" spans="1:13">
      <c r="A237" s="2">
        <f t="shared" si="7"/>
        <v>1</v>
      </c>
      <c r="B237" s="501"/>
      <c r="C237" s="178"/>
      <c r="D237" s="491"/>
      <c r="E237" s="502"/>
      <c r="F237" s="177">
        <f t="shared" si="6"/>
        <v>0</v>
      </c>
      <c r="G237" s="177" t="str">
        <f>IF(IFERROR(IF(Str_TypeDonneesCpt5=Cpt_Index,Tab_Compteur_5[[#This Row],[Index]]-E236,Tab_Compteur_5[[#This Row],[Quantité]])/Tab_Compteur_5[[#This Row],[Delta Jour]],"")&lt;0,"",IFERROR(IF(Str_TypeDonneesCpt5=Cpt_Index,Tab_Compteur_5[[#This Row],[Index]]-E236,Tab_Compteur_5[[#This Row],[Quantité]])/Tab_Compteur_5[[#This Row],[Delta Jour]],""))</f>
        <v/>
      </c>
      <c r="H237" s="177" t="str">
        <f>IFERROR(Tab_Compteur_5[[#This Row],[Montant]]/Tab_Compteur_5[[#This Row],[Delta Jour]],"")</f>
        <v/>
      </c>
      <c r="I237" s="184" t="str">
        <f>IF(SUM(Tab_Compteur_5[[#This Row],[Quantité]],Tab_Compteur_5[[#This Row],[Index]])&lt;=0,"",G237)</f>
        <v/>
      </c>
      <c r="J237" s="185"/>
      <c r="K237" s="36"/>
      <c r="L237" s="36"/>
      <c r="M237" s="36"/>
    </row>
    <row r="238" spans="1:13">
      <c r="A238" s="2">
        <f t="shared" si="7"/>
        <v>1</v>
      </c>
      <c r="B238" s="501"/>
      <c r="C238" s="178"/>
      <c r="D238" s="491"/>
      <c r="E238" s="502"/>
      <c r="F238" s="177">
        <f t="shared" si="6"/>
        <v>0</v>
      </c>
      <c r="G238" s="177" t="str">
        <f>IF(IFERROR(IF(Str_TypeDonneesCpt5=Cpt_Index,Tab_Compteur_5[[#This Row],[Index]]-E237,Tab_Compteur_5[[#This Row],[Quantité]])/Tab_Compteur_5[[#This Row],[Delta Jour]],"")&lt;0,"",IFERROR(IF(Str_TypeDonneesCpt5=Cpt_Index,Tab_Compteur_5[[#This Row],[Index]]-E237,Tab_Compteur_5[[#This Row],[Quantité]])/Tab_Compteur_5[[#This Row],[Delta Jour]],""))</f>
        <v/>
      </c>
      <c r="H238" s="177" t="str">
        <f>IFERROR(Tab_Compteur_5[[#This Row],[Montant]]/Tab_Compteur_5[[#This Row],[Delta Jour]],"")</f>
        <v/>
      </c>
      <c r="I238" s="184" t="str">
        <f>IF(SUM(Tab_Compteur_5[[#This Row],[Quantité]],Tab_Compteur_5[[#This Row],[Index]])&lt;=0,"",G238)</f>
        <v/>
      </c>
      <c r="J238" s="185"/>
      <c r="K238" s="36"/>
      <c r="L238" s="36"/>
      <c r="M238" s="36"/>
    </row>
    <row r="239" spans="1:13">
      <c r="A239" s="2">
        <f t="shared" si="7"/>
        <v>1</v>
      </c>
      <c r="B239" s="501"/>
      <c r="C239" s="178"/>
      <c r="D239" s="491"/>
      <c r="E239" s="502"/>
      <c r="F239" s="177">
        <f t="shared" si="6"/>
        <v>0</v>
      </c>
      <c r="G239" s="177" t="str">
        <f>IF(IFERROR(IF(Str_TypeDonneesCpt5=Cpt_Index,Tab_Compteur_5[[#This Row],[Index]]-E238,Tab_Compteur_5[[#This Row],[Quantité]])/Tab_Compteur_5[[#This Row],[Delta Jour]],"")&lt;0,"",IFERROR(IF(Str_TypeDonneesCpt5=Cpt_Index,Tab_Compteur_5[[#This Row],[Index]]-E238,Tab_Compteur_5[[#This Row],[Quantité]])/Tab_Compteur_5[[#This Row],[Delta Jour]],""))</f>
        <v/>
      </c>
      <c r="H239" s="177" t="str">
        <f>IFERROR(Tab_Compteur_5[[#This Row],[Montant]]/Tab_Compteur_5[[#This Row],[Delta Jour]],"")</f>
        <v/>
      </c>
      <c r="I239" s="184" t="str">
        <f>IF(SUM(Tab_Compteur_5[[#This Row],[Quantité]],Tab_Compteur_5[[#This Row],[Index]])&lt;=0,"",G239)</f>
        <v/>
      </c>
      <c r="J239" s="185"/>
      <c r="K239" s="36"/>
      <c r="L239" s="36"/>
      <c r="M239" s="36"/>
    </row>
    <row r="240" spans="1:13">
      <c r="A240" s="2">
        <f t="shared" si="7"/>
        <v>1</v>
      </c>
      <c r="B240" s="501"/>
      <c r="C240" s="178"/>
      <c r="D240" s="491"/>
      <c r="E240" s="502"/>
      <c r="F240" s="177">
        <f t="shared" si="6"/>
        <v>0</v>
      </c>
      <c r="G240" s="177" t="str">
        <f>IF(IFERROR(IF(Str_TypeDonneesCpt5=Cpt_Index,Tab_Compteur_5[[#This Row],[Index]]-E239,Tab_Compteur_5[[#This Row],[Quantité]])/Tab_Compteur_5[[#This Row],[Delta Jour]],"")&lt;0,"",IFERROR(IF(Str_TypeDonneesCpt5=Cpt_Index,Tab_Compteur_5[[#This Row],[Index]]-E239,Tab_Compteur_5[[#This Row],[Quantité]])/Tab_Compteur_5[[#This Row],[Delta Jour]],""))</f>
        <v/>
      </c>
      <c r="H240" s="177" t="str">
        <f>IFERROR(Tab_Compteur_5[[#This Row],[Montant]]/Tab_Compteur_5[[#This Row],[Delta Jour]],"")</f>
        <v/>
      </c>
      <c r="I240" s="184" t="str">
        <f>IF(SUM(Tab_Compteur_5[[#This Row],[Quantité]],Tab_Compteur_5[[#This Row],[Index]])&lt;=0,"",G240)</f>
        <v/>
      </c>
      <c r="J240" s="185"/>
      <c r="K240" s="36"/>
      <c r="L240" s="36"/>
      <c r="M240" s="36"/>
    </row>
    <row r="241" spans="1:13">
      <c r="A241" s="2">
        <f t="shared" si="7"/>
        <v>1</v>
      </c>
      <c r="B241" s="501"/>
      <c r="C241" s="178"/>
      <c r="D241" s="491"/>
      <c r="E241" s="502"/>
      <c r="F241" s="177">
        <f t="shared" si="6"/>
        <v>0</v>
      </c>
      <c r="G241" s="177" t="str">
        <f>IF(IFERROR(IF(Str_TypeDonneesCpt5=Cpt_Index,Tab_Compteur_5[[#This Row],[Index]]-E240,Tab_Compteur_5[[#This Row],[Quantité]])/Tab_Compteur_5[[#This Row],[Delta Jour]],"")&lt;0,"",IFERROR(IF(Str_TypeDonneesCpt5=Cpt_Index,Tab_Compteur_5[[#This Row],[Index]]-E240,Tab_Compteur_5[[#This Row],[Quantité]])/Tab_Compteur_5[[#This Row],[Delta Jour]],""))</f>
        <v/>
      </c>
      <c r="H241" s="177" t="str">
        <f>IFERROR(Tab_Compteur_5[[#This Row],[Montant]]/Tab_Compteur_5[[#This Row],[Delta Jour]],"")</f>
        <v/>
      </c>
      <c r="I241" s="184" t="str">
        <f>IF(SUM(Tab_Compteur_5[[#This Row],[Quantité]],Tab_Compteur_5[[#This Row],[Index]])&lt;=0,"",G241)</f>
        <v/>
      </c>
      <c r="J241" s="185"/>
      <c r="K241" s="36"/>
      <c r="L241" s="36"/>
      <c r="M241" s="36"/>
    </row>
    <row r="242" spans="1:13">
      <c r="A242" s="2">
        <f t="shared" si="7"/>
        <v>1</v>
      </c>
      <c r="B242" s="501"/>
      <c r="C242" s="178"/>
      <c r="D242" s="491"/>
      <c r="E242" s="502"/>
      <c r="F242" s="177">
        <f t="shared" si="6"/>
        <v>0</v>
      </c>
      <c r="G242" s="177" t="str">
        <f>IF(IFERROR(IF(Str_TypeDonneesCpt5=Cpt_Index,Tab_Compteur_5[[#This Row],[Index]]-E241,Tab_Compteur_5[[#This Row],[Quantité]])/Tab_Compteur_5[[#This Row],[Delta Jour]],"")&lt;0,"",IFERROR(IF(Str_TypeDonneesCpt5=Cpt_Index,Tab_Compteur_5[[#This Row],[Index]]-E241,Tab_Compteur_5[[#This Row],[Quantité]])/Tab_Compteur_5[[#This Row],[Delta Jour]],""))</f>
        <v/>
      </c>
      <c r="H242" s="177" t="str">
        <f>IFERROR(Tab_Compteur_5[[#This Row],[Montant]]/Tab_Compteur_5[[#This Row],[Delta Jour]],"")</f>
        <v/>
      </c>
      <c r="I242" s="184" t="str">
        <f>IF(SUM(Tab_Compteur_5[[#This Row],[Quantité]],Tab_Compteur_5[[#This Row],[Index]])&lt;=0,"",G242)</f>
        <v/>
      </c>
      <c r="J242" s="185"/>
      <c r="K242" s="36"/>
      <c r="L242" s="36"/>
      <c r="M242" s="36"/>
    </row>
    <row r="243" spans="1:13">
      <c r="A243" s="2">
        <f t="shared" si="7"/>
        <v>1</v>
      </c>
      <c r="B243" s="501"/>
      <c r="C243" s="178"/>
      <c r="D243" s="491"/>
      <c r="E243" s="502"/>
      <c r="F243" s="177">
        <f t="shared" si="6"/>
        <v>0</v>
      </c>
      <c r="G243" s="177" t="str">
        <f>IF(IFERROR(IF(Str_TypeDonneesCpt5=Cpt_Index,Tab_Compteur_5[[#This Row],[Index]]-E242,Tab_Compteur_5[[#This Row],[Quantité]])/Tab_Compteur_5[[#This Row],[Delta Jour]],"")&lt;0,"",IFERROR(IF(Str_TypeDonneesCpt5=Cpt_Index,Tab_Compteur_5[[#This Row],[Index]]-E242,Tab_Compteur_5[[#This Row],[Quantité]])/Tab_Compteur_5[[#This Row],[Delta Jour]],""))</f>
        <v/>
      </c>
      <c r="H243" s="177" t="str">
        <f>IFERROR(Tab_Compteur_5[[#This Row],[Montant]]/Tab_Compteur_5[[#This Row],[Delta Jour]],"")</f>
        <v/>
      </c>
      <c r="I243" s="184" t="str">
        <f>IF(SUM(Tab_Compteur_5[[#This Row],[Quantité]],Tab_Compteur_5[[#This Row],[Index]])&lt;=0,"",G243)</f>
        <v/>
      </c>
      <c r="J243" s="185"/>
      <c r="K243" s="36"/>
      <c r="L243" s="36"/>
      <c r="M243" s="36"/>
    </row>
  </sheetData>
  <sheetProtection sheet="1" objects="1" scenarios="1" selectLockedCells="1"/>
  <protectedRanges>
    <protectedRange sqref="C6:D143 A4:D5 A6:B243" name="Données_compteur5_1"/>
    <protectedRange sqref="L2:M2 K5:M8 J34:M243 J9:M10 K3:M3 J2:J8 C144:D243 K244:N1048576" name="Données_compteur5"/>
    <protectedRange sqref="J11:M33" name="Données_compteur3_3_1"/>
    <protectedRange sqref="E2" name="Compteur_1_1"/>
    <protectedRange sqref="I2" name="Compteur_1_1_1"/>
    <protectedRange sqref="K4:L4" name="Compteur_1"/>
    <protectedRange sqref="L1 E1 I1" name="Compteur_1_2"/>
  </protectedRanges>
  <mergeCells count="2">
    <mergeCell ref="L2:M2"/>
    <mergeCell ref="K11:M33"/>
  </mergeCells>
  <conditionalFormatting sqref="B4:B243">
    <cfRule type="expression" dxfId="67" priority="1">
      <formula>$B4&lt;$A4</formula>
    </cfRule>
  </conditionalFormatting>
  <pageMargins left="0.7" right="0.7" top="0.75" bottom="0.75" header="0.3" footer="0.3"/>
  <pageSetup paperSize="9" orientation="portrait" r:id="rId1"/>
  <drawing r:id="rId2"/>
  <legacyDrawing r:id="rId3"/>
  <tableParts count="1">
    <tablePart r:id="rId4"/>
  </tablePart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9"/>
  <dimension ref="A1:O243"/>
  <sheetViews>
    <sheetView workbookViewId="0">
      <pane ySplit="3" topLeftCell="A4" activePane="bottomLeft" state="frozen"/>
      <selection pane="bottomLeft" activeCell="B4" sqref="B4"/>
    </sheetView>
  </sheetViews>
  <sheetFormatPr baseColWidth="10" defaultColWidth="0" defaultRowHeight="14.5" zeroHeight="1"/>
  <cols>
    <col min="1" max="1" width="19.81640625" customWidth="1"/>
    <col min="2" max="2" width="17.08984375" style="177" customWidth="1"/>
    <col min="3" max="3" width="13.81640625" customWidth="1"/>
    <col min="4" max="4" width="15.36328125" style="492" customWidth="1"/>
    <col min="5" max="5" width="11.36328125" customWidth="1"/>
    <col min="6" max="6" width="11.6328125" hidden="1" customWidth="1"/>
    <col min="7" max="8" width="11.36328125" hidden="1" customWidth="1"/>
    <col min="9" max="9" width="10.81640625" customWidth="1"/>
    <col min="10" max="10" width="14" customWidth="1"/>
    <col min="11" max="11" width="21.7265625" customWidth="1"/>
    <col min="12" max="13" width="11.36328125" customWidth="1"/>
    <col min="14" max="14" width="21.7265625" customWidth="1"/>
    <col min="15" max="15" width="0" hidden="1" customWidth="1"/>
    <col min="16" max="16384" width="11.36328125" hidden="1"/>
  </cols>
  <sheetData>
    <row r="1" spans="1:13" ht="31.15" customHeight="1">
      <c r="A1" s="55" t="s">
        <v>393</v>
      </c>
      <c r="B1" s="199" t="s">
        <v>394</v>
      </c>
      <c r="C1" s="122" t="s">
        <v>395</v>
      </c>
      <c r="D1" s="510" t="str">
        <f>CONCATENATE("Montant ",Controle_des_données!$A$40)</f>
        <v>Montant 0</v>
      </c>
      <c r="E1" s="28" t="s">
        <v>214</v>
      </c>
      <c r="F1" s="27" t="s">
        <v>396</v>
      </c>
      <c r="G1" s="28" t="s">
        <v>397</v>
      </c>
      <c r="H1" s="28" t="s">
        <v>398</v>
      </c>
      <c r="I1" s="28" t="s">
        <v>399</v>
      </c>
      <c r="J1" s="172" t="s">
        <v>400</v>
      </c>
      <c r="K1" s="164" t="s">
        <v>19</v>
      </c>
      <c r="L1" s="170" t="str">
        <f>IF(Site!C43="", "Compteur 6",Site!C43)</f>
        <v>Compteur 6</v>
      </c>
    </row>
    <row r="2" spans="1:13" ht="20.25" hidden="1" customHeight="1">
      <c r="A2" s="26" t="s">
        <v>393</v>
      </c>
      <c r="B2" s="82" t="s">
        <v>394</v>
      </c>
      <c r="C2" s="56" t="s">
        <v>395</v>
      </c>
      <c r="D2" s="489" t="s">
        <v>428</v>
      </c>
      <c r="E2" s="28" t="s">
        <v>214</v>
      </c>
      <c r="F2" s="27" t="s">
        <v>396</v>
      </c>
      <c r="G2" s="39" t="s">
        <v>397</v>
      </c>
      <c r="H2" s="40" t="s">
        <v>398</v>
      </c>
      <c r="I2" s="27" t="s">
        <v>399</v>
      </c>
      <c r="J2" s="39" t="s">
        <v>400</v>
      </c>
      <c r="K2" s="164"/>
      <c r="L2" s="824"/>
      <c r="M2" s="825"/>
    </row>
    <row r="3" spans="1:13" hidden="1">
      <c r="A3" s="2"/>
      <c r="B3" s="203">
        <f>A4-1</f>
        <v>-1</v>
      </c>
      <c r="C3" s="54">
        <v>0</v>
      </c>
      <c r="D3" s="492">
        <v>0</v>
      </c>
      <c r="F3">
        <f t="shared" ref="F3:F66" si="0">IFERROR(B3-A3+1,"")</f>
        <v>0</v>
      </c>
      <c r="G3">
        <v>0</v>
      </c>
      <c r="H3">
        <v>0</v>
      </c>
      <c r="I3" s="191" t="str">
        <f>IF(SUM(Tab_Compteur_6[[#This Row],[Quantité]],Tab_Compteur_6[[#This Row],[Index]])&lt;=0,"",G3)</f>
        <v/>
      </c>
      <c r="J3" s="36"/>
      <c r="K3" s="36"/>
      <c r="L3" s="36"/>
      <c r="M3" s="36"/>
    </row>
    <row r="4" spans="1:13">
      <c r="A4" s="53">
        <f>Site!I43</f>
        <v>0</v>
      </c>
      <c r="B4" s="501"/>
      <c r="C4" s="180"/>
      <c r="D4" s="495"/>
      <c r="E4" s="502"/>
      <c r="F4" s="177">
        <f t="shared" si="0"/>
        <v>1</v>
      </c>
      <c r="G4" s="177">
        <f>IF(IFERROR(IF(Str_TypeDonneesCpt6=Cpt_Index,Tab_Compteur_6[[#This Row],[Index]]-L4,Tab_Compteur_6[[#This Row],[Quantité]])/Tab_Compteur_6[[#This Row],[Delta Jour]],"")&lt;0,"",IFERROR(IF(Str_TypeDonneesCpt6=Cpt_Index,Tab_Compteur_6[[#This Row],[Index]]-L4,Tab_Compteur_6[[#This Row],[Quantité]])/Tab_Compteur_6[[#This Row],[Delta Jour]],""))</f>
        <v>0</v>
      </c>
      <c r="H4" s="177">
        <f>IFERROR(Tab_Compteur_6[[#This Row],[Montant]]/Tab_Compteur_6[[#This Row],[Delta Jour]],"")</f>
        <v>0</v>
      </c>
      <c r="I4" s="188" t="str">
        <f>IF(SUM(Tab_Compteur_6[[#This Row],[Quantité]],Tab_Compteur_6[[#This Row],[Index]])&lt;=0,"",G4)</f>
        <v/>
      </c>
      <c r="J4" s="185"/>
      <c r="K4" s="192" t="s">
        <v>401</v>
      </c>
      <c r="L4" s="444">
        <v>0</v>
      </c>
    </row>
    <row r="5" spans="1:13">
      <c r="A5" s="53">
        <f>IFERROR(B4+1,0)</f>
        <v>1</v>
      </c>
      <c r="B5" s="501"/>
      <c r="C5" s="180"/>
      <c r="D5" s="495"/>
      <c r="E5" s="502"/>
      <c r="F5" s="177">
        <f t="shared" si="0"/>
        <v>0</v>
      </c>
      <c r="G5" s="177" t="str">
        <f>IF(IFERROR(IF(Str_TypeDonneesCpt6=Cpt_Index,Tab_Compteur_6[[#This Row],[Index]]-E4,Tab_Compteur_6[[#This Row],[Quantité]])/Tab_Compteur_6[[#This Row],[Delta Jour]],"")&lt;0,"",IFERROR(IF(Str_TypeDonneesCpt6=Cpt_Index,Tab_Compteur_6[[#This Row],[Index]]-E4,Tab_Compteur_6[[#This Row],[Quantité]])/Tab_Compteur_6[[#This Row],[Delta Jour]],""))</f>
        <v/>
      </c>
      <c r="H5" s="177" t="str">
        <f>IFERROR(Tab_Compteur_6[[#This Row],[Montant]]/Tab_Compteur_6[[#This Row],[Delta Jour]],"")</f>
        <v/>
      </c>
      <c r="I5" s="188" t="str">
        <f>IF(SUM(Tab_Compteur_6[[#This Row],[Quantité]],Tab_Compteur_6[[#This Row],[Index]])&lt;=0,"",G5)</f>
        <v/>
      </c>
      <c r="J5" s="185"/>
      <c r="K5" s="36"/>
      <c r="L5" s="36"/>
      <c r="M5" s="36"/>
    </row>
    <row r="6" spans="1:13">
      <c r="A6" s="53">
        <f t="shared" ref="A6:A69" si="1">IFERROR(B5+1,0)</f>
        <v>1</v>
      </c>
      <c r="B6" s="501"/>
      <c r="C6" s="180"/>
      <c r="D6" s="495"/>
      <c r="E6" s="502"/>
      <c r="F6" s="177">
        <f t="shared" si="0"/>
        <v>0</v>
      </c>
      <c r="G6" s="177" t="str">
        <f>IF(IFERROR(IF(Str_TypeDonneesCpt6=Cpt_Index,Tab_Compteur_6[[#This Row],[Index]]-E5,Tab_Compteur_6[[#This Row],[Quantité]])/Tab_Compteur_6[[#This Row],[Delta Jour]],"")&lt;0,"",IFERROR(IF(Str_TypeDonneesCpt6=Cpt_Index,Tab_Compteur_6[[#This Row],[Index]]-E5,Tab_Compteur_6[[#This Row],[Quantité]])/Tab_Compteur_6[[#This Row],[Delta Jour]],""))</f>
        <v/>
      </c>
      <c r="H6" s="177" t="str">
        <f>IFERROR(Tab_Compteur_6[[#This Row],[Montant]]/Tab_Compteur_6[[#This Row],[Delta Jour]],"")</f>
        <v/>
      </c>
      <c r="I6" s="188" t="str">
        <f>IF(SUM(Tab_Compteur_6[[#This Row],[Quantité]],Tab_Compteur_6[[#This Row],[Index]])&lt;=0,"",G6)</f>
        <v/>
      </c>
      <c r="J6" s="185"/>
      <c r="K6" s="36"/>
      <c r="L6" s="36"/>
      <c r="M6" s="36"/>
    </row>
    <row r="7" spans="1:13">
      <c r="A7" s="53">
        <f t="shared" si="1"/>
        <v>1</v>
      </c>
      <c r="B7" s="501"/>
      <c r="C7" s="180"/>
      <c r="D7" s="495"/>
      <c r="E7" s="502"/>
      <c r="F7" s="177">
        <f t="shared" si="0"/>
        <v>0</v>
      </c>
      <c r="G7" s="177" t="str">
        <f>IF(IFERROR(IF(Str_TypeDonneesCpt6=Cpt_Index,Tab_Compteur_6[[#This Row],[Index]]-E6,Tab_Compteur_6[[#This Row],[Quantité]])/Tab_Compteur_6[[#This Row],[Delta Jour]],"")&lt;0,"",IFERROR(IF(Str_TypeDonneesCpt6=Cpt_Index,Tab_Compteur_6[[#This Row],[Index]]-E6,Tab_Compteur_6[[#This Row],[Quantité]])/Tab_Compteur_6[[#This Row],[Delta Jour]],""))</f>
        <v/>
      </c>
      <c r="H7" s="177" t="str">
        <f>IFERROR(Tab_Compteur_6[[#This Row],[Montant]]/Tab_Compteur_6[[#This Row],[Delta Jour]],"")</f>
        <v/>
      </c>
      <c r="I7" s="188" t="str">
        <f>IF(SUM(Tab_Compteur_6[[#This Row],[Quantité]],Tab_Compteur_6[[#This Row],[Index]])&lt;=0,"",G7)</f>
        <v/>
      </c>
      <c r="J7" s="185"/>
      <c r="K7" s="36"/>
      <c r="L7" s="36"/>
      <c r="M7" s="36"/>
    </row>
    <row r="8" spans="1:13">
      <c r="A8" s="53">
        <f t="shared" si="1"/>
        <v>1</v>
      </c>
      <c r="B8" s="501"/>
      <c r="C8" s="180"/>
      <c r="D8" s="495"/>
      <c r="E8" s="502"/>
      <c r="F8" s="177">
        <f t="shared" si="0"/>
        <v>0</v>
      </c>
      <c r="G8" s="177" t="str">
        <f>IF(IFERROR(IF(Str_TypeDonneesCpt6=Cpt_Index,Tab_Compteur_6[[#This Row],[Index]]-E7,Tab_Compteur_6[[#This Row],[Quantité]])/Tab_Compteur_6[[#This Row],[Delta Jour]],"")&lt;0,"",IFERROR(IF(Str_TypeDonneesCpt6=Cpt_Index,Tab_Compteur_6[[#This Row],[Index]]-E7,Tab_Compteur_6[[#This Row],[Quantité]])/Tab_Compteur_6[[#This Row],[Delta Jour]],""))</f>
        <v/>
      </c>
      <c r="H8" s="177" t="str">
        <f>IFERROR(Tab_Compteur_6[[#This Row],[Montant]]/Tab_Compteur_6[[#This Row],[Delta Jour]],"")</f>
        <v/>
      </c>
      <c r="I8" s="188" t="str">
        <f>IF(SUM(Tab_Compteur_6[[#This Row],[Quantité]],Tab_Compteur_6[[#This Row],[Index]])&lt;=0,"",G8)</f>
        <v/>
      </c>
      <c r="J8" s="185"/>
      <c r="K8" s="165"/>
      <c r="L8" s="165"/>
      <c r="M8" s="165"/>
    </row>
    <row r="9" spans="1:13">
      <c r="A9" s="53">
        <f t="shared" si="1"/>
        <v>1</v>
      </c>
      <c r="B9" s="501"/>
      <c r="C9" s="180"/>
      <c r="D9" s="495"/>
      <c r="E9" s="502"/>
      <c r="F9" s="177">
        <f t="shared" si="0"/>
        <v>0</v>
      </c>
      <c r="G9" s="177" t="str">
        <f>IF(IFERROR(IF(Str_TypeDonneesCpt6=Cpt_Index,Tab_Compteur_6[[#This Row],[Index]]-E8,Tab_Compteur_6[[#This Row],[Quantité]])/Tab_Compteur_6[[#This Row],[Delta Jour]],"")&lt;0,"",IFERROR(IF(Str_TypeDonneesCpt6=Cpt_Index,Tab_Compteur_6[[#This Row],[Index]]-E8,Tab_Compteur_6[[#This Row],[Quantité]])/Tab_Compteur_6[[#This Row],[Delta Jour]],""))</f>
        <v/>
      </c>
      <c r="H9" s="177" t="str">
        <f>IFERROR(Tab_Compteur_6[[#This Row],[Montant]]/Tab_Compteur_6[[#This Row],[Delta Jour]],"")</f>
        <v/>
      </c>
      <c r="I9" s="188" t="str">
        <f>IF(SUM(Tab_Compteur_6[[#This Row],[Quantité]],Tab_Compteur_6[[#This Row],[Index]])&lt;=0,"",G9)</f>
        <v/>
      </c>
      <c r="J9" s="185"/>
      <c r="K9" s="165"/>
      <c r="L9" s="165"/>
      <c r="M9" s="165"/>
    </row>
    <row r="10" spans="1:13">
      <c r="A10" s="53">
        <f t="shared" si="1"/>
        <v>1</v>
      </c>
      <c r="B10" s="501"/>
      <c r="C10" s="180"/>
      <c r="D10" s="495"/>
      <c r="E10" s="502"/>
      <c r="F10" s="177">
        <f t="shared" si="0"/>
        <v>0</v>
      </c>
      <c r="G10" s="177" t="str">
        <f>IF(IFERROR(IF(Str_TypeDonneesCpt6=Cpt_Index,Tab_Compteur_6[[#This Row],[Index]]-E9,Tab_Compteur_6[[#This Row],[Quantité]])/Tab_Compteur_6[[#This Row],[Delta Jour]],"")&lt;0,"",IFERROR(IF(Str_TypeDonneesCpt6=Cpt_Index,Tab_Compteur_6[[#This Row],[Index]]-E9,Tab_Compteur_6[[#This Row],[Quantité]])/Tab_Compteur_6[[#This Row],[Delta Jour]],""))</f>
        <v/>
      </c>
      <c r="H10" s="177" t="str">
        <f>IFERROR(Tab_Compteur_6[[#This Row],[Montant]]/Tab_Compteur_6[[#This Row],[Delta Jour]],"")</f>
        <v/>
      </c>
      <c r="I10" s="188" t="str">
        <f>IF(SUM(Tab_Compteur_6[[#This Row],[Quantité]],Tab_Compteur_6[[#This Row],[Index]])&lt;=0,"",G10)</f>
        <v/>
      </c>
      <c r="J10" s="185"/>
      <c r="K10" s="165"/>
      <c r="L10" s="165"/>
      <c r="M10" s="165"/>
    </row>
    <row r="11" spans="1:13">
      <c r="A11" s="53">
        <f t="shared" si="1"/>
        <v>1</v>
      </c>
      <c r="B11" s="501"/>
      <c r="C11" s="180"/>
      <c r="D11" s="495"/>
      <c r="E11" s="502"/>
      <c r="F11" s="177">
        <f t="shared" si="0"/>
        <v>0</v>
      </c>
      <c r="G11" s="177" t="str">
        <f>IF(IFERROR(IF(Str_TypeDonneesCpt6=Cpt_Index,Tab_Compteur_6[[#This Row],[Index]]-E10,Tab_Compteur_6[[#This Row],[Quantité]])/Tab_Compteur_6[[#This Row],[Delta Jour]],"")&lt;0,"",IFERROR(IF(Str_TypeDonneesCpt6=Cpt_Index,Tab_Compteur_6[[#This Row],[Index]]-E10,Tab_Compteur_6[[#This Row],[Quantité]])/Tab_Compteur_6[[#This Row],[Delta Jour]],""))</f>
        <v/>
      </c>
      <c r="H11" s="177" t="str">
        <f>IFERROR(Tab_Compteur_6[[#This Row],[Montant]]/Tab_Compteur_6[[#This Row],[Delta Jour]],"")</f>
        <v/>
      </c>
      <c r="I11" s="188" t="str">
        <f>IF(SUM(Tab_Compteur_6[[#This Row],[Quantité]],Tab_Compteur_6[[#This Row],[Index]])&lt;=0,"",G11)</f>
        <v/>
      </c>
      <c r="J11" s="185"/>
      <c r="K11" s="823" t="str">
        <f>Compteur_1!$K$34</f>
        <v>Pour le bon fonctionnement des calculs, il est nécessaire de respecter l'ordre chonologique des données 
Dans le cas des consommations, la quantité doit correspondre à l'unité indiquée dans "Site". Pour les données de production l'unité par défaut est le kWh et pour l'eau, le m3.  
Dans le cas d'un manque de donnée sur une période donnée, indiquez les dates de début et de fin de cette période en laissant les cellules de Quantité et Montant vide
En cas de multiples factures/livraisons pour un même mois, merci d'additionner les quantités et les montants et de mettre la dernière date. 
Une fois toutes vos données de comptage complétées, Cliquez sur le bouton "Actualiser tout" la barre d'outils "Données" ou avec  le raccourcis clavier Ctrl+alt+F5</v>
      </c>
      <c r="L11" s="823"/>
      <c r="M11" s="823"/>
    </row>
    <row r="12" spans="1:13">
      <c r="A12" s="53">
        <f t="shared" si="1"/>
        <v>1</v>
      </c>
      <c r="B12" s="501"/>
      <c r="C12" s="180"/>
      <c r="D12" s="495"/>
      <c r="E12" s="502"/>
      <c r="F12" s="177">
        <f t="shared" si="0"/>
        <v>0</v>
      </c>
      <c r="G12" s="177" t="str">
        <f>IF(IFERROR(IF(Str_TypeDonneesCpt6=Cpt_Index,Tab_Compteur_6[[#This Row],[Index]]-E11,Tab_Compteur_6[[#This Row],[Quantité]])/Tab_Compteur_6[[#This Row],[Delta Jour]],"")&lt;0,"",IFERROR(IF(Str_TypeDonneesCpt6=Cpt_Index,Tab_Compteur_6[[#This Row],[Index]]-E11,Tab_Compteur_6[[#This Row],[Quantité]])/Tab_Compteur_6[[#This Row],[Delta Jour]],""))</f>
        <v/>
      </c>
      <c r="H12" s="177" t="str">
        <f>IFERROR(Tab_Compteur_6[[#This Row],[Montant]]/Tab_Compteur_6[[#This Row],[Delta Jour]],"")</f>
        <v/>
      </c>
      <c r="I12" s="188" t="str">
        <f>IF(SUM(Tab_Compteur_6[[#This Row],[Quantité]],Tab_Compteur_6[[#This Row],[Index]])&lt;=0,"",G12)</f>
        <v/>
      </c>
      <c r="J12" s="185"/>
      <c r="K12" s="823"/>
      <c r="L12" s="823"/>
      <c r="M12" s="823"/>
    </row>
    <row r="13" spans="1:13">
      <c r="A13" s="53">
        <f t="shared" si="1"/>
        <v>1</v>
      </c>
      <c r="B13" s="501"/>
      <c r="C13" s="180"/>
      <c r="D13" s="495"/>
      <c r="E13" s="502"/>
      <c r="F13" s="177">
        <f t="shared" si="0"/>
        <v>0</v>
      </c>
      <c r="G13" s="177" t="str">
        <f>IF(IFERROR(IF(Str_TypeDonneesCpt6=Cpt_Index,Tab_Compteur_6[[#This Row],[Index]]-E12,Tab_Compteur_6[[#This Row],[Quantité]])/Tab_Compteur_6[[#This Row],[Delta Jour]],"")&lt;0,"",IFERROR(IF(Str_TypeDonneesCpt6=Cpt_Index,Tab_Compteur_6[[#This Row],[Index]]-E12,Tab_Compteur_6[[#This Row],[Quantité]])/Tab_Compteur_6[[#This Row],[Delta Jour]],""))</f>
        <v/>
      </c>
      <c r="H13" s="177" t="str">
        <f>IFERROR(Tab_Compteur_6[[#This Row],[Montant]]/Tab_Compteur_6[[#This Row],[Delta Jour]],"")</f>
        <v/>
      </c>
      <c r="I13" s="188" t="str">
        <f>IF(SUM(Tab_Compteur_6[[#This Row],[Quantité]],Tab_Compteur_6[[#This Row],[Index]])&lt;=0,"",G13)</f>
        <v/>
      </c>
      <c r="J13" s="185"/>
      <c r="K13" s="823"/>
      <c r="L13" s="823"/>
      <c r="M13" s="823"/>
    </row>
    <row r="14" spans="1:13">
      <c r="A14" s="53">
        <f t="shared" si="1"/>
        <v>1</v>
      </c>
      <c r="B14" s="501"/>
      <c r="C14" s="180"/>
      <c r="D14" s="495"/>
      <c r="E14" s="502"/>
      <c r="F14" s="177">
        <f t="shared" si="0"/>
        <v>0</v>
      </c>
      <c r="G14" s="177" t="str">
        <f>IF(IFERROR(IF(Str_TypeDonneesCpt6=Cpt_Index,Tab_Compteur_6[[#This Row],[Index]]-E13,Tab_Compteur_6[[#This Row],[Quantité]])/Tab_Compteur_6[[#This Row],[Delta Jour]],"")&lt;0,"",IFERROR(IF(Str_TypeDonneesCpt6=Cpt_Index,Tab_Compteur_6[[#This Row],[Index]]-E13,Tab_Compteur_6[[#This Row],[Quantité]])/Tab_Compteur_6[[#This Row],[Delta Jour]],""))</f>
        <v/>
      </c>
      <c r="H14" s="177" t="str">
        <f>IFERROR(Tab_Compteur_6[[#This Row],[Montant]]/Tab_Compteur_6[[#This Row],[Delta Jour]],"")</f>
        <v/>
      </c>
      <c r="I14" s="188" t="str">
        <f>IF(SUM(Tab_Compteur_6[[#This Row],[Quantité]],Tab_Compteur_6[[#This Row],[Index]])&lt;=0,"",G14)</f>
        <v/>
      </c>
      <c r="J14" s="185"/>
      <c r="K14" s="823"/>
      <c r="L14" s="823"/>
      <c r="M14" s="823"/>
    </row>
    <row r="15" spans="1:13">
      <c r="A15" s="53">
        <f t="shared" si="1"/>
        <v>1</v>
      </c>
      <c r="B15" s="501"/>
      <c r="C15" s="180"/>
      <c r="D15" s="495"/>
      <c r="E15" s="502"/>
      <c r="F15" s="177">
        <f t="shared" si="0"/>
        <v>0</v>
      </c>
      <c r="G15" s="177" t="str">
        <f>IF(IFERROR(IF(Str_TypeDonneesCpt6=Cpt_Index,Tab_Compteur_6[[#This Row],[Index]]-E14,Tab_Compteur_6[[#This Row],[Quantité]])/Tab_Compteur_6[[#This Row],[Delta Jour]],"")&lt;0,"",IFERROR(IF(Str_TypeDonneesCpt6=Cpt_Index,Tab_Compteur_6[[#This Row],[Index]]-E14,Tab_Compteur_6[[#This Row],[Quantité]])/Tab_Compteur_6[[#This Row],[Delta Jour]],""))</f>
        <v/>
      </c>
      <c r="H15" s="177" t="str">
        <f>IFERROR(Tab_Compteur_6[[#This Row],[Montant]]/Tab_Compteur_6[[#This Row],[Delta Jour]],"")</f>
        <v/>
      </c>
      <c r="I15" s="188" t="str">
        <f>IF(SUM(Tab_Compteur_6[[#This Row],[Quantité]],Tab_Compteur_6[[#This Row],[Index]])&lt;=0,"",G15)</f>
        <v/>
      </c>
      <c r="J15" s="185"/>
      <c r="K15" s="823"/>
      <c r="L15" s="823"/>
      <c r="M15" s="823"/>
    </row>
    <row r="16" spans="1:13">
      <c r="A16" s="53">
        <f t="shared" si="1"/>
        <v>1</v>
      </c>
      <c r="B16" s="501"/>
      <c r="C16" s="180"/>
      <c r="D16" s="495"/>
      <c r="E16" s="502"/>
      <c r="F16" s="177">
        <f t="shared" si="0"/>
        <v>0</v>
      </c>
      <c r="G16" s="177" t="str">
        <f>IF(IFERROR(IF(Str_TypeDonneesCpt6=Cpt_Index,Tab_Compteur_6[[#This Row],[Index]]-E15,Tab_Compteur_6[[#This Row],[Quantité]])/Tab_Compteur_6[[#This Row],[Delta Jour]],"")&lt;0,"",IFERROR(IF(Str_TypeDonneesCpt6=Cpt_Index,Tab_Compteur_6[[#This Row],[Index]]-E15,Tab_Compteur_6[[#This Row],[Quantité]])/Tab_Compteur_6[[#This Row],[Delta Jour]],""))</f>
        <v/>
      </c>
      <c r="H16" s="177" t="str">
        <f>IFERROR(Tab_Compteur_6[[#This Row],[Montant]]/Tab_Compteur_6[[#This Row],[Delta Jour]],"")</f>
        <v/>
      </c>
      <c r="I16" s="188" t="str">
        <f>IF(SUM(Tab_Compteur_6[[#This Row],[Quantité]],Tab_Compteur_6[[#This Row],[Index]])&lt;=0,"",G16)</f>
        <v/>
      </c>
      <c r="J16" s="185"/>
      <c r="K16" s="823"/>
      <c r="L16" s="823"/>
      <c r="M16" s="823"/>
    </row>
    <row r="17" spans="1:13">
      <c r="A17" s="53">
        <f t="shared" si="1"/>
        <v>1</v>
      </c>
      <c r="B17" s="501"/>
      <c r="C17" s="180"/>
      <c r="D17" s="495"/>
      <c r="E17" s="502"/>
      <c r="F17" s="177">
        <f t="shared" si="0"/>
        <v>0</v>
      </c>
      <c r="G17" s="177" t="str">
        <f>IF(IFERROR(IF(Str_TypeDonneesCpt6=Cpt_Index,Tab_Compteur_6[[#This Row],[Index]]-E16,Tab_Compteur_6[[#This Row],[Quantité]])/Tab_Compteur_6[[#This Row],[Delta Jour]],"")&lt;0,"",IFERROR(IF(Str_TypeDonneesCpt6=Cpt_Index,Tab_Compteur_6[[#This Row],[Index]]-E16,Tab_Compteur_6[[#This Row],[Quantité]])/Tab_Compteur_6[[#This Row],[Delta Jour]],""))</f>
        <v/>
      </c>
      <c r="H17" s="177" t="str">
        <f>IFERROR(Tab_Compteur_6[[#This Row],[Montant]]/Tab_Compteur_6[[#This Row],[Delta Jour]],"")</f>
        <v/>
      </c>
      <c r="I17" s="188" t="str">
        <f>IF(SUM(Tab_Compteur_6[[#This Row],[Quantité]],Tab_Compteur_6[[#This Row],[Index]])&lt;=0,"",G17)</f>
        <v/>
      </c>
      <c r="J17" s="185"/>
      <c r="K17" s="823"/>
      <c r="L17" s="823"/>
      <c r="M17" s="823"/>
    </row>
    <row r="18" spans="1:13">
      <c r="A18" s="53">
        <f t="shared" si="1"/>
        <v>1</v>
      </c>
      <c r="B18" s="501"/>
      <c r="C18" s="180"/>
      <c r="D18" s="495"/>
      <c r="E18" s="502"/>
      <c r="F18" s="177">
        <f t="shared" si="0"/>
        <v>0</v>
      </c>
      <c r="G18" s="177" t="str">
        <f>IF(IFERROR(IF(Str_TypeDonneesCpt6=Cpt_Index,Tab_Compteur_6[[#This Row],[Index]]-E17,Tab_Compteur_6[[#This Row],[Quantité]])/Tab_Compteur_6[[#This Row],[Delta Jour]],"")&lt;0,"",IFERROR(IF(Str_TypeDonneesCpt6=Cpt_Index,Tab_Compteur_6[[#This Row],[Index]]-E17,Tab_Compteur_6[[#This Row],[Quantité]])/Tab_Compteur_6[[#This Row],[Delta Jour]],""))</f>
        <v/>
      </c>
      <c r="H18" s="177" t="str">
        <f>IFERROR(Tab_Compteur_6[[#This Row],[Montant]]/Tab_Compteur_6[[#This Row],[Delta Jour]],"")</f>
        <v/>
      </c>
      <c r="I18" s="188" t="str">
        <f>IF(SUM(Tab_Compteur_6[[#This Row],[Quantité]],Tab_Compteur_6[[#This Row],[Index]])&lt;=0,"",G18)</f>
        <v/>
      </c>
      <c r="J18" s="185"/>
      <c r="K18" s="823"/>
      <c r="L18" s="823"/>
      <c r="M18" s="823"/>
    </row>
    <row r="19" spans="1:13">
      <c r="A19" s="53">
        <f t="shared" si="1"/>
        <v>1</v>
      </c>
      <c r="B19" s="501"/>
      <c r="C19" s="180"/>
      <c r="D19" s="495"/>
      <c r="E19" s="502"/>
      <c r="F19" s="177">
        <f t="shared" si="0"/>
        <v>0</v>
      </c>
      <c r="G19" s="177" t="str">
        <f>IF(IFERROR(IF(Str_TypeDonneesCpt6=Cpt_Index,Tab_Compteur_6[[#This Row],[Index]]-E18,Tab_Compteur_6[[#This Row],[Quantité]])/Tab_Compteur_6[[#This Row],[Delta Jour]],"")&lt;0,"",IFERROR(IF(Str_TypeDonneesCpt6=Cpt_Index,Tab_Compteur_6[[#This Row],[Index]]-E18,Tab_Compteur_6[[#This Row],[Quantité]])/Tab_Compteur_6[[#This Row],[Delta Jour]],""))</f>
        <v/>
      </c>
      <c r="H19" s="177" t="str">
        <f>IFERROR(Tab_Compteur_6[[#This Row],[Montant]]/Tab_Compteur_6[[#This Row],[Delta Jour]],"")</f>
        <v/>
      </c>
      <c r="I19" s="188" t="str">
        <f>IF(SUM(Tab_Compteur_6[[#This Row],[Quantité]],Tab_Compteur_6[[#This Row],[Index]])&lt;=0,"",G19)</f>
        <v/>
      </c>
      <c r="J19" s="185"/>
      <c r="K19" s="823"/>
      <c r="L19" s="823"/>
      <c r="M19" s="823"/>
    </row>
    <row r="20" spans="1:13">
      <c r="A20" s="53">
        <f t="shared" si="1"/>
        <v>1</v>
      </c>
      <c r="B20" s="501"/>
      <c r="C20" s="180"/>
      <c r="D20" s="495"/>
      <c r="E20" s="502"/>
      <c r="F20" s="177">
        <f t="shared" si="0"/>
        <v>0</v>
      </c>
      <c r="G20" s="177" t="str">
        <f>IF(IFERROR(IF(Str_TypeDonneesCpt6=Cpt_Index,Tab_Compteur_6[[#This Row],[Index]]-E19,Tab_Compteur_6[[#This Row],[Quantité]])/Tab_Compteur_6[[#This Row],[Delta Jour]],"")&lt;0,"",IFERROR(IF(Str_TypeDonneesCpt6=Cpt_Index,Tab_Compteur_6[[#This Row],[Index]]-E19,Tab_Compteur_6[[#This Row],[Quantité]])/Tab_Compteur_6[[#This Row],[Delta Jour]],""))</f>
        <v/>
      </c>
      <c r="H20" s="177" t="str">
        <f>IFERROR(Tab_Compteur_6[[#This Row],[Montant]]/Tab_Compteur_6[[#This Row],[Delta Jour]],"")</f>
        <v/>
      </c>
      <c r="I20" s="188" t="str">
        <f>IF(SUM(Tab_Compteur_6[[#This Row],[Quantité]],Tab_Compteur_6[[#This Row],[Index]])&lt;=0,"",G20)</f>
        <v/>
      </c>
      <c r="J20" s="185"/>
      <c r="K20" s="823"/>
      <c r="L20" s="823"/>
      <c r="M20" s="823"/>
    </row>
    <row r="21" spans="1:13">
      <c r="A21" s="53">
        <f t="shared" si="1"/>
        <v>1</v>
      </c>
      <c r="B21" s="501"/>
      <c r="C21" s="180"/>
      <c r="D21" s="495"/>
      <c r="E21" s="502"/>
      <c r="F21" s="177">
        <f t="shared" si="0"/>
        <v>0</v>
      </c>
      <c r="G21" s="177" t="str">
        <f>IF(IFERROR(IF(Str_TypeDonneesCpt6=Cpt_Index,Tab_Compteur_6[[#This Row],[Index]]-E20,Tab_Compteur_6[[#This Row],[Quantité]])/Tab_Compteur_6[[#This Row],[Delta Jour]],"")&lt;0,"",IFERROR(IF(Str_TypeDonneesCpt6=Cpt_Index,Tab_Compteur_6[[#This Row],[Index]]-E20,Tab_Compteur_6[[#This Row],[Quantité]])/Tab_Compteur_6[[#This Row],[Delta Jour]],""))</f>
        <v/>
      </c>
      <c r="H21" s="177" t="str">
        <f>IFERROR(Tab_Compteur_6[[#This Row],[Montant]]/Tab_Compteur_6[[#This Row],[Delta Jour]],"")</f>
        <v/>
      </c>
      <c r="I21" s="188" t="str">
        <f>IF(SUM(Tab_Compteur_6[[#This Row],[Quantité]],Tab_Compteur_6[[#This Row],[Index]])&lt;=0,"",G21)</f>
        <v/>
      </c>
      <c r="J21" s="185"/>
      <c r="K21" s="823"/>
      <c r="L21" s="823"/>
      <c r="M21" s="823"/>
    </row>
    <row r="22" spans="1:13">
      <c r="A22" s="53">
        <f t="shared" si="1"/>
        <v>1</v>
      </c>
      <c r="B22" s="501"/>
      <c r="C22" s="180"/>
      <c r="D22" s="495"/>
      <c r="E22" s="502"/>
      <c r="F22" s="177">
        <f t="shared" si="0"/>
        <v>0</v>
      </c>
      <c r="G22" s="177" t="str">
        <f>IF(IFERROR(IF(Str_TypeDonneesCpt6=Cpt_Index,Tab_Compteur_6[[#This Row],[Index]]-E21,Tab_Compteur_6[[#This Row],[Quantité]])/Tab_Compteur_6[[#This Row],[Delta Jour]],"")&lt;0,"",IFERROR(IF(Str_TypeDonneesCpt6=Cpt_Index,Tab_Compteur_6[[#This Row],[Index]]-E21,Tab_Compteur_6[[#This Row],[Quantité]])/Tab_Compteur_6[[#This Row],[Delta Jour]],""))</f>
        <v/>
      </c>
      <c r="H22" s="177" t="str">
        <f>IFERROR(Tab_Compteur_6[[#This Row],[Montant]]/Tab_Compteur_6[[#This Row],[Delta Jour]],"")</f>
        <v/>
      </c>
      <c r="I22" s="188" t="str">
        <f>IF(SUM(Tab_Compteur_6[[#This Row],[Quantité]],Tab_Compteur_6[[#This Row],[Index]])&lt;=0,"",G22)</f>
        <v/>
      </c>
      <c r="J22" s="185"/>
      <c r="K22" s="823"/>
      <c r="L22" s="823"/>
      <c r="M22" s="823"/>
    </row>
    <row r="23" spans="1:13">
      <c r="A23" s="53">
        <f t="shared" si="1"/>
        <v>1</v>
      </c>
      <c r="B23" s="501"/>
      <c r="C23" s="180"/>
      <c r="D23" s="495"/>
      <c r="E23" s="502"/>
      <c r="F23" s="177">
        <f t="shared" si="0"/>
        <v>0</v>
      </c>
      <c r="G23" s="177" t="str">
        <f>IF(IFERROR(IF(Str_TypeDonneesCpt6=Cpt_Index,Tab_Compteur_6[[#This Row],[Index]]-E22,Tab_Compteur_6[[#This Row],[Quantité]])/Tab_Compteur_6[[#This Row],[Delta Jour]],"")&lt;0,"",IFERROR(IF(Str_TypeDonneesCpt6=Cpt_Index,Tab_Compteur_6[[#This Row],[Index]]-E22,Tab_Compteur_6[[#This Row],[Quantité]])/Tab_Compteur_6[[#This Row],[Delta Jour]],""))</f>
        <v/>
      </c>
      <c r="H23" s="177" t="str">
        <f>IFERROR(Tab_Compteur_6[[#This Row],[Montant]]/Tab_Compteur_6[[#This Row],[Delta Jour]],"")</f>
        <v/>
      </c>
      <c r="I23" s="188" t="str">
        <f>IF(SUM(Tab_Compteur_6[[#This Row],[Quantité]],Tab_Compteur_6[[#This Row],[Index]])&lt;=0,"",G23)</f>
        <v/>
      </c>
      <c r="J23" s="185"/>
      <c r="K23" s="823"/>
      <c r="L23" s="823"/>
      <c r="M23" s="823"/>
    </row>
    <row r="24" spans="1:13">
      <c r="A24" s="53">
        <f t="shared" si="1"/>
        <v>1</v>
      </c>
      <c r="B24" s="501"/>
      <c r="C24" s="180"/>
      <c r="D24" s="495"/>
      <c r="E24" s="502"/>
      <c r="F24" s="177">
        <f t="shared" si="0"/>
        <v>0</v>
      </c>
      <c r="G24" s="177" t="str">
        <f>IF(IFERROR(IF(Str_TypeDonneesCpt6=Cpt_Index,Tab_Compteur_6[[#This Row],[Index]]-E23,Tab_Compteur_6[[#This Row],[Quantité]])/Tab_Compteur_6[[#This Row],[Delta Jour]],"")&lt;0,"",IFERROR(IF(Str_TypeDonneesCpt6=Cpt_Index,Tab_Compteur_6[[#This Row],[Index]]-E23,Tab_Compteur_6[[#This Row],[Quantité]])/Tab_Compteur_6[[#This Row],[Delta Jour]],""))</f>
        <v/>
      </c>
      <c r="H24" s="177" t="str">
        <f>IFERROR(Tab_Compteur_6[[#This Row],[Montant]]/Tab_Compteur_6[[#This Row],[Delta Jour]],"")</f>
        <v/>
      </c>
      <c r="I24" s="188" t="str">
        <f>IF(SUM(Tab_Compteur_6[[#This Row],[Quantité]],Tab_Compteur_6[[#This Row],[Index]])&lt;=0,"",G24)</f>
        <v/>
      </c>
      <c r="J24" s="185"/>
      <c r="K24" s="823"/>
      <c r="L24" s="823"/>
      <c r="M24" s="823"/>
    </row>
    <row r="25" spans="1:13">
      <c r="A25" s="53">
        <f t="shared" si="1"/>
        <v>1</v>
      </c>
      <c r="B25" s="501"/>
      <c r="C25" s="180"/>
      <c r="D25" s="495"/>
      <c r="E25" s="502"/>
      <c r="F25" s="177">
        <f t="shared" si="0"/>
        <v>0</v>
      </c>
      <c r="G25" s="177" t="str">
        <f>IF(IFERROR(IF(Str_TypeDonneesCpt6=Cpt_Index,Tab_Compteur_6[[#This Row],[Index]]-E24,Tab_Compteur_6[[#This Row],[Quantité]])/Tab_Compteur_6[[#This Row],[Delta Jour]],"")&lt;0,"",IFERROR(IF(Str_TypeDonneesCpt6=Cpt_Index,Tab_Compteur_6[[#This Row],[Index]]-E24,Tab_Compteur_6[[#This Row],[Quantité]])/Tab_Compteur_6[[#This Row],[Delta Jour]],""))</f>
        <v/>
      </c>
      <c r="H25" s="177" t="str">
        <f>IFERROR(Tab_Compteur_6[[#This Row],[Montant]]/Tab_Compteur_6[[#This Row],[Delta Jour]],"")</f>
        <v/>
      </c>
      <c r="I25" s="188" t="str">
        <f>IF(SUM(Tab_Compteur_6[[#This Row],[Quantité]],Tab_Compteur_6[[#This Row],[Index]])&lt;=0,"",G25)</f>
        <v/>
      </c>
      <c r="J25" s="185"/>
      <c r="K25" s="823"/>
      <c r="L25" s="823"/>
      <c r="M25" s="823"/>
    </row>
    <row r="26" spans="1:13">
      <c r="A26" s="53">
        <f t="shared" si="1"/>
        <v>1</v>
      </c>
      <c r="B26" s="501"/>
      <c r="C26" s="180"/>
      <c r="D26" s="495"/>
      <c r="E26" s="502"/>
      <c r="F26" s="177">
        <f t="shared" si="0"/>
        <v>0</v>
      </c>
      <c r="G26" s="177" t="str">
        <f>IF(IFERROR(IF(Str_TypeDonneesCpt6=Cpt_Index,Tab_Compteur_6[[#This Row],[Index]]-E25,Tab_Compteur_6[[#This Row],[Quantité]])/Tab_Compteur_6[[#This Row],[Delta Jour]],"")&lt;0,"",IFERROR(IF(Str_TypeDonneesCpt6=Cpt_Index,Tab_Compteur_6[[#This Row],[Index]]-E25,Tab_Compteur_6[[#This Row],[Quantité]])/Tab_Compteur_6[[#This Row],[Delta Jour]],""))</f>
        <v/>
      </c>
      <c r="H26" s="177" t="str">
        <f>IFERROR(Tab_Compteur_6[[#This Row],[Montant]]/Tab_Compteur_6[[#This Row],[Delta Jour]],"")</f>
        <v/>
      </c>
      <c r="I26" s="188" t="str">
        <f>IF(SUM(Tab_Compteur_6[[#This Row],[Quantité]],Tab_Compteur_6[[#This Row],[Index]])&lt;=0,"",G26)</f>
        <v/>
      </c>
      <c r="J26" s="185"/>
      <c r="K26" s="823"/>
      <c r="L26" s="823"/>
      <c r="M26" s="823"/>
    </row>
    <row r="27" spans="1:13">
      <c r="A27" s="53">
        <f t="shared" si="1"/>
        <v>1</v>
      </c>
      <c r="B27" s="501"/>
      <c r="C27" s="180"/>
      <c r="D27" s="495"/>
      <c r="E27" s="502"/>
      <c r="F27" s="177">
        <f t="shared" si="0"/>
        <v>0</v>
      </c>
      <c r="G27" s="177" t="str">
        <f>IF(IFERROR(IF(Str_TypeDonneesCpt6=Cpt_Index,Tab_Compteur_6[[#This Row],[Index]]-E26,Tab_Compteur_6[[#This Row],[Quantité]])/Tab_Compteur_6[[#This Row],[Delta Jour]],"")&lt;0,"",IFERROR(IF(Str_TypeDonneesCpt6=Cpt_Index,Tab_Compteur_6[[#This Row],[Index]]-E26,Tab_Compteur_6[[#This Row],[Quantité]])/Tab_Compteur_6[[#This Row],[Delta Jour]],""))</f>
        <v/>
      </c>
      <c r="H27" s="177" t="str">
        <f>IFERROR(Tab_Compteur_6[[#This Row],[Montant]]/Tab_Compteur_6[[#This Row],[Delta Jour]],"")</f>
        <v/>
      </c>
      <c r="I27" s="188" t="str">
        <f>IF(SUM(Tab_Compteur_6[[#This Row],[Quantité]],Tab_Compteur_6[[#This Row],[Index]])&lt;=0,"",G27)</f>
        <v/>
      </c>
      <c r="J27" s="185"/>
      <c r="K27" s="823"/>
      <c r="L27" s="823"/>
      <c r="M27" s="823"/>
    </row>
    <row r="28" spans="1:13">
      <c r="A28" s="53">
        <f t="shared" si="1"/>
        <v>1</v>
      </c>
      <c r="B28" s="501"/>
      <c r="C28" s="180"/>
      <c r="D28" s="495"/>
      <c r="E28" s="502"/>
      <c r="F28" s="177">
        <f t="shared" si="0"/>
        <v>0</v>
      </c>
      <c r="G28" s="177" t="str">
        <f>IF(IFERROR(IF(Str_TypeDonneesCpt6=Cpt_Index,Tab_Compteur_6[[#This Row],[Index]]-E27,Tab_Compteur_6[[#This Row],[Quantité]])/Tab_Compteur_6[[#This Row],[Delta Jour]],"")&lt;0,"",IFERROR(IF(Str_TypeDonneesCpt6=Cpt_Index,Tab_Compteur_6[[#This Row],[Index]]-E27,Tab_Compteur_6[[#This Row],[Quantité]])/Tab_Compteur_6[[#This Row],[Delta Jour]],""))</f>
        <v/>
      </c>
      <c r="H28" s="177" t="str">
        <f>IFERROR(Tab_Compteur_6[[#This Row],[Montant]]/Tab_Compteur_6[[#This Row],[Delta Jour]],"")</f>
        <v/>
      </c>
      <c r="I28" s="188" t="str">
        <f>IF(SUM(Tab_Compteur_6[[#This Row],[Quantité]],Tab_Compteur_6[[#This Row],[Index]])&lt;=0,"",G28)</f>
        <v/>
      </c>
      <c r="J28" s="185"/>
      <c r="K28" s="823"/>
      <c r="L28" s="823"/>
      <c r="M28" s="823"/>
    </row>
    <row r="29" spans="1:13">
      <c r="A29" s="53">
        <f t="shared" si="1"/>
        <v>1</v>
      </c>
      <c r="B29" s="501"/>
      <c r="C29" s="180"/>
      <c r="D29" s="495"/>
      <c r="E29" s="502"/>
      <c r="F29" s="177">
        <f t="shared" si="0"/>
        <v>0</v>
      </c>
      <c r="G29" s="177" t="str">
        <f>IF(IFERROR(IF(Str_TypeDonneesCpt6=Cpt_Index,Tab_Compteur_6[[#This Row],[Index]]-E28,Tab_Compteur_6[[#This Row],[Quantité]])/Tab_Compteur_6[[#This Row],[Delta Jour]],"")&lt;0,"",IFERROR(IF(Str_TypeDonneesCpt6=Cpt_Index,Tab_Compteur_6[[#This Row],[Index]]-E28,Tab_Compteur_6[[#This Row],[Quantité]])/Tab_Compteur_6[[#This Row],[Delta Jour]],""))</f>
        <v/>
      </c>
      <c r="H29" s="177" t="str">
        <f>IFERROR(Tab_Compteur_6[[#This Row],[Montant]]/Tab_Compteur_6[[#This Row],[Delta Jour]],"")</f>
        <v/>
      </c>
      <c r="I29" s="188" t="str">
        <f>IF(SUM(Tab_Compteur_6[[#This Row],[Quantité]],Tab_Compteur_6[[#This Row],[Index]])&lt;=0,"",G29)</f>
        <v/>
      </c>
      <c r="J29" s="185"/>
      <c r="K29" s="823"/>
      <c r="L29" s="823"/>
      <c r="M29" s="823"/>
    </row>
    <row r="30" spans="1:13">
      <c r="A30" s="53">
        <f t="shared" si="1"/>
        <v>1</v>
      </c>
      <c r="B30" s="501"/>
      <c r="C30" s="180"/>
      <c r="D30" s="495"/>
      <c r="E30" s="502"/>
      <c r="F30" s="177">
        <f t="shared" si="0"/>
        <v>0</v>
      </c>
      <c r="G30" s="177" t="str">
        <f>IF(IFERROR(IF(Str_TypeDonneesCpt6=Cpt_Index,Tab_Compteur_6[[#This Row],[Index]]-E29,Tab_Compteur_6[[#This Row],[Quantité]])/Tab_Compteur_6[[#This Row],[Delta Jour]],"")&lt;0,"",IFERROR(IF(Str_TypeDonneesCpt6=Cpt_Index,Tab_Compteur_6[[#This Row],[Index]]-E29,Tab_Compteur_6[[#This Row],[Quantité]])/Tab_Compteur_6[[#This Row],[Delta Jour]],""))</f>
        <v/>
      </c>
      <c r="H30" s="177" t="str">
        <f>IFERROR(Tab_Compteur_6[[#This Row],[Montant]]/Tab_Compteur_6[[#This Row],[Delta Jour]],"")</f>
        <v/>
      </c>
      <c r="I30" s="188" t="str">
        <f>IF(SUM(Tab_Compteur_6[[#This Row],[Quantité]],Tab_Compteur_6[[#This Row],[Index]])&lt;=0,"",G30)</f>
        <v/>
      </c>
      <c r="J30" s="185"/>
      <c r="K30" s="823"/>
      <c r="L30" s="823"/>
      <c r="M30" s="823"/>
    </row>
    <row r="31" spans="1:13">
      <c r="A31" s="53">
        <f t="shared" si="1"/>
        <v>1</v>
      </c>
      <c r="B31" s="501"/>
      <c r="C31" s="180"/>
      <c r="D31" s="495"/>
      <c r="E31" s="502"/>
      <c r="F31" s="177">
        <f t="shared" si="0"/>
        <v>0</v>
      </c>
      <c r="G31" s="177" t="str">
        <f>IF(IFERROR(IF(Str_TypeDonneesCpt6=Cpt_Index,Tab_Compteur_6[[#This Row],[Index]]-E30,Tab_Compteur_6[[#This Row],[Quantité]])/Tab_Compteur_6[[#This Row],[Delta Jour]],"")&lt;0,"",IFERROR(IF(Str_TypeDonneesCpt6=Cpt_Index,Tab_Compteur_6[[#This Row],[Index]]-E30,Tab_Compteur_6[[#This Row],[Quantité]])/Tab_Compteur_6[[#This Row],[Delta Jour]],""))</f>
        <v/>
      </c>
      <c r="H31" s="177" t="str">
        <f>IFERROR(Tab_Compteur_6[[#This Row],[Montant]]/Tab_Compteur_6[[#This Row],[Delta Jour]],"")</f>
        <v/>
      </c>
      <c r="I31" s="188" t="str">
        <f>IF(SUM(Tab_Compteur_6[[#This Row],[Quantité]],Tab_Compteur_6[[#This Row],[Index]])&lt;=0,"",G31)</f>
        <v/>
      </c>
      <c r="J31" s="185"/>
      <c r="K31" s="823"/>
      <c r="L31" s="823"/>
      <c r="M31" s="823"/>
    </row>
    <row r="32" spans="1:13">
      <c r="A32" s="53">
        <f t="shared" si="1"/>
        <v>1</v>
      </c>
      <c r="B32" s="501"/>
      <c r="C32" s="180"/>
      <c r="D32" s="495"/>
      <c r="E32" s="502"/>
      <c r="F32" s="177">
        <f t="shared" si="0"/>
        <v>0</v>
      </c>
      <c r="G32" s="177" t="str">
        <f>IF(IFERROR(IF(Str_TypeDonneesCpt6=Cpt_Index,Tab_Compteur_6[[#This Row],[Index]]-E31,Tab_Compteur_6[[#This Row],[Quantité]])/Tab_Compteur_6[[#This Row],[Delta Jour]],"")&lt;0,"",IFERROR(IF(Str_TypeDonneesCpt6=Cpt_Index,Tab_Compteur_6[[#This Row],[Index]]-E31,Tab_Compteur_6[[#This Row],[Quantité]])/Tab_Compteur_6[[#This Row],[Delta Jour]],""))</f>
        <v/>
      </c>
      <c r="H32" s="177" t="str">
        <f>IFERROR(Tab_Compteur_6[[#This Row],[Montant]]/Tab_Compteur_6[[#This Row],[Delta Jour]],"")</f>
        <v/>
      </c>
      <c r="I32" s="188" t="str">
        <f>IF(SUM(Tab_Compteur_6[[#This Row],[Quantité]],Tab_Compteur_6[[#This Row],[Index]])&lt;=0,"",G32)</f>
        <v/>
      </c>
      <c r="J32" s="185"/>
      <c r="K32" s="823"/>
      <c r="L32" s="823"/>
      <c r="M32" s="823"/>
    </row>
    <row r="33" spans="1:13">
      <c r="A33" s="53">
        <f t="shared" si="1"/>
        <v>1</v>
      </c>
      <c r="B33" s="501"/>
      <c r="C33" s="180"/>
      <c r="D33" s="495"/>
      <c r="E33" s="502"/>
      <c r="F33" s="177">
        <f t="shared" si="0"/>
        <v>0</v>
      </c>
      <c r="G33" s="177" t="str">
        <f>IF(IFERROR(IF(Str_TypeDonneesCpt6=Cpt_Index,Tab_Compteur_6[[#This Row],[Index]]-E32,Tab_Compteur_6[[#This Row],[Quantité]])/Tab_Compteur_6[[#This Row],[Delta Jour]],"")&lt;0,"",IFERROR(IF(Str_TypeDonneesCpt6=Cpt_Index,Tab_Compteur_6[[#This Row],[Index]]-E32,Tab_Compteur_6[[#This Row],[Quantité]])/Tab_Compteur_6[[#This Row],[Delta Jour]],""))</f>
        <v/>
      </c>
      <c r="H33" s="177" t="str">
        <f>IFERROR(Tab_Compteur_6[[#This Row],[Montant]]/Tab_Compteur_6[[#This Row],[Delta Jour]],"")</f>
        <v/>
      </c>
      <c r="I33" s="188" t="str">
        <f>IF(SUM(Tab_Compteur_6[[#This Row],[Quantité]],Tab_Compteur_6[[#This Row],[Index]])&lt;=0,"",G33)</f>
        <v/>
      </c>
      <c r="J33" s="185"/>
      <c r="K33" s="823"/>
      <c r="L33" s="823"/>
      <c r="M33" s="823"/>
    </row>
    <row r="34" spans="1:13">
      <c r="A34" s="53">
        <f t="shared" si="1"/>
        <v>1</v>
      </c>
      <c r="B34" s="501"/>
      <c r="C34" s="180"/>
      <c r="D34" s="495"/>
      <c r="E34" s="502"/>
      <c r="F34" s="177">
        <f t="shared" si="0"/>
        <v>0</v>
      </c>
      <c r="G34" s="177" t="str">
        <f>IF(IFERROR(IF(Str_TypeDonneesCpt6=Cpt_Index,Tab_Compteur_6[[#This Row],[Index]]-E33,Tab_Compteur_6[[#This Row],[Quantité]])/Tab_Compteur_6[[#This Row],[Delta Jour]],"")&lt;0,"",IFERROR(IF(Str_TypeDonneesCpt6=Cpt_Index,Tab_Compteur_6[[#This Row],[Index]]-E33,Tab_Compteur_6[[#This Row],[Quantité]])/Tab_Compteur_6[[#This Row],[Delta Jour]],""))</f>
        <v/>
      </c>
      <c r="H34" s="177" t="str">
        <f>IFERROR(Tab_Compteur_6[[#This Row],[Montant]]/Tab_Compteur_6[[#This Row],[Delta Jour]],"")</f>
        <v/>
      </c>
      <c r="I34" s="188" t="str">
        <f>IF(SUM(Tab_Compteur_6[[#This Row],[Quantité]],Tab_Compteur_6[[#This Row],[Index]])&lt;=0,"",G34)</f>
        <v/>
      </c>
      <c r="J34" s="185"/>
      <c r="K34" s="36"/>
      <c r="L34" s="36"/>
      <c r="M34" s="36"/>
    </row>
    <row r="35" spans="1:13">
      <c r="A35" s="53">
        <f t="shared" si="1"/>
        <v>1</v>
      </c>
      <c r="B35" s="501"/>
      <c r="C35" s="180"/>
      <c r="D35" s="495"/>
      <c r="E35" s="502"/>
      <c r="F35" s="177">
        <f t="shared" si="0"/>
        <v>0</v>
      </c>
      <c r="G35" s="177" t="str">
        <f>IF(IFERROR(IF(Str_TypeDonneesCpt6=Cpt_Index,Tab_Compteur_6[[#This Row],[Index]]-E34,Tab_Compteur_6[[#This Row],[Quantité]])/Tab_Compteur_6[[#This Row],[Delta Jour]],"")&lt;0,"",IFERROR(IF(Str_TypeDonneesCpt6=Cpt_Index,Tab_Compteur_6[[#This Row],[Index]]-E34,Tab_Compteur_6[[#This Row],[Quantité]])/Tab_Compteur_6[[#This Row],[Delta Jour]],""))</f>
        <v/>
      </c>
      <c r="H35" s="177" t="str">
        <f>IFERROR(Tab_Compteur_6[[#This Row],[Montant]]/Tab_Compteur_6[[#This Row],[Delta Jour]],"")</f>
        <v/>
      </c>
      <c r="I35" s="188" t="str">
        <f>IF(SUM(Tab_Compteur_6[[#This Row],[Quantité]],Tab_Compteur_6[[#This Row],[Index]])&lt;=0,"",G35)</f>
        <v/>
      </c>
      <c r="J35" s="185"/>
      <c r="K35" s="36"/>
      <c r="L35" s="36"/>
      <c r="M35" s="36"/>
    </row>
    <row r="36" spans="1:13">
      <c r="A36" s="53">
        <f t="shared" si="1"/>
        <v>1</v>
      </c>
      <c r="B36" s="501"/>
      <c r="C36" s="180"/>
      <c r="D36" s="495"/>
      <c r="E36" s="502"/>
      <c r="F36" s="177">
        <f t="shared" si="0"/>
        <v>0</v>
      </c>
      <c r="G36" s="177" t="str">
        <f>IF(IFERROR(IF(Str_TypeDonneesCpt6=Cpt_Index,Tab_Compteur_6[[#This Row],[Index]]-E35,Tab_Compteur_6[[#This Row],[Quantité]])/Tab_Compteur_6[[#This Row],[Delta Jour]],"")&lt;0,"",IFERROR(IF(Str_TypeDonneesCpt6=Cpt_Index,Tab_Compteur_6[[#This Row],[Index]]-E35,Tab_Compteur_6[[#This Row],[Quantité]])/Tab_Compteur_6[[#This Row],[Delta Jour]],""))</f>
        <v/>
      </c>
      <c r="H36" s="177" t="str">
        <f>IFERROR(Tab_Compteur_6[[#This Row],[Montant]]/Tab_Compteur_6[[#This Row],[Delta Jour]],"")</f>
        <v/>
      </c>
      <c r="I36" s="188" t="str">
        <f>IF(SUM(Tab_Compteur_6[[#This Row],[Quantité]],Tab_Compteur_6[[#This Row],[Index]])&lt;=0,"",G36)</f>
        <v/>
      </c>
      <c r="J36" s="185"/>
      <c r="K36" s="36"/>
      <c r="L36" s="36"/>
      <c r="M36" s="36"/>
    </row>
    <row r="37" spans="1:13">
      <c r="A37" s="53">
        <f t="shared" si="1"/>
        <v>1</v>
      </c>
      <c r="B37" s="501"/>
      <c r="C37" s="180"/>
      <c r="D37" s="495"/>
      <c r="E37" s="502"/>
      <c r="F37" s="177">
        <f t="shared" si="0"/>
        <v>0</v>
      </c>
      <c r="G37" s="177" t="str">
        <f>IF(IFERROR(IF(Str_TypeDonneesCpt6=Cpt_Index,Tab_Compteur_6[[#This Row],[Index]]-E36,Tab_Compteur_6[[#This Row],[Quantité]])/Tab_Compteur_6[[#This Row],[Delta Jour]],"")&lt;0,"",IFERROR(IF(Str_TypeDonneesCpt6=Cpt_Index,Tab_Compteur_6[[#This Row],[Index]]-E36,Tab_Compteur_6[[#This Row],[Quantité]])/Tab_Compteur_6[[#This Row],[Delta Jour]],""))</f>
        <v/>
      </c>
      <c r="H37" s="177" t="str">
        <f>IFERROR(Tab_Compteur_6[[#This Row],[Montant]]/Tab_Compteur_6[[#This Row],[Delta Jour]],"")</f>
        <v/>
      </c>
      <c r="I37" s="188" t="str">
        <f>IF(SUM(Tab_Compteur_6[[#This Row],[Quantité]],Tab_Compteur_6[[#This Row],[Index]])&lt;=0,"",G37)</f>
        <v/>
      </c>
      <c r="J37" s="185"/>
      <c r="K37" s="36"/>
      <c r="L37" s="36"/>
      <c r="M37" s="36"/>
    </row>
    <row r="38" spans="1:13">
      <c r="A38" s="53">
        <f t="shared" si="1"/>
        <v>1</v>
      </c>
      <c r="B38" s="501"/>
      <c r="C38" s="180"/>
      <c r="D38" s="495"/>
      <c r="E38" s="502"/>
      <c r="F38" s="177">
        <f t="shared" si="0"/>
        <v>0</v>
      </c>
      <c r="G38" s="177" t="str">
        <f>IF(IFERROR(IF(Str_TypeDonneesCpt6=Cpt_Index,Tab_Compteur_6[[#This Row],[Index]]-E37,Tab_Compteur_6[[#This Row],[Quantité]])/Tab_Compteur_6[[#This Row],[Delta Jour]],"")&lt;0,"",IFERROR(IF(Str_TypeDonneesCpt6=Cpt_Index,Tab_Compteur_6[[#This Row],[Index]]-E37,Tab_Compteur_6[[#This Row],[Quantité]])/Tab_Compteur_6[[#This Row],[Delta Jour]],""))</f>
        <v/>
      </c>
      <c r="H38" s="177" t="str">
        <f>IFERROR(Tab_Compteur_6[[#This Row],[Montant]]/Tab_Compteur_6[[#This Row],[Delta Jour]],"")</f>
        <v/>
      </c>
      <c r="I38" s="188" t="str">
        <f>IF(SUM(Tab_Compteur_6[[#This Row],[Quantité]],Tab_Compteur_6[[#This Row],[Index]])&lt;=0,"",G38)</f>
        <v/>
      </c>
      <c r="J38" s="185"/>
      <c r="K38" s="36"/>
      <c r="L38" s="36"/>
      <c r="M38" s="36"/>
    </row>
    <row r="39" spans="1:13">
      <c r="A39" s="53">
        <f t="shared" si="1"/>
        <v>1</v>
      </c>
      <c r="B39" s="501"/>
      <c r="C39" s="180"/>
      <c r="D39" s="495"/>
      <c r="E39" s="502"/>
      <c r="F39" s="177">
        <f t="shared" si="0"/>
        <v>0</v>
      </c>
      <c r="G39" s="177" t="str">
        <f>IF(IFERROR(IF(Str_TypeDonneesCpt6=Cpt_Index,Tab_Compteur_6[[#This Row],[Index]]-E38,Tab_Compteur_6[[#This Row],[Quantité]])/Tab_Compteur_6[[#This Row],[Delta Jour]],"")&lt;0,"",IFERROR(IF(Str_TypeDonneesCpt6=Cpt_Index,Tab_Compteur_6[[#This Row],[Index]]-E38,Tab_Compteur_6[[#This Row],[Quantité]])/Tab_Compteur_6[[#This Row],[Delta Jour]],""))</f>
        <v/>
      </c>
      <c r="H39" s="177" t="str">
        <f>IFERROR(Tab_Compteur_6[[#This Row],[Montant]]/Tab_Compteur_6[[#This Row],[Delta Jour]],"")</f>
        <v/>
      </c>
      <c r="I39" s="188" t="str">
        <f>IF(SUM(Tab_Compteur_6[[#This Row],[Quantité]],Tab_Compteur_6[[#This Row],[Index]])&lt;=0,"",G39)</f>
        <v/>
      </c>
      <c r="J39" s="185"/>
      <c r="K39" s="36"/>
      <c r="L39" s="36"/>
      <c r="M39" s="36"/>
    </row>
    <row r="40" spans="1:13">
      <c r="A40" s="53">
        <f t="shared" si="1"/>
        <v>1</v>
      </c>
      <c r="B40" s="501"/>
      <c r="C40" s="180"/>
      <c r="D40" s="495"/>
      <c r="E40" s="502"/>
      <c r="F40" s="177">
        <f t="shared" si="0"/>
        <v>0</v>
      </c>
      <c r="G40" s="177" t="str">
        <f>IF(IFERROR(IF(Str_TypeDonneesCpt6=Cpt_Index,Tab_Compteur_6[[#This Row],[Index]]-E39,Tab_Compteur_6[[#This Row],[Quantité]])/Tab_Compteur_6[[#This Row],[Delta Jour]],"")&lt;0,"",IFERROR(IF(Str_TypeDonneesCpt6=Cpt_Index,Tab_Compteur_6[[#This Row],[Index]]-E39,Tab_Compteur_6[[#This Row],[Quantité]])/Tab_Compteur_6[[#This Row],[Delta Jour]],""))</f>
        <v/>
      </c>
      <c r="H40" s="177" t="str">
        <f>IFERROR(Tab_Compteur_6[[#This Row],[Montant]]/Tab_Compteur_6[[#This Row],[Delta Jour]],"")</f>
        <v/>
      </c>
      <c r="I40" s="188" t="str">
        <f>IF(SUM(Tab_Compteur_6[[#This Row],[Quantité]],Tab_Compteur_6[[#This Row],[Index]])&lt;=0,"",G40)</f>
        <v/>
      </c>
      <c r="J40" s="185"/>
      <c r="K40" s="36"/>
      <c r="L40" s="36"/>
      <c r="M40" s="36"/>
    </row>
    <row r="41" spans="1:13">
      <c r="A41" s="53">
        <f t="shared" si="1"/>
        <v>1</v>
      </c>
      <c r="B41" s="501"/>
      <c r="C41" s="180"/>
      <c r="D41" s="495"/>
      <c r="E41" s="502"/>
      <c r="F41" s="177">
        <f t="shared" si="0"/>
        <v>0</v>
      </c>
      <c r="G41" s="177" t="str">
        <f>IF(IFERROR(IF(Str_TypeDonneesCpt6=Cpt_Index,Tab_Compteur_6[[#This Row],[Index]]-E40,Tab_Compteur_6[[#This Row],[Quantité]])/Tab_Compteur_6[[#This Row],[Delta Jour]],"")&lt;0,"",IFERROR(IF(Str_TypeDonneesCpt6=Cpt_Index,Tab_Compteur_6[[#This Row],[Index]]-E40,Tab_Compteur_6[[#This Row],[Quantité]])/Tab_Compteur_6[[#This Row],[Delta Jour]],""))</f>
        <v/>
      </c>
      <c r="H41" s="177" t="str">
        <f>IFERROR(Tab_Compteur_6[[#This Row],[Montant]]/Tab_Compteur_6[[#This Row],[Delta Jour]],"")</f>
        <v/>
      </c>
      <c r="I41" s="188" t="str">
        <f>IF(SUM(Tab_Compteur_6[[#This Row],[Quantité]],Tab_Compteur_6[[#This Row],[Index]])&lt;=0,"",G41)</f>
        <v/>
      </c>
      <c r="J41" s="185"/>
      <c r="K41" s="36"/>
      <c r="L41" s="36"/>
      <c r="M41" s="36"/>
    </row>
    <row r="42" spans="1:13">
      <c r="A42" s="53">
        <f t="shared" si="1"/>
        <v>1</v>
      </c>
      <c r="B42" s="501"/>
      <c r="C42" s="180"/>
      <c r="D42" s="495"/>
      <c r="E42" s="502"/>
      <c r="F42" s="177">
        <f t="shared" si="0"/>
        <v>0</v>
      </c>
      <c r="G42" s="177" t="str">
        <f>IF(IFERROR(IF(Str_TypeDonneesCpt6=Cpt_Index,Tab_Compteur_6[[#This Row],[Index]]-E41,Tab_Compteur_6[[#This Row],[Quantité]])/Tab_Compteur_6[[#This Row],[Delta Jour]],"")&lt;0,"",IFERROR(IF(Str_TypeDonneesCpt6=Cpt_Index,Tab_Compteur_6[[#This Row],[Index]]-E41,Tab_Compteur_6[[#This Row],[Quantité]])/Tab_Compteur_6[[#This Row],[Delta Jour]],""))</f>
        <v/>
      </c>
      <c r="H42" s="177" t="str">
        <f>IFERROR(Tab_Compteur_6[[#This Row],[Montant]]/Tab_Compteur_6[[#This Row],[Delta Jour]],"")</f>
        <v/>
      </c>
      <c r="I42" s="188" t="str">
        <f>IF(SUM(Tab_Compteur_6[[#This Row],[Quantité]],Tab_Compteur_6[[#This Row],[Index]])&lt;=0,"",G42)</f>
        <v/>
      </c>
      <c r="J42" s="185"/>
      <c r="K42" s="36"/>
      <c r="L42" s="36"/>
      <c r="M42" s="36"/>
    </row>
    <row r="43" spans="1:13">
      <c r="A43" s="53">
        <f t="shared" si="1"/>
        <v>1</v>
      </c>
      <c r="B43" s="501"/>
      <c r="C43" s="180"/>
      <c r="D43" s="495"/>
      <c r="E43" s="502"/>
      <c r="F43" s="177">
        <f t="shared" si="0"/>
        <v>0</v>
      </c>
      <c r="G43" s="177" t="str">
        <f>IF(IFERROR(IF(Str_TypeDonneesCpt6=Cpt_Index,Tab_Compteur_6[[#This Row],[Index]]-E42,Tab_Compteur_6[[#This Row],[Quantité]])/Tab_Compteur_6[[#This Row],[Delta Jour]],"")&lt;0,"",IFERROR(IF(Str_TypeDonneesCpt6=Cpt_Index,Tab_Compteur_6[[#This Row],[Index]]-E42,Tab_Compteur_6[[#This Row],[Quantité]])/Tab_Compteur_6[[#This Row],[Delta Jour]],""))</f>
        <v/>
      </c>
      <c r="H43" s="177" t="str">
        <f>IFERROR(Tab_Compteur_6[[#This Row],[Montant]]/Tab_Compteur_6[[#This Row],[Delta Jour]],"")</f>
        <v/>
      </c>
      <c r="I43" s="188" t="str">
        <f>IF(SUM(Tab_Compteur_6[[#This Row],[Quantité]],Tab_Compteur_6[[#This Row],[Index]])&lt;=0,"",G43)</f>
        <v/>
      </c>
      <c r="J43" s="185"/>
      <c r="K43" s="36"/>
      <c r="L43" s="36"/>
      <c r="M43" s="36"/>
    </row>
    <row r="44" spans="1:13">
      <c r="A44" s="53">
        <f t="shared" si="1"/>
        <v>1</v>
      </c>
      <c r="B44" s="501"/>
      <c r="C44" s="180"/>
      <c r="D44" s="495"/>
      <c r="E44" s="502"/>
      <c r="F44" s="177">
        <f t="shared" si="0"/>
        <v>0</v>
      </c>
      <c r="G44" s="177" t="str">
        <f>IF(IFERROR(IF(Str_TypeDonneesCpt6=Cpt_Index,Tab_Compteur_6[[#This Row],[Index]]-E43,Tab_Compteur_6[[#This Row],[Quantité]])/Tab_Compteur_6[[#This Row],[Delta Jour]],"")&lt;0,"",IFERROR(IF(Str_TypeDonneesCpt6=Cpt_Index,Tab_Compteur_6[[#This Row],[Index]]-E43,Tab_Compteur_6[[#This Row],[Quantité]])/Tab_Compteur_6[[#This Row],[Delta Jour]],""))</f>
        <v/>
      </c>
      <c r="H44" s="177" t="str">
        <f>IFERROR(Tab_Compteur_6[[#This Row],[Montant]]/Tab_Compteur_6[[#This Row],[Delta Jour]],"")</f>
        <v/>
      </c>
      <c r="I44" s="188" t="str">
        <f>IF(SUM(Tab_Compteur_6[[#This Row],[Quantité]],Tab_Compteur_6[[#This Row],[Index]])&lt;=0,"",G44)</f>
        <v/>
      </c>
      <c r="J44" s="185"/>
      <c r="K44" s="36"/>
      <c r="L44" s="36"/>
      <c r="M44" s="36"/>
    </row>
    <row r="45" spans="1:13">
      <c r="A45" s="53">
        <f t="shared" si="1"/>
        <v>1</v>
      </c>
      <c r="B45" s="501"/>
      <c r="C45" s="180"/>
      <c r="D45" s="495"/>
      <c r="E45" s="502"/>
      <c r="F45" s="177">
        <f t="shared" si="0"/>
        <v>0</v>
      </c>
      <c r="G45" s="177" t="str">
        <f>IF(IFERROR(IF(Str_TypeDonneesCpt6=Cpt_Index,Tab_Compteur_6[[#This Row],[Index]]-E44,Tab_Compteur_6[[#This Row],[Quantité]])/Tab_Compteur_6[[#This Row],[Delta Jour]],"")&lt;0,"",IFERROR(IF(Str_TypeDonneesCpt6=Cpt_Index,Tab_Compteur_6[[#This Row],[Index]]-E44,Tab_Compteur_6[[#This Row],[Quantité]])/Tab_Compteur_6[[#This Row],[Delta Jour]],""))</f>
        <v/>
      </c>
      <c r="H45" s="177" t="str">
        <f>IFERROR(Tab_Compteur_6[[#This Row],[Montant]]/Tab_Compteur_6[[#This Row],[Delta Jour]],"")</f>
        <v/>
      </c>
      <c r="I45" s="188" t="str">
        <f>IF(SUM(Tab_Compteur_6[[#This Row],[Quantité]],Tab_Compteur_6[[#This Row],[Index]])&lt;=0,"",G45)</f>
        <v/>
      </c>
      <c r="J45" s="185"/>
      <c r="K45" s="36"/>
      <c r="L45" s="36"/>
      <c r="M45" s="36"/>
    </row>
    <row r="46" spans="1:13">
      <c r="A46" s="53">
        <f t="shared" si="1"/>
        <v>1</v>
      </c>
      <c r="B46" s="501"/>
      <c r="C46" s="180"/>
      <c r="D46" s="495"/>
      <c r="E46" s="502"/>
      <c r="F46" s="177">
        <f t="shared" si="0"/>
        <v>0</v>
      </c>
      <c r="G46" s="177" t="str">
        <f>IF(IFERROR(IF(Str_TypeDonneesCpt6=Cpt_Index,Tab_Compteur_6[[#This Row],[Index]]-E45,Tab_Compteur_6[[#This Row],[Quantité]])/Tab_Compteur_6[[#This Row],[Delta Jour]],"")&lt;0,"",IFERROR(IF(Str_TypeDonneesCpt6=Cpt_Index,Tab_Compteur_6[[#This Row],[Index]]-E45,Tab_Compteur_6[[#This Row],[Quantité]])/Tab_Compteur_6[[#This Row],[Delta Jour]],""))</f>
        <v/>
      </c>
      <c r="H46" s="177" t="str">
        <f>IFERROR(Tab_Compteur_6[[#This Row],[Montant]]/Tab_Compteur_6[[#This Row],[Delta Jour]],"")</f>
        <v/>
      </c>
      <c r="I46" s="188" t="str">
        <f>IF(SUM(Tab_Compteur_6[[#This Row],[Quantité]],Tab_Compteur_6[[#This Row],[Index]])&lt;=0,"",G46)</f>
        <v/>
      </c>
      <c r="J46" s="185"/>
      <c r="K46" s="36"/>
      <c r="L46" s="36"/>
      <c r="M46" s="36"/>
    </row>
    <row r="47" spans="1:13">
      <c r="A47" s="53">
        <f t="shared" si="1"/>
        <v>1</v>
      </c>
      <c r="B47" s="501"/>
      <c r="C47" s="180"/>
      <c r="D47" s="495"/>
      <c r="E47" s="502"/>
      <c r="F47" s="177">
        <f t="shared" si="0"/>
        <v>0</v>
      </c>
      <c r="G47" s="177" t="str">
        <f>IF(IFERROR(IF(Str_TypeDonneesCpt6=Cpt_Index,Tab_Compteur_6[[#This Row],[Index]]-E46,Tab_Compteur_6[[#This Row],[Quantité]])/Tab_Compteur_6[[#This Row],[Delta Jour]],"")&lt;0,"",IFERROR(IF(Str_TypeDonneesCpt6=Cpt_Index,Tab_Compteur_6[[#This Row],[Index]]-E46,Tab_Compteur_6[[#This Row],[Quantité]])/Tab_Compteur_6[[#This Row],[Delta Jour]],""))</f>
        <v/>
      </c>
      <c r="H47" s="177" t="str">
        <f>IFERROR(Tab_Compteur_6[[#This Row],[Montant]]/Tab_Compteur_6[[#This Row],[Delta Jour]],"")</f>
        <v/>
      </c>
      <c r="I47" s="188" t="str">
        <f>IF(SUM(Tab_Compteur_6[[#This Row],[Quantité]],Tab_Compteur_6[[#This Row],[Index]])&lt;=0,"",G47)</f>
        <v/>
      </c>
      <c r="J47" s="185"/>
      <c r="K47" s="36"/>
      <c r="L47" s="36"/>
      <c r="M47" s="36"/>
    </row>
    <row r="48" spans="1:13">
      <c r="A48" s="53">
        <f t="shared" si="1"/>
        <v>1</v>
      </c>
      <c r="B48" s="501"/>
      <c r="C48" s="180"/>
      <c r="D48" s="495"/>
      <c r="E48" s="502"/>
      <c r="F48" s="177">
        <f t="shared" si="0"/>
        <v>0</v>
      </c>
      <c r="G48" s="177" t="str">
        <f>IF(IFERROR(IF(Str_TypeDonneesCpt6=Cpt_Index,Tab_Compteur_6[[#This Row],[Index]]-E47,Tab_Compteur_6[[#This Row],[Quantité]])/Tab_Compteur_6[[#This Row],[Delta Jour]],"")&lt;0,"",IFERROR(IF(Str_TypeDonneesCpt6=Cpt_Index,Tab_Compteur_6[[#This Row],[Index]]-E47,Tab_Compteur_6[[#This Row],[Quantité]])/Tab_Compteur_6[[#This Row],[Delta Jour]],""))</f>
        <v/>
      </c>
      <c r="H48" s="177" t="str">
        <f>IFERROR(Tab_Compteur_6[[#This Row],[Montant]]/Tab_Compteur_6[[#This Row],[Delta Jour]],"")</f>
        <v/>
      </c>
      <c r="I48" s="188" t="str">
        <f>IF(SUM(Tab_Compteur_6[[#This Row],[Quantité]],Tab_Compteur_6[[#This Row],[Index]])&lt;=0,"",G48)</f>
        <v/>
      </c>
      <c r="J48" s="185"/>
      <c r="K48" s="36"/>
      <c r="L48" s="36"/>
      <c r="M48" s="36"/>
    </row>
    <row r="49" spans="1:13">
      <c r="A49" s="53">
        <f t="shared" si="1"/>
        <v>1</v>
      </c>
      <c r="B49" s="501"/>
      <c r="C49" s="180"/>
      <c r="D49" s="495"/>
      <c r="E49" s="502"/>
      <c r="F49" s="177">
        <f t="shared" si="0"/>
        <v>0</v>
      </c>
      <c r="G49" s="177" t="str">
        <f>IF(IFERROR(IF(Str_TypeDonneesCpt6=Cpt_Index,Tab_Compteur_6[[#This Row],[Index]]-E48,Tab_Compteur_6[[#This Row],[Quantité]])/Tab_Compteur_6[[#This Row],[Delta Jour]],"")&lt;0,"",IFERROR(IF(Str_TypeDonneesCpt6=Cpt_Index,Tab_Compteur_6[[#This Row],[Index]]-E48,Tab_Compteur_6[[#This Row],[Quantité]])/Tab_Compteur_6[[#This Row],[Delta Jour]],""))</f>
        <v/>
      </c>
      <c r="H49" s="177" t="str">
        <f>IFERROR(Tab_Compteur_6[[#This Row],[Montant]]/Tab_Compteur_6[[#This Row],[Delta Jour]],"")</f>
        <v/>
      </c>
      <c r="I49" s="188" t="str">
        <f>IF(SUM(Tab_Compteur_6[[#This Row],[Quantité]],Tab_Compteur_6[[#This Row],[Index]])&lt;=0,"",G49)</f>
        <v/>
      </c>
      <c r="J49" s="185"/>
      <c r="K49" s="36"/>
      <c r="L49" s="36"/>
      <c r="M49" s="36"/>
    </row>
    <row r="50" spans="1:13">
      <c r="A50" s="53">
        <f t="shared" si="1"/>
        <v>1</v>
      </c>
      <c r="B50" s="501"/>
      <c r="C50" s="180"/>
      <c r="D50" s="495"/>
      <c r="E50" s="502"/>
      <c r="F50" s="177">
        <f t="shared" si="0"/>
        <v>0</v>
      </c>
      <c r="G50" s="177" t="str">
        <f>IF(IFERROR(IF(Str_TypeDonneesCpt6=Cpt_Index,Tab_Compteur_6[[#This Row],[Index]]-E49,Tab_Compteur_6[[#This Row],[Quantité]])/Tab_Compteur_6[[#This Row],[Delta Jour]],"")&lt;0,"",IFERROR(IF(Str_TypeDonneesCpt6=Cpt_Index,Tab_Compteur_6[[#This Row],[Index]]-E49,Tab_Compteur_6[[#This Row],[Quantité]])/Tab_Compteur_6[[#This Row],[Delta Jour]],""))</f>
        <v/>
      </c>
      <c r="H50" s="177" t="str">
        <f>IFERROR(Tab_Compteur_6[[#This Row],[Montant]]/Tab_Compteur_6[[#This Row],[Delta Jour]],"")</f>
        <v/>
      </c>
      <c r="I50" s="188" t="str">
        <f>IF(SUM(Tab_Compteur_6[[#This Row],[Quantité]],Tab_Compteur_6[[#This Row],[Index]])&lt;=0,"",G50)</f>
        <v/>
      </c>
      <c r="J50" s="185"/>
      <c r="K50" s="36"/>
      <c r="L50" s="36"/>
      <c r="M50" s="36"/>
    </row>
    <row r="51" spans="1:13">
      <c r="A51" s="53">
        <f t="shared" si="1"/>
        <v>1</v>
      </c>
      <c r="B51" s="501"/>
      <c r="C51" s="180"/>
      <c r="D51" s="495"/>
      <c r="E51" s="502"/>
      <c r="F51" s="177">
        <f t="shared" si="0"/>
        <v>0</v>
      </c>
      <c r="G51" s="177" t="str">
        <f>IF(IFERROR(IF(Str_TypeDonneesCpt6=Cpt_Index,Tab_Compteur_6[[#This Row],[Index]]-E50,Tab_Compteur_6[[#This Row],[Quantité]])/Tab_Compteur_6[[#This Row],[Delta Jour]],"")&lt;0,"",IFERROR(IF(Str_TypeDonneesCpt6=Cpt_Index,Tab_Compteur_6[[#This Row],[Index]]-E50,Tab_Compteur_6[[#This Row],[Quantité]])/Tab_Compteur_6[[#This Row],[Delta Jour]],""))</f>
        <v/>
      </c>
      <c r="H51" s="177" t="str">
        <f>IFERROR(Tab_Compteur_6[[#This Row],[Montant]]/Tab_Compteur_6[[#This Row],[Delta Jour]],"")</f>
        <v/>
      </c>
      <c r="I51" s="188" t="str">
        <f>IF(SUM(Tab_Compteur_6[[#This Row],[Quantité]],Tab_Compteur_6[[#This Row],[Index]])&lt;=0,"",G51)</f>
        <v/>
      </c>
      <c r="J51" s="185"/>
      <c r="K51" s="36"/>
      <c r="L51" s="36"/>
      <c r="M51" s="36"/>
    </row>
    <row r="52" spans="1:13">
      <c r="A52" s="53">
        <f t="shared" si="1"/>
        <v>1</v>
      </c>
      <c r="B52" s="501"/>
      <c r="C52" s="180"/>
      <c r="D52" s="495"/>
      <c r="E52" s="502"/>
      <c r="F52" s="177">
        <f t="shared" si="0"/>
        <v>0</v>
      </c>
      <c r="G52" s="177" t="str">
        <f>IF(IFERROR(IF(Str_TypeDonneesCpt6=Cpt_Index,Tab_Compteur_6[[#This Row],[Index]]-E51,Tab_Compteur_6[[#This Row],[Quantité]])/Tab_Compteur_6[[#This Row],[Delta Jour]],"")&lt;0,"",IFERROR(IF(Str_TypeDonneesCpt6=Cpt_Index,Tab_Compteur_6[[#This Row],[Index]]-E51,Tab_Compteur_6[[#This Row],[Quantité]])/Tab_Compteur_6[[#This Row],[Delta Jour]],""))</f>
        <v/>
      </c>
      <c r="H52" s="177" t="str">
        <f>IFERROR(Tab_Compteur_6[[#This Row],[Montant]]/Tab_Compteur_6[[#This Row],[Delta Jour]],"")</f>
        <v/>
      </c>
      <c r="I52" s="188" t="str">
        <f>IF(SUM(Tab_Compteur_6[[#This Row],[Quantité]],Tab_Compteur_6[[#This Row],[Index]])&lt;=0,"",G52)</f>
        <v/>
      </c>
      <c r="J52" s="185"/>
      <c r="K52" s="36"/>
      <c r="L52" s="36"/>
      <c r="M52" s="36"/>
    </row>
    <row r="53" spans="1:13">
      <c r="A53" s="53">
        <f t="shared" si="1"/>
        <v>1</v>
      </c>
      <c r="B53" s="501"/>
      <c r="C53" s="180"/>
      <c r="D53" s="495"/>
      <c r="E53" s="502"/>
      <c r="F53" s="177">
        <f t="shared" si="0"/>
        <v>0</v>
      </c>
      <c r="G53" s="177" t="str">
        <f>IF(IFERROR(IF(Str_TypeDonneesCpt6=Cpt_Index,Tab_Compteur_6[[#This Row],[Index]]-E52,Tab_Compteur_6[[#This Row],[Quantité]])/Tab_Compteur_6[[#This Row],[Delta Jour]],"")&lt;0,"",IFERROR(IF(Str_TypeDonneesCpt6=Cpt_Index,Tab_Compteur_6[[#This Row],[Index]]-E52,Tab_Compteur_6[[#This Row],[Quantité]])/Tab_Compteur_6[[#This Row],[Delta Jour]],""))</f>
        <v/>
      </c>
      <c r="H53" s="177" t="str">
        <f>IFERROR(Tab_Compteur_6[[#This Row],[Montant]]/Tab_Compteur_6[[#This Row],[Delta Jour]],"")</f>
        <v/>
      </c>
      <c r="I53" s="188" t="str">
        <f>IF(SUM(Tab_Compteur_6[[#This Row],[Quantité]],Tab_Compteur_6[[#This Row],[Index]])&lt;=0,"",G53)</f>
        <v/>
      </c>
      <c r="J53" s="185"/>
      <c r="K53" s="36"/>
      <c r="L53" s="36"/>
      <c r="M53" s="36"/>
    </row>
    <row r="54" spans="1:13">
      <c r="A54" s="53">
        <f t="shared" si="1"/>
        <v>1</v>
      </c>
      <c r="B54" s="501"/>
      <c r="C54" s="180"/>
      <c r="D54" s="495"/>
      <c r="E54" s="502"/>
      <c r="F54" s="177">
        <f t="shared" si="0"/>
        <v>0</v>
      </c>
      <c r="G54" s="177" t="str">
        <f>IF(IFERROR(IF(Str_TypeDonneesCpt6=Cpt_Index,Tab_Compteur_6[[#This Row],[Index]]-E53,Tab_Compteur_6[[#This Row],[Quantité]])/Tab_Compteur_6[[#This Row],[Delta Jour]],"")&lt;0,"",IFERROR(IF(Str_TypeDonneesCpt6=Cpt_Index,Tab_Compteur_6[[#This Row],[Index]]-E53,Tab_Compteur_6[[#This Row],[Quantité]])/Tab_Compteur_6[[#This Row],[Delta Jour]],""))</f>
        <v/>
      </c>
      <c r="H54" s="177" t="str">
        <f>IFERROR(Tab_Compteur_6[[#This Row],[Montant]]/Tab_Compteur_6[[#This Row],[Delta Jour]],"")</f>
        <v/>
      </c>
      <c r="I54" s="188" t="str">
        <f>IF(SUM(Tab_Compteur_6[[#This Row],[Quantité]],Tab_Compteur_6[[#This Row],[Index]])&lt;=0,"",G54)</f>
        <v/>
      </c>
      <c r="J54" s="185"/>
      <c r="K54" s="36"/>
      <c r="L54" s="36"/>
      <c r="M54" s="36"/>
    </row>
    <row r="55" spans="1:13">
      <c r="A55" s="53">
        <f t="shared" si="1"/>
        <v>1</v>
      </c>
      <c r="B55" s="501"/>
      <c r="C55" s="180"/>
      <c r="D55" s="495"/>
      <c r="E55" s="502"/>
      <c r="F55" s="177">
        <f t="shared" si="0"/>
        <v>0</v>
      </c>
      <c r="G55" s="177" t="str">
        <f>IF(IFERROR(IF(Str_TypeDonneesCpt6=Cpt_Index,Tab_Compteur_6[[#This Row],[Index]]-E54,Tab_Compteur_6[[#This Row],[Quantité]])/Tab_Compteur_6[[#This Row],[Delta Jour]],"")&lt;0,"",IFERROR(IF(Str_TypeDonneesCpt6=Cpt_Index,Tab_Compteur_6[[#This Row],[Index]]-E54,Tab_Compteur_6[[#This Row],[Quantité]])/Tab_Compteur_6[[#This Row],[Delta Jour]],""))</f>
        <v/>
      </c>
      <c r="H55" s="177" t="str">
        <f>IFERROR(Tab_Compteur_6[[#This Row],[Montant]]/Tab_Compteur_6[[#This Row],[Delta Jour]],"")</f>
        <v/>
      </c>
      <c r="I55" s="188" t="str">
        <f>IF(SUM(Tab_Compteur_6[[#This Row],[Quantité]],Tab_Compteur_6[[#This Row],[Index]])&lt;=0,"",G55)</f>
        <v/>
      </c>
      <c r="J55" s="185"/>
      <c r="K55" s="36"/>
      <c r="L55" s="36"/>
      <c r="M55" s="36"/>
    </row>
    <row r="56" spans="1:13">
      <c r="A56" s="53">
        <f t="shared" si="1"/>
        <v>1</v>
      </c>
      <c r="B56" s="501"/>
      <c r="C56" s="180"/>
      <c r="D56" s="495"/>
      <c r="E56" s="502"/>
      <c r="F56" s="177">
        <f t="shared" si="0"/>
        <v>0</v>
      </c>
      <c r="G56" s="177" t="str">
        <f>IF(IFERROR(IF(Str_TypeDonneesCpt6=Cpt_Index,Tab_Compteur_6[[#This Row],[Index]]-E55,Tab_Compteur_6[[#This Row],[Quantité]])/Tab_Compteur_6[[#This Row],[Delta Jour]],"")&lt;0,"",IFERROR(IF(Str_TypeDonneesCpt6=Cpt_Index,Tab_Compteur_6[[#This Row],[Index]]-E55,Tab_Compteur_6[[#This Row],[Quantité]])/Tab_Compteur_6[[#This Row],[Delta Jour]],""))</f>
        <v/>
      </c>
      <c r="H56" s="177" t="str">
        <f>IFERROR(Tab_Compteur_6[[#This Row],[Montant]]/Tab_Compteur_6[[#This Row],[Delta Jour]],"")</f>
        <v/>
      </c>
      <c r="I56" s="188" t="str">
        <f>IF(SUM(Tab_Compteur_6[[#This Row],[Quantité]],Tab_Compteur_6[[#This Row],[Index]])&lt;=0,"",G56)</f>
        <v/>
      </c>
      <c r="J56" s="185"/>
      <c r="K56" s="36"/>
      <c r="L56" s="36"/>
      <c r="M56" s="36"/>
    </row>
    <row r="57" spans="1:13">
      <c r="A57" s="53">
        <f t="shared" si="1"/>
        <v>1</v>
      </c>
      <c r="B57" s="501"/>
      <c r="C57" s="180"/>
      <c r="D57" s="495"/>
      <c r="E57" s="502"/>
      <c r="F57" s="177">
        <f t="shared" si="0"/>
        <v>0</v>
      </c>
      <c r="G57" s="177" t="str">
        <f>IF(IFERROR(IF(Str_TypeDonneesCpt6=Cpt_Index,Tab_Compteur_6[[#This Row],[Index]]-E56,Tab_Compteur_6[[#This Row],[Quantité]])/Tab_Compteur_6[[#This Row],[Delta Jour]],"")&lt;0,"",IFERROR(IF(Str_TypeDonneesCpt6=Cpt_Index,Tab_Compteur_6[[#This Row],[Index]]-E56,Tab_Compteur_6[[#This Row],[Quantité]])/Tab_Compteur_6[[#This Row],[Delta Jour]],""))</f>
        <v/>
      </c>
      <c r="H57" s="177" t="str">
        <f>IFERROR(Tab_Compteur_6[[#This Row],[Montant]]/Tab_Compteur_6[[#This Row],[Delta Jour]],"")</f>
        <v/>
      </c>
      <c r="I57" s="188" t="str">
        <f>IF(SUM(Tab_Compteur_6[[#This Row],[Quantité]],Tab_Compteur_6[[#This Row],[Index]])&lt;=0,"",G57)</f>
        <v/>
      </c>
      <c r="J57" s="185"/>
      <c r="K57" s="36"/>
      <c r="L57" s="36"/>
      <c r="M57" s="36"/>
    </row>
    <row r="58" spans="1:13">
      <c r="A58" s="53">
        <f t="shared" si="1"/>
        <v>1</v>
      </c>
      <c r="B58" s="501"/>
      <c r="C58" s="180"/>
      <c r="D58" s="495"/>
      <c r="E58" s="502"/>
      <c r="F58" s="177">
        <f t="shared" si="0"/>
        <v>0</v>
      </c>
      <c r="G58" s="177" t="str">
        <f>IF(IFERROR(IF(Str_TypeDonneesCpt6=Cpt_Index,Tab_Compteur_6[[#This Row],[Index]]-E57,Tab_Compteur_6[[#This Row],[Quantité]])/Tab_Compteur_6[[#This Row],[Delta Jour]],"")&lt;0,"",IFERROR(IF(Str_TypeDonneesCpt6=Cpt_Index,Tab_Compteur_6[[#This Row],[Index]]-E57,Tab_Compteur_6[[#This Row],[Quantité]])/Tab_Compteur_6[[#This Row],[Delta Jour]],""))</f>
        <v/>
      </c>
      <c r="H58" s="177" t="str">
        <f>IFERROR(Tab_Compteur_6[[#This Row],[Montant]]/Tab_Compteur_6[[#This Row],[Delta Jour]],"")</f>
        <v/>
      </c>
      <c r="I58" s="188" t="str">
        <f>IF(SUM(Tab_Compteur_6[[#This Row],[Quantité]],Tab_Compteur_6[[#This Row],[Index]])&lt;=0,"",G58)</f>
        <v/>
      </c>
      <c r="J58" s="185"/>
      <c r="K58" s="36"/>
      <c r="L58" s="36"/>
      <c r="M58" s="36"/>
    </row>
    <row r="59" spans="1:13">
      <c r="A59" s="53">
        <f t="shared" si="1"/>
        <v>1</v>
      </c>
      <c r="B59" s="501"/>
      <c r="C59" s="180"/>
      <c r="D59" s="495"/>
      <c r="E59" s="502"/>
      <c r="F59" s="177">
        <f t="shared" si="0"/>
        <v>0</v>
      </c>
      <c r="G59" s="177" t="str">
        <f>IF(IFERROR(IF(Str_TypeDonneesCpt6=Cpt_Index,Tab_Compteur_6[[#This Row],[Index]]-E58,Tab_Compteur_6[[#This Row],[Quantité]])/Tab_Compteur_6[[#This Row],[Delta Jour]],"")&lt;0,"",IFERROR(IF(Str_TypeDonneesCpt6=Cpt_Index,Tab_Compteur_6[[#This Row],[Index]]-E58,Tab_Compteur_6[[#This Row],[Quantité]])/Tab_Compteur_6[[#This Row],[Delta Jour]],""))</f>
        <v/>
      </c>
      <c r="H59" s="177" t="str">
        <f>IFERROR(Tab_Compteur_6[[#This Row],[Montant]]/Tab_Compteur_6[[#This Row],[Delta Jour]],"")</f>
        <v/>
      </c>
      <c r="I59" s="188" t="str">
        <f>IF(SUM(Tab_Compteur_6[[#This Row],[Quantité]],Tab_Compteur_6[[#This Row],[Index]])&lt;=0,"",G59)</f>
        <v/>
      </c>
      <c r="J59" s="185"/>
      <c r="K59" s="36"/>
      <c r="L59" s="36"/>
      <c r="M59" s="36"/>
    </row>
    <row r="60" spans="1:13">
      <c r="A60" s="53">
        <f t="shared" si="1"/>
        <v>1</v>
      </c>
      <c r="B60" s="501"/>
      <c r="C60" s="180"/>
      <c r="D60" s="495"/>
      <c r="E60" s="502"/>
      <c r="F60" s="177">
        <f t="shared" si="0"/>
        <v>0</v>
      </c>
      <c r="G60" s="177" t="str">
        <f>IF(IFERROR(IF(Str_TypeDonneesCpt6=Cpt_Index,Tab_Compteur_6[[#This Row],[Index]]-E59,Tab_Compteur_6[[#This Row],[Quantité]])/Tab_Compteur_6[[#This Row],[Delta Jour]],"")&lt;0,"",IFERROR(IF(Str_TypeDonneesCpt6=Cpt_Index,Tab_Compteur_6[[#This Row],[Index]]-E59,Tab_Compteur_6[[#This Row],[Quantité]])/Tab_Compteur_6[[#This Row],[Delta Jour]],""))</f>
        <v/>
      </c>
      <c r="H60" s="177" t="str">
        <f>IFERROR(Tab_Compteur_6[[#This Row],[Montant]]/Tab_Compteur_6[[#This Row],[Delta Jour]],"")</f>
        <v/>
      </c>
      <c r="I60" s="188" t="str">
        <f>IF(SUM(Tab_Compteur_6[[#This Row],[Quantité]],Tab_Compteur_6[[#This Row],[Index]])&lt;=0,"",G60)</f>
        <v/>
      </c>
      <c r="J60" s="185"/>
      <c r="K60" s="36"/>
      <c r="L60" s="36"/>
      <c r="M60" s="36"/>
    </row>
    <row r="61" spans="1:13">
      <c r="A61" s="53">
        <f t="shared" si="1"/>
        <v>1</v>
      </c>
      <c r="B61" s="501"/>
      <c r="C61" s="180"/>
      <c r="D61" s="495"/>
      <c r="E61" s="502"/>
      <c r="F61" s="177">
        <f t="shared" si="0"/>
        <v>0</v>
      </c>
      <c r="G61" s="177" t="str">
        <f>IF(IFERROR(IF(Str_TypeDonneesCpt6=Cpt_Index,Tab_Compteur_6[[#This Row],[Index]]-E60,Tab_Compteur_6[[#This Row],[Quantité]])/Tab_Compteur_6[[#This Row],[Delta Jour]],"")&lt;0,"",IFERROR(IF(Str_TypeDonneesCpt6=Cpt_Index,Tab_Compteur_6[[#This Row],[Index]]-E60,Tab_Compteur_6[[#This Row],[Quantité]])/Tab_Compteur_6[[#This Row],[Delta Jour]],""))</f>
        <v/>
      </c>
      <c r="H61" s="177" t="str">
        <f>IFERROR(Tab_Compteur_6[[#This Row],[Montant]]/Tab_Compteur_6[[#This Row],[Delta Jour]],"")</f>
        <v/>
      </c>
      <c r="I61" s="188" t="str">
        <f>IF(SUM(Tab_Compteur_6[[#This Row],[Quantité]],Tab_Compteur_6[[#This Row],[Index]])&lt;=0,"",G61)</f>
        <v/>
      </c>
      <c r="J61" s="185"/>
      <c r="K61" s="36"/>
      <c r="L61" s="36"/>
      <c r="M61" s="36"/>
    </row>
    <row r="62" spans="1:13">
      <c r="A62" s="53">
        <f t="shared" si="1"/>
        <v>1</v>
      </c>
      <c r="B62" s="501"/>
      <c r="C62" s="180"/>
      <c r="D62" s="495"/>
      <c r="E62" s="502"/>
      <c r="F62" s="177">
        <f t="shared" si="0"/>
        <v>0</v>
      </c>
      <c r="G62" s="177" t="str">
        <f>IF(IFERROR(IF(Str_TypeDonneesCpt6=Cpt_Index,Tab_Compteur_6[[#This Row],[Index]]-E61,Tab_Compteur_6[[#This Row],[Quantité]])/Tab_Compteur_6[[#This Row],[Delta Jour]],"")&lt;0,"",IFERROR(IF(Str_TypeDonneesCpt6=Cpt_Index,Tab_Compteur_6[[#This Row],[Index]]-E61,Tab_Compteur_6[[#This Row],[Quantité]])/Tab_Compteur_6[[#This Row],[Delta Jour]],""))</f>
        <v/>
      </c>
      <c r="H62" s="177" t="str">
        <f>IFERROR(Tab_Compteur_6[[#This Row],[Montant]]/Tab_Compteur_6[[#This Row],[Delta Jour]],"")</f>
        <v/>
      </c>
      <c r="I62" s="188" t="str">
        <f>IF(SUM(Tab_Compteur_6[[#This Row],[Quantité]],Tab_Compteur_6[[#This Row],[Index]])&lt;=0,"",G62)</f>
        <v/>
      </c>
      <c r="J62" s="185"/>
      <c r="K62" s="36"/>
      <c r="L62" s="36"/>
      <c r="M62" s="36"/>
    </row>
    <row r="63" spans="1:13">
      <c r="A63" s="53">
        <f t="shared" si="1"/>
        <v>1</v>
      </c>
      <c r="B63" s="501"/>
      <c r="C63" s="180"/>
      <c r="D63" s="495"/>
      <c r="E63" s="502"/>
      <c r="F63" s="177">
        <f t="shared" si="0"/>
        <v>0</v>
      </c>
      <c r="G63" s="177" t="str">
        <f>IF(IFERROR(IF(Str_TypeDonneesCpt6=Cpt_Index,Tab_Compteur_6[[#This Row],[Index]]-E62,Tab_Compteur_6[[#This Row],[Quantité]])/Tab_Compteur_6[[#This Row],[Delta Jour]],"")&lt;0,"",IFERROR(IF(Str_TypeDonneesCpt6=Cpt_Index,Tab_Compteur_6[[#This Row],[Index]]-E62,Tab_Compteur_6[[#This Row],[Quantité]])/Tab_Compteur_6[[#This Row],[Delta Jour]],""))</f>
        <v/>
      </c>
      <c r="H63" s="177" t="str">
        <f>IFERROR(Tab_Compteur_6[[#This Row],[Montant]]/Tab_Compteur_6[[#This Row],[Delta Jour]],"")</f>
        <v/>
      </c>
      <c r="I63" s="188" t="str">
        <f>IF(SUM(Tab_Compteur_6[[#This Row],[Quantité]],Tab_Compteur_6[[#This Row],[Index]])&lt;=0,"",G63)</f>
        <v/>
      </c>
      <c r="J63" s="185"/>
      <c r="K63" s="36"/>
      <c r="L63" s="36"/>
      <c r="M63" s="36"/>
    </row>
    <row r="64" spans="1:13">
      <c r="A64" s="53">
        <f t="shared" si="1"/>
        <v>1</v>
      </c>
      <c r="B64" s="501"/>
      <c r="C64" s="180"/>
      <c r="D64" s="495"/>
      <c r="E64" s="502"/>
      <c r="F64" s="177">
        <f t="shared" si="0"/>
        <v>0</v>
      </c>
      <c r="G64" s="177" t="str">
        <f>IF(IFERROR(IF(Str_TypeDonneesCpt6=Cpt_Index,Tab_Compteur_6[[#This Row],[Index]]-E63,Tab_Compteur_6[[#This Row],[Quantité]])/Tab_Compteur_6[[#This Row],[Delta Jour]],"")&lt;0,"",IFERROR(IF(Str_TypeDonneesCpt6=Cpt_Index,Tab_Compteur_6[[#This Row],[Index]]-E63,Tab_Compteur_6[[#This Row],[Quantité]])/Tab_Compteur_6[[#This Row],[Delta Jour]],""))</f>
        <v/>
      </c>
      <c r="H64" s="177" t="str">
        <f>IFERROR(Tab_Compteur_6[[#This Row],[Montant]]/Tab_Compteur_6[[#This Row],[Delta Jour]],"")</f>
        <v/>
      </c>
      <c r="I64" s="188" t="str">
        <f>IF(SUM(Tab_Compteur_6[[#This Row],[Quantité]],Tab_Compteur_6[[#This Row],[Index]])&lt;=0,"",G64)</f>
        <v/>
      </c>
      <c r="J64" s="185"/>
      <c r="K64" s="36"/>
      <c r="L64" s="36"/>
      <c r="M64" s="36"/>
    </row>
    <row r="65" spans="1:13">
      <c r="A65" s="53">
        <f t="shared" si="1"/>
        <v>1</v>
      </c>
      <c r="B65" s="501"/>
      <c r="C65" s="180"/>
      <c r="D65" s="495"/>
      <c r="E65" s="502"/>
      <c r="F65" s="177">
        <f t="shared" si="0"/>
        <v>0</v>
      </c>
      <c r="G65" s="177" t="str">
        <f>IF(IFERROR(IF(Str_TypeDonneesCpt6=Cpt_Index,Tab_Compteur_6[[#This Row],[Index]]-E64,Tab_Compteur_6[[#This Row],[Quantité]])/Tab_Compteur_6[[#This Row],[Delta Jour]],"")&lt;0,"",IFERROR(IF(Str_TypeDonneesCpt6=Cpt_Index,Tab_Compteur_6[[#This Row],[Index]]-E64,Tab_Compteur_6[[#This Row],[Quantité]])/Tab_Compteur_6[[#This Row],[Delta Jour]],""))</f>
        <v/>
      </c>
      <c r="H65" s="177" t="str">
        <f>IFERROR(Tab_Compteur_6[[#This Row],[Montant]]/Tab_Compteur_6[[#This Row],[Delta Jour]],"")</f>
        <v/>
      </c>
      <c r="I65" s="188" t="str">
        <f>IF(SUM(Tab_Compteur_6[[#This Row],[Quantité]],Tab_Compteur_6[[#This Row],[Index]])&lt;=0,"",G65)</f>
        <v/>
      </c>
      <c r="J65" s="185"/>
      <c r="K65" s="36"/>
      <c r="L65" s="36"/>
      <c r="M65" s="36"/>
    </row>
    <row r="66" spans="1:13">
      <c r="A66" s="53">
        <f t="shared" si="1"/>
        <v>1</v>
      </c>
      <c r="B66" s="501"/>
      <c r="C66" s="180"/>
      <c r="D66" s="495"/>
      <c r="E66" s="502"/>
      <c r="F66" s="177">
        <f t="shared" si="0"/>
        <v>0</v>
      </c>
      <c r="G66" s="177" t="str">
        <f>IF(IFERROR(IF(Str_TypeDonneesCpt6=Cpt_Index,Tab_Compteur_6[[#This Row],[Index]]-E65,Tab_Compteur_6[[#This Row],[Quantité]])/Tab_Compteur_6[[#This Row],[Delta Jour]],"")&lt;0,"",IFERROR(IF(Str_TypeDonneesCpt6=Cpt_Index,Tab_Compteur_6[[#This Row],[Index]]-E65,Tab_Compteur_6[[#This Row],[Quantité]])/Tab_Compteur_6[[#This Row],[Delta Jour]],""))</f>
        <v/>
      </c>
      <c r="H66" s="177" t="str">
        <f>IFERROR(Tab_Compteur_6[[#This Row],[Montant]]/Tab_Compteur_6[[#This Row],[Delta Jour]],"")</f>
        <v/>
      </c>
      <c r="I66" s="188" t="str">
        <f>IF(SUM(Tab_Compteur_6[[#This Row],[Quantité]],Tab_Compteur_6[[#This Row],[Index]])&lt;=0,"",G66)</f>
        <v/>
      </c>
      <c r="J66" s="185"/>
      <c r="K66" s="36"/>
      <c r="L66" s="36"/>
      <c r="M66" s="36"/>
    </row>
    <row r="67" spans="1:13">
      <c r="A67" s="53">
        <f t="shared" si="1"/>
        <v>1</v>
      </c>
      <c r="B67" s="501"/>
      <c r="C67" s="180"/>
      <c r="D67" s="495"/>
      <c r="E67" s="502"/>
      <c r="F67" s="177">
        <f t="shared" ref="F67:F130" si="2">IFERROR(B67-A67+1,"")</f>
        <v>0</v>
      </c>
      <c r="G67" s="177" t="str">
        <f>IF(IFERROR(IF(Str_TypeDonneesCpt6=Cpt_Index,Tab_Compteur_6[[#This Row],[Index]]-E66,Tab_Compteur_6[[#This Row],[Quantité]])/Tab_Compteur_6[[#This Row],[Delta Jour]],"")&lt;0,"",IFERROR(IF(Str_TypeDonneesCpt6=Cpt_Index,Tab_Compteur_6[[#This Row],[Index]]-E66,Tab_Compteur_6[[#This Row],[Quantité]])/Tab_Compteur_6[[#This Row],[Delta Jour]],""))</f>
        <v/>
      </c>
      <c r="H67" s="177" t="str">
        <f>IFERROR(Tab_Compteur_6[[#This Row],[Montant]]/Tab_Compteur_6[[#This Row],[Delta Jour]],"")</f>
        <v/>
      </c>
      <c r="I67" s="188" t="str">
        <f>IF(SUM(Tab_Compteur_6[[#This Row],[Quantité]],Tab_Compteur_6[[#This Row],[Index]])&lt;=0,"",G67)</f>
        <v/>
      </c>
      <c r="J67" s="185"/>
      <c r="K67" s="36"/>
      <c r="L67" s="36"/>
      <c r="M67" s="36"/>
    </row>
    <row r="68" spans="1:13">
      <c r="A68" s="53">
        <f t="shared" si="1"/>
        <v>1</v>
      </c>
      <c r="B68" s="501"/>
      <c r="C68" s="180"/>
      <c r="D68" s="495"/>
      <c r="E68" s="502"/>
      <c r="F68" s="177">
        <f t="shared" si="2"/>
        <v>0</v>
      </c>
      <c r="G68" s="177" t="str">
        <f>IF(IFERROR(IF(Str_TypeDonneesCpt6=Cpt_Index,Tab_Compteur_6[[#This Row],[Index]]-E67,Tab_Compteur_6[[#This Row],[Quantité]])/Tab_Compteur_6[[#This Row],[Delta Jour]],"")&lt;0,"",IFERROR(IF(Str_TypeDonneesCpt6=Cpt_Index,Tab_Compteur_6[[#This Row],[Index]]-E67,Tab_Compteur_6[[#This Row],[Quantité]])/Tab_Compteur_6[[#This Row],[Delta Jour]],""))</f>
        <v/>
      </c>
      <c r="H68" s="177" t="str">
        <f>IFERROR(Tab_Compteur_6[[#This Row],[Montant]]/Tab_Compteur_6[[#This Row],[Delta Jour]],"")</f>
        <v/>
      </c>
      <c r="I68" s="188" t="str">
        <f>IF(SUM(Tab_Compteur_6[[#This Row],[Quantité]],Tab_Compteur_6[[#This Row],[Index]])&lt;=0,"",G68)</f>
        <v/>
      </c>
      <c r="J68" s="185"/>
      <c r="K68" s="36"/>
      <c r="L68" s="36"/>
      <c r="M68" s="36"/>
    </row>
    <row r="69" spans="1:13">
      <c r="A69" s="53">
        <f t="shared" si="1"/>
        <v>1</v>
      </c>
      <c r="B69" s="501"/>
      <c r="C69" s="180"/>
      <c r="D69" s="495"/>
      <c r="E69" s="502"/>
      <c r="F69" s="177">
        <f t="shared" si="2"/>
        <v>0</v>
      </c>
      <c r="G69" s="177" t="str">
        <f>IF(IFERROR(IF(Str_TypeDonneesCpt6=Cpt_Index,Tab_Compteur_6[[#This Row],[Index]]-E68,Tab_Compteur_6[[#This Row],[Quantité]])/Tab_Compteur_6[[#This Row],[Delta Jour]],"")&lt;0,"",IFERROR(IF(Str_TypeDonneesCpt6=Cpt_Index,Tab_Compteur_6[[#This Row],[Index]]-E68,Tab_Compteur_6[[#This Row],[Quantité]])/Tab_Compteur_6[[#This Row],[Delta Jour]],""))</f>
        <v/>
      </c>
      <c r="H69" s="177" t="str">
        <f>IFERROR(Tab_Compteur_6[[#This Row],[Montant]]/Tab_Compteur_6[[#This Row],[Delta Jour]],"")</f>
        <v/>
      </c>
      <c r="I69" s="188" t="str">
        <f>IF(SUM(Tab_Compteur_6[[#This Row],[Quantité]],Tab_Compteur_6[[#This Row],[Index]])&lt;=0,"",G69)</f>
        <v/>
      </c>
      <c r="J69" s="185"/>
      <c r="K69" s="36"/>
      <c r="L69" s="36"/>
      <c r="M69" s="36"/>
    </row>
    <row r="70" spans="1:13">
      <c r="A70" s="53">
        <f t="shared" ref="A70:A133" si="3">IFERROR(B69+1,0)</f>
        <v>1</v>
      </c>
      <c r="B70" s="501"/>
      <c r="C70" s="180"/>
      <c r="D70" s="495"/>
      <c r="E70" s="502"/>
      <c r="F70" s="177">
        <f t="shared" si="2"/>
        <v>0</v>
      </c>
      <c r="G70" s="177" t="str">
        <f>IF(IFERROR(IF(Str_TypeDonneesCpt6=Cpt_Index,Tab_Compteur_6[[#This Row],[Index]]-E69,Tab_Compteur_6[[#This Row],[Quantité]])/Tab_Compteur_6[[#This Row],[Delta Jour]],"")&lt;0,"",IFERROR(IF(Str_TypeDonneesCpt6=Cpt_Index,Tab_Compteur_6[[#This Row],[Index]]-E69,Tab_Compteur_6[[#This Row],[Quantité]])/Tab_Compteur_6[[#This Row],[Delta Jour]],""))</f>
        <v/>
      </c>
      <c r="H70" s="177" t="str">
        <f>IFERROR(Tab_Compteur_6[[#This Row],[Montant]]/Tab_Compteur_6[[#This Row],[Delta Jour]],"")</f>
        <v/>
      </c>
      <c r="I70" s="188" t="str">
        <f>IF(SUM(Tab_Compteur_6[[#This Row],[Quantité]],Tab_Compteur_6[[#This Row],[Index]])&lt;=0,"",G70)</f>
        <v/>
      </c>
      <c r="J70" s="185"/>
      <c r="K70" s="36"/>
      <c r="L70" s="36"/>
      <c r="M70" s="36"/>
    </row>
    <row r="71" spans="1:13">
      <c r="A71" s="53">
        <f t="shared" si="3"/>
        <v>1</v>
      </c>
      <c r="B71" s="501"/>
      <c r="C71" s="180"/>
      <c r="D71" s="495"/>
      <c r="E71" s="502"/>
      <c r="F71" s="177">
        <f t="shared" si="2"/>
        <v>0</v>
      </c>
      <c r="G71" s="177" t="str">
        <f>IF(IFERROR(IF(Str_TypeDonneesCpt6=Cpt_Index,Tab_Compteur_6[[#This Row],[Index]]-E70,Tab_Compteur_6[[#This Row],[Quantité]])/Tab_Compteur_6[[#This Row],[Delta Jour]],"")&lt;0,"",IFERROR(IF(Str_TypeDonneesCpt6=Cpt_Index,Tab_Compteur_6[[#This Row],[Index]]-E70,Tab_Compteur_6[[#This Row],[Quantité]])/Tab_Compteur_6[[#This Row],[Delta Jour]],""))</f>
        <v/>
      </c>
      <c r="H71" s="177" t="str">
        <f>IFERROR(Tab_Compteur_6[[#This Row],[Montant]]/Tab_Compteur_6[[#This Row],[Delta Jour]],"")</f>
        <v/>
      </c>
      <c r="I71" s="188" t="str">
        <f>IF(SUM(Tab_Compteur_6[[#This Row],[Quantité]],Tab_Compteur_6[[#This Row],[Index]])&lt;=0,"",G71)</f>
        <v/>
      </c>
      <c r="J71" s="185"/>
      <c r="K71" s="36"/>
      <c r="L71" s="36"/>
      <c r="M71" s="36"/>
    </row>
    <row r="72" spans="1:13">
      <c r="A72" s="53">
        <f t="shared" si="3"/>
        <v>1</v>
      </c>
      <c r="B72" s="501"/>
      <c r="C72" s="180"/>
      <c r="D72" s="495"/>
      <c r="E72" s="502"/>
      <c r="F72" s="177">
        <f t="shared" si="2"/>
        <v>0</v>
      </c>
      <c r="G72" s="177" t="str">
        <f>IF(IFERROR(IF(Str_TypeDonneesCpt6=Cpt_Index,Tab_Compteur_6[[#This Row],[Index]]-E71,Tab_Compteur_6[[#This Row],[Quantité]])/Tab_Compteur_6[[#This Row],[Delta Jour]],"")&lt;0,"",IFERROR(IF(Str_TypeDonneesCpt6=Cpt_Index,Tab_Compteur_6[[#This Row],[Index]]-E71,Tab_Compteur_6[[#This Row],[Quantité]])/Tab_Compteur_6[[#This Row],[Delta Jour]],""))</f>
        <v/>
      </c>
      <c r="H72" s="177" t="str">
        <f>IFERROR(Tab_Compteur_6[[#This Row],[Montant]]/Tab_Compteur_6[[#This Row],[Delta Jour]],"")</f>
        <v/>
      </c>
      <c r="I72" s="188" t="str">
        <f>IF(SUM(Tab_Compteur_6[[#This Row],[Quantité]],Tab_Compteur_6[[#This Row],[Index]])&lt;=0,"",G72)</f>
        <v/>
      </c>
      <c r="J72" s="185"/>
      <c r="K72" s="36"/>
      <c r="L72" s="36"/>
      <c r="M72" s="36"/>
    </row>
    <row r="73" spans="1:13">
      <c r="A73" s="53">
        <f t="shared" si="3"/>
        <v>1</v>
      </c>
      <c r="B73" s="501"/>
      <c r="C73" s="180"/>
      <c r="D73" s="495"/>
      <c r="E73" s="502"/>
      <c r="F73" s="177">
        <f t="shared" si="2"/>
        <v>0</v>
      </c>
      <c r="G73" s="177" t="str">
        <f>IF(IFERROR(IF(Str_TypeDonneesCpt6=Cpt_Index,Tab_Compteur_6[[#This Row],[Index]]-E72,Tab_Compteur_6[[#This Row],[Quantité]])/Tab_Compteur_6[[#This Row],[Delta Jour]],"")&lt;0,"",IFERROR(IF(Str_TypeDonneesCpt6=Cpt_Index,Tab_Compteur_6[[#This Row],[Index]]-E72,Tab_Compteur_6[[#This Row],[Quantité]])/Tab_Compteur_6[[#This Row],[Delta Jour]],""))</f>
        <v/>
      </c>
      <c r="H73" s="177" t="str">
        <f>IFERROR(Tab_Compteur_6[[#This Row],[Montant]]/Tab_Compteur_6[[#This Row],[Delta Jour]],"")</f>
        <v/>
      </c>
      <c r="I73" s="188" t="str">
        <f>IF(SUM(Tab_Compteur_6[[#This Row],[Quantité]],Tab_Compteur_6[[#This Row],[Index]])&lt;=0,"",G73)</f>
        <v/>
      </c>
      <c r="J73" s="185"/>
      <c r="K73" s="36"/>
      <c r="L73" s="36"/>
      <c r="M73" s="36"/>
    </row>
    <row r="74" spans="1:13">
      <c r="A74" s="53">
        <f t="shared" si="3"/>
        <v>1</v>
      </c>
      <c r="B74" s="501"/>
      <c r="C74" s="180"/>
      <c r="D74" s="495"/>
      <c r="E74" s="502"/>
      <c r="F74" s="177">
        <f t="shared" si="2"/>
        <v>0</v>
      </c>
      <c r="G74" s="177" t="str">
        <f>IF(IFERROR(IF(Str_TypeDonneesCpt6=Cpt_Index,Tab_Compteur_6[[#This Row],[Index]]-E73,Tab_Compteur_6[[#This Row],[Quantité]])/Tab_Compteur_6[[#This Row],[Delta Jour]],"")&lt;0,"",IFERROR(IF(Str_TypeDonneesCpt6=Cpt_Index,Tab_Compteur_6[[#This Row],[Index]]-E73,Tab_Compteur_6[[#This Row],[Quantité]])/Tab_Compteur_6[[#This Row],[Delta Jour]],""))</f>
        <v/>
      </c>
      <c r="H74" s="177" t="str">
        <f>IFERROR(Tab_Compteur_6[[#This Row],[Montant]]/Tab_Compteur_6[[#This Row],[Delta Jour]],"")</f>
        <v/>
      </c>
      <c r="I74" s="188" t="str">
        <f>IF(SUM(Tab_Compteur_6[[#This Row],[Quantité]],Tab_Compteur_6[[#This Row],[Index]])&lt;=0,"",G74)</f>
        <v/>
      </c>
      <c r="J74" s="185"/>
      <c r="K74" s="36"/>
      <c r="L74" s="36"/>
      <c r="M74" s="36"/>
    </row>
    <row r="75" spans="1:13">
      <c r="A75" s="53">
        <f t="shared" si="3"/>
        <v>1</v>
      </c>
      <c r="B75" s="501"/>
      <c r="C75" s="180"/>
      <c r="D75" s="495"/>
      <c r="E75" s="502"/>
      <c r="F75" s="177">
        <f t="shared" si="2"/>
        <v>0</v>
      </c>
      <c r="G75" s="177" t="str">
        <f>IF(IFERROR(IF(Str_TypeDonneesCpt6=Cpt_Index,Tab_Compteur_6[[#This Row],[Index]]-E74,Tab_Compteur_6[[#This Row],[Quantité]])/Tab_Compteur_6[[#This Row],[Delta Jour]],"")&lt;0,"",IFERROR(IF(Str_TypeDonneesCpt6=Cpt_Index,Tab_Compteur_6[[#This Row],[Index]]-E74,Tab_Compteur_6[[#This Row],[Quantité]])/Tab_Compteur_6[[#This Row],[Delta Jour]],""))</f>
        <v/>
      </c>
      <c r="H75" s="177" t="str">
        <f>IFERROR(Tab_Compteur_6[[#This Row],[Montant]]/Tab_Compteur_6[[#This Row],[Delta Jour]],"")</f>
        <v/>
      </c>
      <c r="I75" s="188" t="str">
        <f>IF(SUM(Tab_Compteur_6[[#This Row],[Quantité]],Tab_Compteur_6[[#This Row],[Index]])&lt;=0,"",G75)</f>
        <v/>
      </c>
      <c r="J75" s="185"/>
      <c r="K75" s="36"/>
      <c r="L75" s="36"/>
      <c r="M75" s="36"/>
    </row>
    <row r="76" spans="1:13">
      <c r="A76" s="53">
        <f t="shared" si="3"/>
        <v>1</v>
      </c>
      <c r="B76" s="501"/>
      <c r="C76" s="180"/>
      <c r="D76" s="495"/>
      <c r="E76" s="502"/>
      <c r="F76" s="177">
        <f t="shared" si="2"/>
        <v>0</v>
      </c>
      <c r="G76" s="177" t="str">
        <f>IF(IFERROR(IF(Str_TypeDonneesCpt6=Cpt_Index,Tab_Compteur_6[[#This Row],[Index]]-E75,Tab_Compteur_6[[#This Row],[Quantité]])/Tab_Compteur_6[[#This Row],[Delta Jour]],"")&lt;0,"",IFERROR(IF(Str_TypeDonneesCpt6=Cpt_Index,Tab_Compteur_6[[#This Row],[Index]]-E75,Tab_Compteur_6[[#This Row],[Quantité]])/Tab_Compteur_6[[#This Row],[Delta Jour]],""))</f>
        <v/>
      </c>
      <c r="H76" s="177" t="str">
        <f>IFERROR(Tab_Compteur_6[[#This Row],[Montant]]/Tab_Compteur_6[[#This Row],[Delta Jour]],"")</f>
        <v/>
      </c>
      <c r="I76" s="188" t="str">
        <f>IF(SUM(Tab_Compteur_6[[#This Row],[Quantité]],Tab_Compteur_6[[#This Row],[Index]])&lt;=0,"",G76)</f>
        <v/>
      </c>
      <c r="J76" s="185"/>
      <c r="K76" s="36"/>
      <c r="L76" s="36"/>
      <c r="M76" s="36"/>
    </row>
    <row r="77" spans="1:13">
      <c r="A77" s="53">
        <f t="shared" si="3"/>
        <v>1</v>
      </c>
      <c r="B77" s="501"/>
      <c r="C77" s="180"/>
      <c r="D77" s="495"/>
      <c r="E77" s="502"/>
      <c r="F77" s="177">
        <f t="shared" si="2"/>
        <v>0</v>
      </c>
      <c r="G77" s="177" t="str">
        <f>IF(IFERROR(IF(Str_TypeDonneesCpt6=Cpt_Index,Tab_Compteur_6[[#This Row],[Index]]-E76,Tab_Compteur_6[[#This Row],[Quantité]])/Tab_Compteur_6[[#This Row],[Delta Jour]],"")&lt;0,"",IFERROR(IF(Str_TypeDonneesCpt6=Cpt_Index,Tab_Compteur_6[[#This Row],[Index]]-E76,Tab_Compteur_6[[#This Row],[Quantité]])/Tab_Compteur_6[[#This Row],[Delta Jour]],""))</f>
        <v/>
      </c>
      <c r="H77" s="177" t="str">
        <f>IFERROR(Tab_Compteur_6[[#This Row],[Montant]]/Tab_Compteur_6[[#This Row],[Delta Jour]],"")</f>
        <v/>
      </c>
      <c r="I77" s="188" t="str">
        <f>IF(SUM(Tab_Compteur_6[[#This Row],[Quantité]],Tab_Compteur_6[[#This Row],[Index]])&lt;=0,"",G77)</f>
        <v/>
      </c>
      <c r="J77" s="185"/>
      <c r="K77" s="36"/>
      <c r="L77" s="36"/>
      <c r="M77" s="36"/>
    </row>
    <row r="78" spans="1:13">
      <c r="A78" s="53">
        <f t="shared" si="3"/>
        <v>1</v>
      </c>
      <c r="B78" s="501"/>
      <c r="C78" s="180"/>
      <c r="D78" s="495"/>
      <c r="E78" s="502"/>
      <c r="F78" s="177">
        <f t="shared" si="2"/>
        <v>0</v>
      </c>
      <c r="G78" s="177" t="str">
        <f>IF(IFERROR(IF(Str_TypeDonneesCpt6=Cpt_Index,Tab_Compteur_6[[#This Row],[Index]]-E77,Tab_Compteur_6[[#This Row],[Quantité]])/Tab_Compteur_6[[#This Row],[Delta Jour]],"")&lt;0,"",IFERROR(IF(Str_TypeDonneesCpt6=Cpt_Index,Tab_Compteur_6[[#This Row],[Index]]-E77,Tab_Compteur_6[[#This Row],[Quantité]])/Tab_Compteur_6[[#This Row],[Delta Jour]],""))</f>
        <v/>
      </c>
      <c r="H78" s="177" t="str">
        <f>IFERROR(Tab_Compteur_6[[#This Row],[Montant]]/Tab_Compteur_6[[#This Row],[Delta Jour]],"")</f>
        <v/>
      </c>
      <c r="I78" s="188" t="str">
        <f>IF(SUM(Tab_Compteur_6[[#This Row],[Quantité]],Tab_Compteur_6[[#This Row],[Index]])&lt;=0,"",G78)</f>
        <v/>
      </c>
      <c r="J78" s="185"/>
      <c r="K78" s="36"/>
      <c r="L78" s="36"/>
      <c r="M78" s="36"/>
    </row>
    <row r="79" spans="1:13">
      <c r="A79" s="53">
        <f t="shared" si="3"/>
        <v>1</v>
      </c>
      <c r="B79" s="501"/>
      <c r="C79" s="180"/>
      <c r="D79" s="495"/>
      <c r="E79" s="502"/>
      <c r="F79" s="177">
        <f t="shared" si="2"/>
        <v>0</v>
      </c>
      <c r="G79" s="177" t="str">
        <f>IF(IFERROR(IF(Str_TypeDonneesCpt6=Cpt_Index,Tab_Compteur_6[[#This Row],[Index]]-E78,Tab_Compteur_6[[#This Row],[Quantité]])/Tab_Compteur_6[[#This Row],[Delta Jour]],"")&lt;0,"",IFERROR(IF(Str_TypeDonneesCpt6=Cpt_Index,Tab_Compteur_6[[#This Row],[Index]]-E78,Tab_Compteur_6[[#This Row],[Quantité]])/Tab_Compteur_6[[#This Row],[Delta Jour]],""))</f>
        <v/>
      </c>
      <c r="H79" s="177" t="str">
        <f>IFERROR(Tab_Compteur_6[[#This Row],[Montant]]/Tab_Compteur_6[[#This Row],[Delta Jour]],"")</f>
        <v/>
      </c>
      <c r="I79" s="188" t="str">
        <f>IF(SUM(Tab_Compteur_6[[#This Row],[Quantité]],Tab_Compteur_6[[#This Row],[Index]])&lt;=0,"",G79)</f>
        <v/>
      </c>
      <c r="J79" s="185"/>
      <c r="K79" s="36"/>
      <c r="L79" s="36"/>
      <c r="M79" s="36"/>
    </row>
    <row r="80" spans="1:13">
      <c r="A80" s="53">
        <f t="shared" si="3"/>
        <v>1</v>
      </c>
      <c r="B80" s="501"/>
      <c r="C80" s="180"/>
      <c r="D80" s="495"/>
      <c r="E80" s="502"/>
      <c r="F80" s="177">
        <f t="shared" si="2"/>
        <v>0</v>
      </c>
      <c r="G80" s="177" t="str">
        <f>IF(IFERROR(IF(Str_TypeDonneesCpt6=Cpt_Index,Tab_Compteur_6[[#This Row],[Index]]-E79,Tab_Compteur_6[[#This Row],[Quantité]])/Tab_Compteur_6[[#This Row],[Delta Jour]],"")&lt;0,"",IFERROR(IF(Str_TypeDonneesCpt6=Cpt_Index,Tab_Compteur_6[[#This Row],[Index]]-E79,Tab_Compteur_6[[#This Row],[Quantité]])/Tab_Compteur_6[[#This Row],[Delta Jour]],""))</f>
        <v/>
      </c>
      <c r="H80" s="177" t="str">
        <f>IFERROR(Tab_Compteur_6[[#This Row],[Montant]]/Tab_Compteur_6[[#This Row],[Delta Jour]],"")</f>
        <v/>
      </c>
      <c r="I80" s="188" t="str">
        <f>IF(SUM(Tab_Compteur_6[[#This Row],[Quantité]],Tab_Compteur_6[[#This Row],[Index]])&lt;=0,"",G80)</f>
        <v/>
      </c>
      <c r="J80" s="185"/>
      <c r="K80" s="36"/>
      <c r="L80" s="36"/>
      <c r="M80" s="36"/>
    </row>
    <row r="81" spans="1:13">
      <c r="A81" s="53">
        <f t="shared" si="3"/>
        <v>1</v>
      </c>
      <c r="B81" s="501"/>
      <c r="C81" s="180"/>
      <c r="D81" s="495"/>
      <c r="E81" s="502"/>
      <c r="F81" s="177">
        <f t="shared" si="2"/>
        <v>0</v>
      </c>
      <c r="G81" s="177" t="str">
        <f>IF(IFERROR(IF(Str_TypeDonneesCpt6=Cpt_Index,Tab_Compteur_6[[#This Row],[Index]]-E80,Tab_Compteur_6[[#This Row],[Quantité]])/Tab_Compteur_6[[#This Row],[Delta Jour]],"")&lt;0,"",IFERROR(IF(Str_TypeDonneesCpt6=Cpt_Index,Tab_Compteur_6[[#This Row],[Index]]-E80,Tab_Compteur_6[[#This Row],[Quantité]])/Tab_Compteur_6[[#This Row],[Delta Jour]],""))</f>
        <v/>
      </c>
      <c r="H81" s="177" t="str">
        <f>IFERROR(Tab_Compteur_6[[#This Row],[Montant]]/Tab_Compteur_6[[#This Row],[Delta Jour]],"")</f>
        <v/>
      </c>
      <c r="I81" s="188" t="str">
        <f>IF(SUM(Tab_Compteur_6[[#This Row],[Quantité]],Tab_Compteur_6[[#This Row],[Index]])&lt;=0,"",G81)</f>
        <v/>
      </c>
      <c r="J81" s="185"/>
      <c r="K81" s="36"/>
      <c r="L81" s="36"/>
      <c r="M81" s="36"/>
    </row>
    <row r="82" spans="1:13">
      <c r="A82" s="53">
        <f t="shared" si="3"/>
        <v>1</v>
      </c>
      <c r="B82" s="501"/>
      <c r="C82" s="180"/>
      <c r="D82" s="495"/>
      <c r="E82" s="502"/>
      <c r="F82" s="177">
        <f t="shared" si="2"/>
        <v>0</v>
      </c>
      <c r="G82" s="177" t="str">
        <f>IF(IFERROR(IF(Str_TypeDonneesCpt6=Cpt_Index,Tab_Compteur_6[[#This Row],[Index]]-E81,Tab_Compteur_6[[#This Row],[Quantité]])/Tab_Compteur_6[[#This Row],[Delta Jour]],"")&lt;0,"",IFERROR(IF(Str_TypeDonneesCpt6=Cpt_Index,Tab_Compteur_6[[#This Row],[Index]]-E81,Tab_Compteur_6[[#This Row],[Quantité]])/Tab_Compteur_6[[#This Row],[Delta Jour]],""))</f>
        <v/>
      </c>
      <c r="H82" s="177" t="str">
        <f>IFERROR(Tab_Compteur_6[[#This Row],[Montant]]/Tab_Compteur_6[[#This Row],[Delta Jour]],"")</f>
        <v/>
      </c>
      <c r="I82" s="188" t="str">
        <f>IF(SUM(Tab_Compteur_6[[#This Row],[Quantité]],Tab_Compteur_6[[#This Row],[Index]])&lt;=0,"",G82)</f>
        <v/>
      </c>
      <c r="J82" s="185"/>
      <c r="K82" s="36"/>
      <c r="L82" s="36"/>
      <c r="M82" s="36"/>
    </row>
    <row r="83" spans="1:13">
      <c r="A83" s="53">
        <f t="shared" si="3"/>
        <v>1</v>
      </c>
      <c r="B83" s="501"/>
      <c r="C83" s="180"/>
      <c r="D83" s="495"/>
      <c r="E83" s="502"/>
      <c r="F83" s="177">
        <f t="shared" si="2"/>
        <v>0</v>
      </c>
      <c r="G83" s="177" t="str">
        <f>IF(IFERROR(IF(Str_TypeDonneesCpt6=Cpt_Index,Tab_Compteur_6[[#This Row],[Index]]-E82,Tab_Compteur_6[[#This Row],[Quantité]])/Tab_Compteur_6[[#This Row],[Delta Jour]],"")&lt;0,"",IFERROR(IF(Str_TypeDonneesCpt6=Cpt_Index,Tab_Compteur_6[[#This Row],[Index]]-E82,Tab_Compteur_6[[#This Row],[Quantité]])/Tab_Compteur_6[[#This Row],[Delta Jour]],""))</f>
        <v/>
      </c>
      <c r="H83" s="177" t="str">
        <f>IFERROR(Tab_Compteur_6[[#This Row],[Montant]]/Tab_Compteur_6[[#This Row],[Delta Jour]],"")</f>
        <v/>
      </c>
      <c r="I83" s="188" t="str">
        <f>IF(SUM(Tab_Compteur_6[[#This Row],[Quantité]],Tab_Compteur_6[[#This Row],[Index]])&lt;=0,"",G83)</f>
        <v/>
      </c>
      <c r="J83" s="185"/>
      <c r="K83" s="36"/>
      <c r="L83" s="36"/>
      <c r="M83" s="36"/>
    </row>
    <row r="84" spans="1:13">
      <c r="A84" s="53">
        <f t="shared" si="3"/>
        <v>1</v>
      </c>
      <c r="B84" s="501"/>
      <c r="C84" s="180"/>
      <c r="D84" s="495"/>
      <c r="E84" s="502"/>
      <c r="F84" s="177">
        <f t="shared" si="2"/>
        <v>0</v>
      </c>
      <c r="G84" s="177" t="str">
        <f>IF(IFERROR(IF(Str_TypeDonneesCpt6=Cpt_Index,Tab_Compteur_6[[#This Row],[Index]]-E83,Tab_Compteur_6[[#This Row],[Quantité]])/Tab_Compteur_6[[#This Row],[Delta Jour]],"")&lt;0,"",IFERROR(IF(Str_TypeDonneesCpt6=Cpt_Index,Tab_Compteur_6[[#This Row],[Index]]-E83,Tab_Compteur_6[[#This Row],[Quantité]])/Tab_Compteur_6[[#This Row],[Delta Jour]],""))</f>
        <v/>
      </c>
      <c r="H84" s="177" t="str">
        <f>IFERROR(Tab_Compteur_6[[#This Row],[Montant]]/Tab_Compteur_6[[#This Row],[Delta Jour]],"")</f>
        <v/>
      </c>
      <c r="I84" s="188" t="str">
        <f>IF(SUM(Tab_Compteur_6[[#This Row],[Quantité]],Tab_Compteur_6[[#This Row],[Index]])&lt;=0,"",G84)</f>
        <v/>
      </c>
      <c r="J84" s="185"/>
      <c r="K84" s="36"/>
      <c r="L84" s="36"/>
      <c r="M84" s="36"/>
    </row>
    <row r="85" spans="1:13">
      <c r="A85" s="53">
        <f t="shared" si="3"/>
        <v>1</v>
      </c>
      <c r="B85" s="501"/>
      <c r="C85" s="180"/>
      <c r="D85" s="495"/>
      <c r="E85" s="502"/>
      <c r="F85" s="177">
        <f t="shared" si="2"/>
        <v>0</v>
      </c>
      <c r="G85" s="177" t="str">
        <f>IF(IFERROR(IF(Str_TypeDonneesCpt6=Cpt_Index,Tab_Compteur_6[[#This Row],[Index]]-E84,Tab_Compteur_6[[#This Row],[Quantité]])/Tab_Compteur_6[[#This Row],[Delta Jour]],"")&lt;0,"",IFERROR(IF(Str_TypeDonneesCpt6=Cpt_Index,Tab_Compteur_6[[#This Row],[Index]]-E84,Tab_Compteur_6[[#This Row],[Quantité]])/Tab_Compteur_6[[#This Row],[Delta Jour]],""))</f>
        <v/>
      </c>
      <c r="H85" s="177" t="str">
        <f>IFERROR(Tab_Compteur_6[[#This Row],[Montant]]/Tab_Compteur_6[[#This Row],[Delta Jour]],"")</f>
        <v/>
      </c>
      <c r="I85" s="188" t="str">
        <f>IF(SUM(Tab_Compteur_6[[#This Row],[Quantité]],Tab_Compteur_6[[#This Row],[Index]])&lt;=0,"",G85)</f>
        <v/>
      </c>
      <c r="J85" s="185"/>
      <c r="K85" s="36"/>
      <c r="L85" s="36"/>
      <c r="M85" s="36"/>
    </row>
    <row r="86" spans="1:13">
      <c r="A86" s="53">
        <f t="shared" si="3"/>
        <v>1</v>
      </c>
      <c r="B86" s="501"/>
      <c r="C86" s="180"/>
      <c r="D86" s="495"/>
      <c r="E86" s="502"/>
      <c r="F86" s="177">
        <f t="shared" si="2"/>
        <v>0</v>
      </c>
      <c r="G86" s="177" t="str">
        <f>IF(IFERROR(IF(Str_TypeDonneesCpt6=Cpt_Index,Tab_Compteur_6[[#This Row],[Index]]-E85,Tab_Compteur_6[[#This Row],[Quantité]])/Tab_Compteur_6[[#This Row],[Delta Jour]],"")&lt;0,"",IFERROR(IF(Str_TypeDonneesCpt6=Cpt_Index,Tab_Compteur_6[[#This Row],[Index]]-E85,Tab_Compteur_6[[#This Row],[Quantité]])/Tab_Compteur_6[[#This Row],[Delta Jour]],""))</f>
        <v/>
      </c>
      <c r="H86" s="177" t="str">
        <f>IFERROR(Tab_Compteur_6[[#This Row],[Montant]]/Tab_Compteur_6[[#This Row],[Delta Jour]],"")</f>
        <v/>
      </c>
      <c r="I86" s="188" t="str">
        <f>IF(SUM(Tab_Compteur_6[[#This Row],[Quantité]],Tab_Compteur_6[[#This Row],[Index]])&lt;=0,"",G86)</f>
        <v/>
      </c>
      <c r="J86" s="185"/>
      <c r="K86" s="36"/>
      <c r="L86" s="36"/>
      <c r="M86" s="36"/>
    </row>
    <row r="87" spans="1:13">
      <c r="A87" s="53">
        <f t="shared" si="3"/>
        <v>1</v>
      </c>
      <c r="B87" s="501"/>
      <c r="C87" s="180"/>
      <c r="D87" s="495"/>
      <c r="E87" s="502"/>
      <c r="F87" s="177">
        <f t="shared" si="2"/>
        <v>0</v>
      </c>
      <c r="G87" s="177" t="str">
        <f>IF(IFERROR(IF(Str_TypeDonneesCpt6=Cpt_Index,Tab_Compteur_6[[#This Row],[Index]]-E86,Tab_Compteur_6[[#This Row],[Quantité]])/Tab_Compteur_6[[#This Row],[Delta Jour]],"")&lt;0,"",IFERROR(IF(Str_TypeDonneesCpt6=Cpt_Index,Tab_Compteur_6[[#This Row],[Index]]-E86,Tab_Compteur_6[[#This Row],[Quantité]])/Tab_Compteur_6[[#This Row],[Delta Jour]],""))</f>
        <v/>
      </c>
      <c r="H87" s="177" t="str">
        <f>IFERROR(Tab_Compteur_6[[#This Row],[Montant]]/Tab_Compteur_6[[#This Row],[Delta Jour]],"")</f>
        <v/>
      </c>
      <c r="I87" s="188" t="str">
        <f>IF(SUM(Tab_Compteur_6[[#This Row],[Quantité]],Tab_Compteur_6[[#This Row],[Index]])&lt;=0,"",G87)</f>
        <v/>
      </c>
      <c r="J87" s="185"/>
      <c r="K87" s="36"/>
      <c r="L87" s="36"/>
      <c r="M87" s="36"/>
    </row>
    <row r="88" spans="1:13">
      <c r="A88" s="53">
        <f t="shared" si="3"/>
        <v>1</v>
      </c>
      <c r="B88" s="501"/>
      <c r="C88" s="180"/>
      <c r="D88" s="495"/>
      <c r="E88" s="502"/>
      <c r="F88" s="177">
        <f t="shared" si="2"/>
        <v>0</v>
      </c>
      <c r="G88" s="177" t="str">
        <f>IF(IFERROR(IF(Str_TypeDonneesCpt6=Cpt_Index,Tab_Compteur_6[[#This Row],[Index]]-E87,Tab_Compteur_6[[#This Row],[Quantité]])/Tab_Compteur_6[[#This Row],[Delta Jour]],"")&lt;0,"",IFERROR(IF(Str_TypeDonneesCpt6=Cpt_Index,Tab_Compteur_6[[#This Row],[Index]]-E87,Tab_Compteur_6[[#This Row],[Quantité]])/Tab_Compteur_6[[#This Row],[Delta Jour]],""))</f>
        <v/>
      </c>
      <c r="H88" s="177" t="str">
        <f>IFERROR(Tab_Compteur_6[[#This Row],[Montant]]/Tab_Compteur_6[[#This Row],[Delta Jour]],"")</f>
        <v/>
      </c>
      <c r="I88" s="188" t="str">
        <f>IF(SUM(Tab_Compteur_6[[#This Row],[Quantité]],Tab_Compteur_6[[#This Row],[Index]])&lt;=0,"",G88)</f>
        <v/>
      </c>
      <c r="J88" s="185"/>
      <c r="K88" s="36"/>
      <c r="L88" s="36"/>
      <c r="M88" s="36"/>
    </row>
    <row r="89" spans="1:13">
      <c r="A89" s="53">
        <f t="shared" si="3"/>
        <v>1</v>
      </c>
      <c r="B89" s="501"/>
      <c r="C89" s="180"/>
      <c r="D89" s="495"/>
      <c r="E89" s="502"/>
      <c r="F89" s="177">
        <f t="shared" si="2"/>
        <v>0</v>
      </c>
      <c r="G89" s="177" t="str">
        <f>IF(IFERROR(IF(Str_TypeDonneesCpt6=Cpt_Index,Tab_Compteur_6[[#This Row],[Index]]-E88,Tab_Compteur_6[[#This Row],[Quantité]])/Tab_Compteur_6[[#This Row],[Delta Jour]],"")&lt;0,"",IFERROR(IF(Str_TypeDonneesCpt6=Cpt_Index,Tab_Compteur_6[[#This Row],[Index]]-E88,Tab_Compteur_6[[#This Row],[Quantité]])/Tab_Compteur_6[[#This Row],[Delta Jour]],""))</f>
        <v/>
      </c>
      <c r="H89" s="177" t="str">
        <f>IFERROR(Tab_Compteur_6[[#This Row],[Montant]]/Tab_Compteur_6[[#This Row],[Delta Jour]],"")</f>
        <v/>
      </c>
      <c r="I89" s="188" t="str">
        <f>IF(SUM(Tab_Compteur_6[[#This Row],[Quantité]],Tab_Compteur_6[[#This Row],[Index]])&lt;=0,"",G89)</f>
        <v/>
      </c>
      <c r="J89" s="185"/>
      <c r="K89" s="36"/>
      <c r="L89" s="36"/>
      <c r="M89" s="36"/>
    </row>
    <row r="90" spans="1:13">
      <c r="A90" s="53">
        <f t="shared" si="3"/>
        <v>1</v>
      </c>
      <c r="B90" s="501"/>
      <c r="C90" s="180"/>
      <c r="D90" s="495"/>
      <c r="E90" s="502"/>
      <c r="F90" s="177">
        <f t="shared" si="2"/>
        <v>0</v>
      </c>
      <c r="G90" s="177" t="str">
        <f>IF(IFERROR(IF(Str_TypeDonneesCpt6=Cpt_Index,Tab_Compteur_6[[#This Row],[Index]]-E89,Tab_Compteur_6[[#This Row],[Quantité]])/Tab_Compteur_6[[#This Row],[Delta Jour]],"")&lt;0,"",IFERROR(IF(Str_TypeDonneesCpt6=Cpt_Index,Tab_Compteur_6[[#This Row],[Index]]-E89,Tab_Compteur_6[[#This Row],[Quantité]])/Tab_Compteur_6[[#This Row],[Delta Jour]],""))</f>
        <v/>
      </c>
      <c r="H90" s="177" t="str">
        <f>IFERROR(Tab_Compteur_6[[#This Row],[Montant]]/Tab_Compteur_6[[#This Row],[Delta Jour]],"")</f>
        <v/>
      </c>
      <c r="I90" s="188" t="str">
        <f>IF(SUM(Tab_Compteur_6[[#This Row],[Quantité]],Tab_Compteur_6[[#This Row],[Index]])&lt;=0,"",G90)</f>
        <v/>
      </c>
      <c r="J90" s="185"/>
      <c r="K90" s="36"/>
      <c r="L90" s="36"/>
      <c r="M90" s="36"/>
    </row>
    <row r="91" spans="1:13">
      <c r="A91" s="53">
        <f t="shared" si="3"/>
        <v>1</v>
      </c>
      <c r="B91" s="501"/>
      <c r="C91" s="180"/>
      <c r="D91" s="495"/>
      <c r="E91" s="502"/>
      <c r="F91" s="177">
        <f t="shared" si="2"/>
        <v>0</v>
      </c>
      <c r="G91" s="177" t="str">
        <f>IF(IFERROR(IF(Str_TypeDonneesCpt6=Cpt_Index,Tab_Compteur_6[[#This Row],[Index]]-E90,Tab_Compteur_6[[#This Row],[Quantité]])/Tab_Compteur_6[[#This Row],[Delta Jour]],"")&lt;0,"",IFERROR(IF(Str_TypeDonneesCpt6=Cpt_Index,Tab_Compteur_6[[#This Row],[Index]]-E90,Tab_Compteur_6[[#This Row],[Quantité]])/Tab_Compteur_6[[#This Row],[Delta Jour]],""))</f>
        <v/>
      </c>
      <c r="H91" s="177" t="str">
        <f>IFERROR(Tab_Compteur_6[[#This Row],[Montant]]/Tab_Compteur_6[[#This Row],[Delta Jour]],"")</f>
        <v/>
      </c>
      <c r="I91" s="188" t="str">
        <f>IF(SUM(Tab_Compteur_6[[#This Row],[Quantité]],Tab_Compteur_6[[#This Row],[Index]])&lt;=0,"",G91)</f>
        <v/>
      </c>
      <c r="J91" s="185"/>
      <c r="K91" s="36"/>
      <c r="L91" s="36"/>
      <c r="M91" s="36"/>
    </row>
    <row r="92" spans="1:13">
      <c r="A92" s="53">
        <f t="shared" si="3"/>
        <v>1</v>
      </c>
      <c r="B92" s="501"/>
      <c r="C92" s="180"/>
      <c r="D92" s="495"/>
      <c r="E92" s="502"/>
      <c r="F92" s="177">
        <f t="shared" si="2"/>
        <v>0</v>
      </c>
      <c r="G92" s="177" t="str">
        <f>IF(IFERROR(IF(Str_TypeDonneesCpt6=Cpt_Index,Tab_Compteur_6[[#This Row],[Index]]-E91,Tab_Compteur_6[[#This Row],[Quantité]])/Tab_Compteur_6[[#This Row],[Delta Jour]],"")&lt;0,"",IFERROR(IF(Str_TypeDonneesCpt6=Cpt_Index,Tab_Compteur_6[[#This Row],[Index]]-E91,Tab_Compteur_6[[#This Row],[Quantité]])/Tab_Compteur_6[[#This Row],[Delta Jour]],""))</f>
        <v/>
      </c>
      <c r="H92" s="177" t="str">
        <f>IFERROR(Tab_Compteur_6[[#This Row],[Montant]]/Tab_Compteur_6[[#This Row],[Delta Jour]],"")</f>
        <v/>
      </c>
      <c r="I92" s="188" t="str">
        <f>IF(SUM(Tab_Compteur_6[[#This Row],[Quantité]],Tab_Compteur_6[[#This Row],[Index]])&lt;=0,"",G92)</f>
        <v/>
      </c>
      <c r="J92" s="185"/>
      <c r="K92" s="36"/>
      <c r="L92" s="36"/>
      <c r="M92" s="36"/>
    </row>
    <row r="93" spans="1:13">
      <c r="A93" s="53">
        <f t="shared" si="3"/>
        <v>1</v>
      </c>
      <c r="B93" s="501"/>
      <c r="C93" s="180"/>
      <c r="D93" s="495"/>
      <c r="E93" s="502"/>
      <c r="F93" s="177">
        <f t="shared" si="2"/>
        <v>0</v>
      </c>
      <c r="G93" s="177" t="str">
        <f>IF(IFERROR(IF(Str_TypeDonneesCpt6=Cpt_Index,Tab_Compteur_6[[#This Row],[Index]]-E92,Tab_Compteur_6[[#This Row],[Quantité]])/Tab_Compteur_6[[#This Row],[Delta Jour]],"")&lt;0,"",IFERROR(IF(Str_TypeDonneesCpt6=Cpt_Index,Tab_Compteur_6[[#This Row],[Index]]-E92,Tab_Compteur_6[[#This Row],[Quantité]])/Tab_Compteur_6[[#This Row],[Delta Jour]],""))</f>
        <v/>
      </c>
      <c r="H93" s="177" t="str">
        <f>IFERROR(Tab_Compteur_6[[#This Row],[Montant]]/Tab_Compteur_6[[#This Row],[Delta Jour]],"")</f>
        <v/>
      </c>
      <c r="I93" s="188" t="str">
        <f>IF(SUM(Tab_Compteur_6[[#This Row],[Quantité]],Tab_Compteur_6[[#This Row],[Index]])&lt;=0,"",G93)</f>
        <v/>
      </c>
      <c r="J93" s="185"/>
      <c r="K93" s="36"/>
      <c r="L93" s="36"/>
      <c r="M93" s="36"/>
    </row>
    <row r="94" spans="1:13">
      <c r="A94" s="53">
        <f t="shared" si="3"/>
        <v>1</v>
      </c>
      <c r="B94" s="501"/>
      <c r="C94" s="180"/>
      <c r="D94" s="495"/>
      <c r="E94" s="502"/>
      <c r="F94" s="177">
        <f t="shared" si="2"/>
        <v>0</v>
      </c>
      <c r="G94" s="177" t="str">
        <f>IF(IFERROR(IF(Str_TypeDonneesCpt6=Cpt_Index,Tab_Compteur_6[[#This Row],[Index]]-E93,Tab_Compteur_6[[#This Row],[Quantité]])/Tab_Compteur_6[[#This Row],[Delta Jour]],"")&lt;0,"",IFERROR(IF(Str_TypeDonneesCpt6=Cpt_Index,Tab_Compteur_6[[#This Row],[Index]]-E93,Tab_Compteur_6[[#This Row],[Quantité]])/Tab_Compteur_6[[#This Row],[Delta Jour]],""))</f>
        <v/>
      </c>
      <c r="H94" s="177" t="str">
        <f>IFERROR(Tab_Compteur_6[[#This Row],[Montant]]/Tab_Compteur_6[[#This Row],[Delta Jour]],"")</f>
        <v/>
      </c>
      <c r="I94" s="188" t="str">
        <f>IF(SUM(Tab_Compteur_6[[#This Row],[Quantité]],Tab_Compteur_6[[#This Row],[Index]])&lt;=0,"",G94)</f>
        <v/>
      </c>
      <c r="J94" s="185"/>
      <c r="K94" s="36"/>
      <c r="L94" s="36"/>
      <c r="M94" s="36"/>
    </row>
    <row r="95" spans="1:13">
      <c r="A95" s="53">
        <f t="shared" si="3"/>
        <v>1</v>
      </c>
      <c r="B95" s="501"/>
      <c r="C95" s="180"/>
      <c r="D95" s="495"/>
      <c r="E95" s="502"/>
      <c r="F95" s="177">
        <f t="shared" si="2"/>
        <v>0</v>
      </c>
      <c r="G95" s="177" t="str">
        <f>IF(IFERROR(IF(Str_TypeDonneesCpt6=Cpt_Index,Tab_Compteur_6[[#This Row],[Index]]-E94,Tab_Compteur_6[[#This Row],[Quantité]])/Tab_Compteur_6[[#This Row],[Delta Jour]],"")&lt;0,"",IFERROR(IF(Str_TypeDonneesCpt6=Cpt_Index,Tab_Compteur_6[[#This Row],[Index]]-E94,Tab_Compteur_6[[#This Row],[Quantité]])/Tab_Compteur_6[[#This Row],[Delta Jour]],""))</f>
        <v/>
      </c>
      <c r="H95" s="177" t="str">
        <f>IFERROR(Tab_Compteur_6[[#This Row],[Montant]]/Tab_Compteur_6[[#This Row],[Delta Jour]],"")</f>
        <v/>
      </c>
      <c r="I95" s="188" t="str">
        <f>IF(SUM(Tab_Compteur_6[[#This Row],[Quantité]],Tab_Compteur_6[[#This Row],[Index]])&lt;=0,"",G95)</f>
        <v/>
      </c>
      <c r="J95" s="185"/>
      <c r="K95" s="36"/>
      <c r="L95" s="36"/>
      <c r="M95" s="36"/>
    </row>
    <row r="96" spans="1:13">
      <c r="A96" s="53">
        <f t="shared" si="3"/>
        <v>1</v>
      </c>
      <c r="B96" s="501"/>
      <c r="C96" s="180"/>
      <c r="D96" s="495"/>
      <c r="E96" s="502"/>
      <c r="F96" s="177">
        <f t="shared" si="2"/>
        <v>0</v>
      </c>
      <c r="G96" s="177" t="str">
        <f>IF(IFERROR(IF(Str_TypeDonneesCpt6=Cpt_Index,Tab_Compteur_6[[#This Row],[Index]]-E95,Tab_Compteur_6[[#This Row],[Quantité]])/Tab_Compteur_6[[#This Row],[Delta Jour]],"")&lt;0,"",IFERROR(IF(Str_TypeDonneesCpt6=Cpt_Index,Tab_Compteur_6[[#This Row],[Index]]-E95,Tab_Compteur_6[[#This Row],[Quantité]])/Tab_Compteur_6[[#This Row],[Delta Jour]],""))</f>
        <v/>
      </c>
      <c r="H96" s="177" t="str">
        <f>IFERROR(Tab_Compteur_6[[#This Row],[Montant]]/Tab_Compteur_6[[#This Row],[Delta Jour]],"")</f>
        <v/>
      </c>
      <c r="I96" s="188" t="str">
        <f>IF(SUM(Tab_Compteur_6[[#This Row],[Quantité]],Tab_Compteur_6[[#This Row],[Index]])&lt;=0,"",G96)</f>
        <v/>
      </c>
      <c r="J96" s="185"/>
      <c r="K96" s="36"/>
      <c r="L96" s="36"/>
      <c r="M96" s="36"/>
    </row>
    <row r="97" spans="1:13">
      <c r="A97" s="53">
        <f t="shared" si="3"/>
        <v>1</v>
      </c>
      <c r="B97" s="501"/>
      <c r="C97" s="180"/>
      <c r="D97" s="495"/>
      <c r="E97" s="502"/>
      <c r="F97" s="177">
        <f t="shared" si="2"/>
        <v>0</v>
      </c>
      <c r="G97" s="177" t="str">
        <f>IF(IFERROR(IF(Str_TypeDonneesCpt6=Cpt_Index,Tab_Compteur_6[[#This Row],[Index]]-E96,Tab_Compteur_6[[#This Row],[Quantité]])/Tab_Compteur_6[[#This Row],[Delta Jour]],"")&lt;0,"",IFERROR(IF(Str_TypeDonneesCpt6=Cpt_Index,Tab_Compteur_6[[#This Row],[Index]]-E96,Tab_Compteur_6[[#This Row],[Quantité]])/Tab_Compteur_6[[#This Row],[Delta Jour]],""))</f>
        <v/>
      </c>
      <c r="H97" s="177" t="str">
        <f>IFERROR(Tab_Compteur_6[[#This Row],[Montant]]/Tab_Compteur_6[[#This Row],[Delta Jour]],"")</f>
        <v/>
      </c>
      <c r="I97" s="188" t="str">
        <f>IF(SUM(Tab_Compteur_6[[#This Row],[Quantité]],Tab_Compteur_6[[#This Row],[Index]])&lt;=0,"",G97)</f>
        <v/>
      </c>
      <c r="J97" s="185"/>
      <c r="K97" s="36"/>
      <c r="L97" s="36"/>
      <c r="M97" s="36"/>
    </row>
    <row r="98" spans="1:13">
      <c r="A98" s="53">
        <f t="shared" si="3"/>
        <v>1</v>
      </c>
      <c r="B98" s="501"/>
      <c r="C98" s="180"/>
      <c r="D98" s="495"/>
      <c r="E98" s="502"/>
      <c r="F98" s="177">
        <f t="shared" si="2"/>
        <v>0</v>
      </c>
      <c r="G98" s="177" t="str">
        <f>IF(IFERROR(IF(Str_TypeDonneesCpt6=Cpt_Index,Tab_Compteur_6[[#This Row],[Index]]-E97,Tab_Compteur_6[[#This Row],[Quantité]])/Tab_Compteur_6[[#This Row],[Delta Jour]],"")&lt;0,"",IFERROR(IF(Str_TypeDonneesCpt6=Cpt_Index,Tab_Compteur_6[[#This Row],[Index]]-E97,Tab_Compteur_6[[#This Row],[Quantité]])/Tab_Compteur_6[[#This Row],[Delta Jour]],""))</f>
        <v/>
      </c>
      <c r="H98" s="177" t="str">
        <f>IFERROR(Tab_Compteur_6[[#This Row],[Montant]]/Tab_Compteur_6[[#This Row],[Delta Jour]],"")</f>
        <v/>
      </c>
      <c r="I98" s="188" t="str">
        <f>IF(SUM(Tab_Compteur_6[[#This Row],[Quantité]],Tab_Compteur_6[[#This Row],[Index]])&lt;=0,"",G98)</f>
        <v/>
      </c>
      <c r="J98" s="185"/>
      <c r="K98" s="36"/>
      <c r="L98" s="36"/>
      <c r="M98" s="36"/>
    </row>
    <row r="99" spans="1:13">
      <c r="A99" s="53">
        <f t="shared" si="3"/>
        <v>1</v>
      </c>
      <c r="B99" s="501"/>
      <c r="C99" s="180"/>
      <c r="D99" s="495"/>
      <c r="E99" s="502"/>
      <c r="F99" s="177">
        <f t="shared" si="2"/>
        <v>0</v>
      </c>
      <c r="G99" s="177" t="str">
        <f>IF(IFERROR(IF(Str_TypeDonneesCpt6=Cpt_Index,Tab_Compteur_6[[#This Row],[Index]]-E98,Tab_Compteur_6[[#This Row],[Quantité]])/Tab_Compteur_6[[#This Row],[Delta Jour]],"")&lt;0,"",IFERROR(IF(Str_TypeDonneesCpt6=Cpt_Index,Tab_Compteur_6[[#This Row],[Index]]-E98,Tab_Compteur_6[[#This Row],[Quantité]])/Tab_Compteur_6[[#This Row],[Delta Jour]],""))</f>
        <v/>
      </c>
      <c r="H99" s="177" t="str">
        <f>IFERROR(Tab_Compteur_6[[#This Row],[Montant]]/Tab_Compteur_6[[#This Row],[Delta Jour]],"")</f>
        <v/>
      </c>
      <c r="I99" s="188" t="str">
        <f>IF(SUM(Tab_Compteur_6[[#This Row],[Quantité]],Tab_Compteur_6[[#This Row],[Index]])&lt;=0,"",G99)</f>
        <v/>
      </c>
      <c r="J99" s="185"/>
      <c r="K99" s="36"/>
      <c r="L99" s="36"/>
      <c r="M99" s="36"/>
    </row>
    <row r="100" spans="1:13">
      <c r="A100" s="53">
        <f t="shared" si="3"/>
        <v>1</v>
      </c>
      <c r="B100" s="501"/>
      <c r="C100" s="180"/>
      <c r="D100" s="495"/>
      <c r="E100" s="502"/>
      <c r="F100" s="177">
        <f t="shared" si="2"/>
        <v>0</v>
      </c>
      <c r="G100" s="177" t="str">
        <f>IF(IFERROR(IF(Str_TypeDonneesCpt6=Cpt_Index,Tab_Compteur_6[[#This Row],[Index]]-E99,Tab_Compteur_6[[#This Row],[Quantité]])/Tab_Compteur_6[[#This Row],[Delta Jour]],"")&lt;0,"",IFERROR(IF(Str_TypeDonneesCpt6=Cpt_Index,Tab_Compteur_6[[#This Row],[Index]]-E99,Tab_Compteur_6[[#This Row],[Quantité]])/Tab_Compteur_6[[#This Row],[Delta Jour]],""))</f>
        <v/>
      </c>
      <c r="H100" s="177" t="str">
        <f>IFERROR(Tab_Compteur_6[[#This Row],[Montant]]/Tab_Compteur_6[[#This Row],[Delta Jour]],"")</f>
        <v/>
      </c>
      <c r="I100" s="188" t="str">
        <f>IF(SUM(Tab_Compteur_6[[#This Row],[Quantité]],Tab_Compteur_6[[#This Row],[Index]])&lt;=0,"",G100)</f>
        <v/>
      </c>
      <c r="J100" s="185"/>
      <c r="K100" s="36"/>
      <c r="L100" s="36"/>
      <c r="M100" s="36"/>
    </row>
    <row r="101" spans="1:13">
      <c r="A101" s="53">
        <f t="shared" si="3"/>
        <v>1</v>
      </c>
      <c r="B101" s="501"/>
      <c r="C101" s="180"/>
      <c r="D101" s="495"/>
      <c r="E101" s="502"/>
      <c r="F101" s="177">
        <f t="shared" si="2"/>
        <v>0</v>
      </c>
      <c r="G101" s="177" t="str">
        <f>IF(IFERROR(IF(Str_TypeDonneesCpt6=Cpt_Index,Tab_Compteur_6[[#This Row],[Index]]-E100,Tab_Compteur_6[[#This Row],[Quantité]])/Tab_Compteur_6[[#This Row],[Delta Jour]],"")&lt;0,"",IFERROR(IF(Str_TypeDonneesCpt6=Cpt_Index,Tab_Compteur_6[[#This Row],[Index]]-E100,Tab_Compteur_6[[#This Row],[Quantité]])/Tab_Compteur_6[[#This Row],[Delta Jour]],""))</f>
        <v/>
      </c>
      <c r="H101" s="177" t="str">
        <f>IFERROR(Tab_Compteur_6[[#This Row],[Montant]]/Tab_Compteur_6[[#This Row],[Delta Jour]],"")</f>
        <v/>
      </c>
      <c r="I101" s="188" t="str">
        <f>IF(SUM(Tab_Compteur_6[[#This Row],[Quantité]],Tab_Compteur_6[[#This Row],[Index]])&lt;=0,"",G101)</f>
        <v/>
      </c>
      <c r="J101" s="185"/>
      <c r="K101" s="36"/>
      <c r="L101" s="36"/>
      <c r="M101" s="36"/>
    </row>
    <row r="102" spans="1:13">
      <c r="A102" s="53">
        <f t="shared" si="3"/>
        <v>1</v>
      </c>
      <c r="B102" s="501"/>
      <c r="C102" s="180"/>
      <c r="D102" s="495"/>
      <c r="E102" s="502"/>
      <c r="F102" s="177">
        <f t="shared" si="2"/>
        <v>0</v>
      </c>
      <c r="G102" s="177" t="str">
        <f>IF(IFERROR(IF(Str_TypeDonneesCpt6=Cpt_Index,Tab_Compteur_6[[#This Row],[Index]]-E101,Tab_Compteur_6[[#This Row],[Quantité]])/Tab_Compteur_6[[#This Row],[Delta Jour]],"")&lt;0,"",IFERROR(IF(Str_TypeDonneesCpt6=Cpt_Index,Tab_Compteur_6[[#This Row],[Index]]-E101,Tab_Compteur_6[[#This Row],[Quantité]])/Tab_Compteur_6[[#This Row],[Delta Jour]],""))</f>
        <v/>
      </c>
      <c r="H102" s="177" t="str">
        <f>IFERROR(Tab_Compteur_6[[#This Row],[Montant]]/Tab_Compteur_6[[#This Row],[Delta Jour]],"")</f>
        <v/>
      </c>
      <c r="I102" s="188" t="str">
        <f>IF(SUM(Tab_Compteur_6[[#This Row],[Quantité]],Tab_Compteur_6[[#This Row],[Index]])&lt;=0,"",G102)</f>
        <v/>
      </c>
      <c r="J102" s="185"/>
      <c r="K102" s="36"/>
      <c r="L102" s="36"/>
      <c r="M102" s="36"/>
    </row>
    <row r="103" spans="1:13">
      <c r="A103" s="53">
        <f t="shared" si="3"/>
        <v>1</v>
      </c>
      <c r="B103" s="501"/>
      <c r="C103" s="180"/>
      <c r="D103" s="495"/>
      <c r="E103" s="502"/>
      <c r="F103" s="177">
        <f t="shared" si="2"/>
        <v>0</v>
      </c>
      <c r="G103" s="177" t="str">
        <f>IF(IFERROR(IF(Str_TypeDonneesCpt6=Cpt_Index,Tab_Compteur_6[[#This Row],[Index]]-E102,Tab_Compteur_6[[#This Row],[Quantité]])/Tab_Compteur_6[[#This Row],[Delta Jour]],"")&lt;0,"",IFERROR(IF(Str_TypeDonneesCpt6=Cpt_Index,Tab_Compteur_6[[#This Row],[Index]]-E102,Tab_Compteur_6[[#This Row],[Quantité]])/Tab_Compteur_6[[#This Row],[Delta Jour]],""))</f>
        <v/>
      </c>
      <c r="H103" s="177" t="str">
        <f>IFERROR(Tab_Compteur_6[[#This Row],[Montant]]/Tab_Compteur_6[[#This Row],[Delta Jour]],"")</f>
        <v/>
      </c>
      <c r="I103" s="188" t="str">
        <f>IF(SUM(Tab_Compteur_6[[#This Row],[Quantité]],Tab_Compteur_6[[#This Row],[Index]])&lt;=0,"",G103)</f>
        <v/>
      </c>
      <c r="J103" s="185"/>
      <c r="K103" s="36"/>
      <c r="L103" s="36"/>
      <c r="M103" s="36"/>
    </row>
    <row r="104" spans="1:13">
      <c r="A104" s="53">
        <f t="shared" si="3"/>
        <v>1</v>
      </c>
      <c r="B104" s="501"/>
      <c r="C104" s="180"/>
      <c r="D104" s="495"/>
      <c r="E104" s="502"/>
      <c r="F104" s="177">
        <f t="shared" si="2"/>
        <v>0</v>
      </c>
      <c r="G104" s="177" t="str">
        <f>IF(IFERROR(IF(Str_TypeDonneesCpt6=Cpt_Index,Tab_Compteur_6[[#This Row],[Index]]-E103,Tab_Compteur_6[[#This Row],[Quantité]])/Tab_Compteur_6[[#This Row],[Delta Jour]],"")&lt;0,"",IFERROR(IF(Str_TypeDonneesCpt6=Cpt_Index,Tab_Compteur_6[[#This Row],[Index]]-E103,Tab_Compteur_6[[#This Row],[Quantité]])/Tab_Compteur_6[[#This Row],[Delta Jour]],""))</f>
        <v/>
      </c>
      <c r="H104" s="177" t="str">
        <f>IFERROR(Tab_Compteur_6[[#This Row],[Montant]]/Tab_Compteur_6[[#This Row],[Delta Jour]],"")</f>
        <v/>
      </c>
      <c r="I104" s="188" t="str">
        <f>IF(SUM(Tab_Compteur_6[[#This Row],[Quantité]],Tab_Compteur_6[[#This Row],[Index]])&lt;=0,"",G104)</f>
        <v/>
      </c>
      <c r="J104" s="185"/>
      <c r="K104" s="36"/>
      <c r="L104" s="36"/>
      <c r="M104" s="36"/>
    </row>
    <row r="105" spans="1:13">
      <c r="A105" s="53">
        <f t="shared" si="3"/>
        <v>1</v>
      </c>
      <c r="B105" s="501"/>
      <c r="C105" s="180"/>
      <c r="D105" s="495"/>
      <c r="E105" s="502"/>
      <c r="F105" s="177">
        <f t="shared" si="2"/>
        <v>0</v>
      </c>
      <c r="G105" s="177" t="str">
        <f>IF(IFERROR(IF(Str_TypeDonneesCpt6=Cpt_Index,Tab_Compteur_6[[#This Row],[Index]]-E104,Tab_Compteur_6[[#This Row],[Quantité]])/Tab_Compteur_6[[#This Row],[Delta Jour]],"")&lt;0,"",IFERROR(IF(Str_TypeDonneesCpt6=Cpt_Index,Tab_Compteur_6[[#This Row],[Index]]-E104,Tab_Compteur_6[[#This Row],[Quantité]])/Tab_Compteur_6[[#This Row],[Delta Jour]],""))</f>
        <v/>
      </c>
      <c r="H105" s="177" t="str">
        <f>IFERROR(Tab_Compteur_6[[#This Row],[Montant]]/Tab_Compteur_6[[#This Row],[Delta Jour]],"")</f>
        <v/>
      </c>
      <c r="I105" s="188" t="str">
        <f>IF(SUM(Tab_Compteur_6[[#This Row],[Quantité]],Tab_Compteur_6[[#This Row],[Index]])&lt;=0,"",G105)</f>
        <v/>
      </c>
      <c r="J105" s="185"/>
      <c r="K105" s="36"/>
      <c r="L105" s="36"/>
      <c r="M105" s="36"/>
    </row>
    <row r="106" spans="1:13">
      <c r="A106" s="53">
        <f t="shared" si="3"/>
        <v>1</v>
      </c>
      <c r="B106" s="501"/>
      <c r="C106" s="180"/>
      <c r="D106" s="495"/>
      <c r="E106" s="502"/>
      <c r="F106" s="177">
        <f t="shared" si="2"/>
        <v>0</v>
      </c>
      <c r="G106" s="177" t="str">
        <f>IF(IFERROR(IF(Str_TypeDonneesCpt6=Cpt_Index,Tab_Compteur_6[[#This Row],[Index]]-E105,Tab_Compteur_6[[#This Row],[Quantité]])/Tab_Compteur_6[[#This Row],[Delta Jour]],"")&lt;0,"",IFERROR(IF(Str_TypeDonneesCpt6=Cpt_Index,Tab_Compteur_6[[#This Row],[Index]]-E105,Tab_Compteur_6[[#This Row],[Quantité]])/Tab_Compteur_6[[#This Row],[Delta Jour]],""))</f>
        <v/>
      </c>
      <c r="H106" s="177" t="str">
        <f>IFERROR(Tab_Compteur_6[[#This Row],[Montant]]/Tab_Compteur_6[[#This Row],[Delta Jour]],"")</f>
        <v/>
      </c>
      <c r="I106" s="188" t="str">
        <f>IF(SUM(Tab_Compteur_6[[#This Row],[Quantité]],Tab_Compteur_6[[#This Row],[Index]])&lt;=0,"",G106)</f>
        <v/>
      </c>
      <c r="J106" s="185"/>
      <c r="K106" s="36"/>
      <c r="L106" s="36"/>
      <c r="M106" s="36"/>
    </row>
    <row r="107" spans="1:13">
      <c r="A107" s="53">
        <f t="shared" si="3"/>
        <v>1</v>
      </c>
      <c r="B107" s="501"/>
      <c r="C107" s="180"/>
      <c r="D107" s="495"/>
      <c r="E107" s="502"/>
      <c r="F107" s="177">
        <f t="shared" si="2"/>
        <v>0</v>
      </c>
      <c r="G107" s="177" t="str">
        <f>IF(IFERROR(IF(Str_TypeDonneesCpt6=Cpt_Index,Tab_Compteur_6[[#This Row],[Index]]-E106,Tab_Compteur_6[[#This Row],[Quantité]])/Tab_Compteur_6[[#This Row],[Delta Jour]],"")&lt;0,"",IFERROR(IF(Str_TypeDonneesCpt6=Cpt_Index,Tab_Compteur_6[[#This Row],[Index]]-E106,Tab_Compteur_6[[#This Row],[Quantité]])/Tab_Compteur_6[[#This Row],[Delta Jour]],""))</f>
        <v/>
      </c>
      <c r="H107" s="177" t="str">
        <f>IFERROR(Tab_Compteur_6[[#This Row],[Montant]]/Tab_Compteur_6[[#This Row],[Delta Jour]],"")</f>
        <v/>
      </c>
      <c r="I107" s="188" t="str">
        <f>IF(SUM(Tab_Compteur_6[[#This Row],[Quantité]],Tab_Compteur_6[[#This Row],[Index]])&lt;=0,"",G107)</f>
        <v/>
      </c>
      <c r="J107" s="185"/>
      <c r="K107" s="36"/>
      <c r="L107" s="36"/>
      <c r="M107" s="36"/>
    </row>
    <row r="108" spans="1:13">
      <c r="A108" s="53">
        <f t="shared" si="3"/>
        <v>1</v>
      </c>
      <c r="B108" s="501"/>
      <c r="C108" s="180"/>
      <c r="D108" s="495"/>
      <c r="E108" s="502"/>
      <c r="F108" s="177">
        <f t="shared" si="2"/>
        <v>0</v>
      </c>
      <c r="G108" s="177" t="str">
        <f>IF(IFERROR(IF(Str_TypeDonneesCpt6=Cpt_Index,Tab_Compteur_6[[#This Row],[Index]]-E107,Tab_Compteur_6[[#This Row],[Quantité]])/Tab_Compteur_6[[#This Row],[Delta Jour]],"")&lt;0,"",IFERROR(IF(Str_TypeDonneesCpt6=Cpt_Index,Tab_Compteur_6[[#This Row],[Index]]-E107,Tab_Compteur_6[[#This Row],[Quantité]])/Tab_Compteur_6[[#This Row],[Delta Jour]],""))</f>
        <v/>
      </c>
      <c r="H108" s="177" t="str">
        <f>IFERROR(Tab_Compteur_6[[#This Row],[Montant]]/Tab_Compteur_6[[#This Row],[Delta Jour]],"")</f>
        <v/>
      </c>
      <c r="I108" s="188" t="str">
        <f>IF(SUM(Tab_Compteur_6[[#This Row],[Quantité]],Tab_Compteur_6[[#This Row],[Index]])&lt;=0,"",G108)</f>
        <v/>
      </c>
      <c r="J108" s="185"/>
      <c r="K108" s="36"/>
      <c r="L108" s="36"/>
      <c r="M108" s="36"/>
    </row>
    <row r="109" spans="1:13">
      <c r="A109" s="53">
        <f t="shared" si="3"/>
        <v>1</v>
      </c>
      <c r="B109" s="501"/>
      <c r="C109" s="180"/>
      <c r="D109" s="495"/>
      <c r="E109" s="502"/>
      <c r="F109" s="177">
        <f t="shared" si="2"/>
        <v>0</v>
      </c>
      <c r="G109" s="177" t="str">
        <f>IF(IFERROR(IF(Str_TypeDonneesCpt6=Cpt_Index,Tab_Compteur_6[[#This Row],[Index]]-E108,Tab_Compteur_6[[#This Row],[Quantité]])/Tab_Compteur_6[[#This Row],[Delta Jour]],"")&lt;0,"",IFERROR(IF(Str_TypeDonneesCpt6=Cpt_Index,Tab_Compteur_6[[#This Row],[Index]]-E108,Tab_Compteur_6[[#This Row],[Quantité]])/Tab_Compteur_6[[#This Row],[Delta Jour]],""))</f>
        <v/>
      </c>
      <c r="H109" s="177" t="str">
        <f>IFERROR(Tab_Compteur_6[[#This Row],[Montant]]/Tab_Compteur_6[[#This Row],[Delta Jour]],"")</f>
        <v/>
      </c>
      <c r="I109" s="188" t="str">
        <f>IF(SUM(Tab_Compteur_6[[#This Row],[Quantité]],Tab_Compteur_6[[#This Row],[Index]])&lt;=0,"",G109)</f>
        <v/>
      </c>
      <c r="J109" s="185"/>
      <c r="K109" s="36"/>
      <c r="L109" s="36"/>
      <c r="M109" s="36"/>
    </row>
    <row r="110" spans="1:13">
      <c r="A110" s="53">
        <f t="shared" si="3"/>
        <v>1</v>
      </c>
      <c r="B110" s="501"/>
      <c r="C110" s="180"/>
      <c r="D110" s="495"/>
      <c r="E110" s="502"/>
      <c r="F110" s="177">
        <f t="shared" si="2"/>
        <v>0</v>
      </c>
      <c r="G110" s="177" t="str">
        <f>IF(IFERROR(IF(Str_TypeDonneesCpt6=Cpt_Index,Tab_Compteur_6[[#This Row],[Index]]-E109,Tab_Compteur_6[[#This Row],[Quantité]])/Tab_Compteur_6[[#This Row],[Delta Jour]],"")&lt;0,"",IFERROR(IF(Str_TypeDonneesCpt6=Cpt_Index,Tab_Compteur_6[[#This Row],[Index]]-E109,Tab_Compteur_6[[#This Row],[Quantité]])/Tab_Compteur_6[[#This Row],[Delta Jour]],""))</f>
        <v/>
      </c>
      <c r="H110" s="177" t="str">
        <f>IFERROR(Tab_Compteur_6[[#This Row],[Montant]]/Tab_Compteur_6[[#This Row],[Delta Jour]],"")</f>
        <v/>
      </c>
      <c r="I110" s="188" t="str">
        <f>IF(SUM(Tab_Compteur_6[[#This Row],[Quantité]],Tab_Compteur_6[[#This Row],[Index]])&lt;=0,"",G110)</f>
        <v/>
      </c>
      <c r="J110" s="185"/>
      <c r="K110" s="36"/>
      <c r="L110" s="36"/>
      <c r="M110" s="36"/>
    </row>
    <row r="111" spans="1:13">
      <c r="A111" s="53">
        <f t="shared" si="3"/>
        <v>1</v>
      </c>
      <c r="B111" s="501"/>
      <c r="C111" s="180"/>
      <c r="D111" s="495"/>
      <c r="E111" s="502"/>
      <c r="F111" s="177">
        <f t="shared" si="2"/>
        <v>0</v>
      </c>
      <c r="G111" s="177" t="str">
        <f>IF(IFERROR(IF(Str_TypeDonneesCpt6=Cpt_Index,Tab_Compteur_6[[#This Row],[Index]]-E110,Tab_Compteur_6[[#This Row],[Quantité]])/Tab_Compteur_6[[#This Row],[Delta Jour]],"")&lt;0,"",IFERROR(IF(Str_TypeDonneesCpt6=Cpt_Index,Tab_Compteur_6[[#This Row],[Index]]-E110,Tab_Compteur_6[[#This Row],[Quantité]])/Tab_Compteur_6[[#This Row],[Delta Jour]],""))</f>
        <v/>
      </c>
      <c r="H111" s="177" t="str">
        <f>IFERROR(Tab_Compteur_6[[#This Row],[Montant]]/Tab_Compteur_6[[#This Row],[Delta Jour]],"")</f>
        <v/>
      </c>
      <c r="I111" s="188" t="str">
        <f>IF(SUM(Tab_Compteur_6[[#This Row],[Quantité]],Tab_Compteur_6[[#This Row],[Index]])&lt;=0,"",G111)</f>
        <v/>
      </c>
      <c r="J111" s="185"/>
      <c r="K111" s="36"/>
      <c r="L111" s="36"/>
      <c r="M111" s="36"/>
    </row>
    <row r="112" spans="1:13">
      <c r="A112" s="53">
        <f t="shared" si="3"/>
        <v>1</v>
      </c>
      <c r="B112" s="501"/>
      <c r="C112" s="180"/>
      <c r="D112" s="495"/>
      <c r="E112" s="502"/>
      <c r="F112" s="177">
        <f t="shared" si="2"/>
        <v>0</v>
      </c>
      <c r="G112" s="177" t="str">
        <f>IF(IFERROR(IF(Str_TypeDonneesCpt6=Cpt_Index,Tab_Compteur_6[[#This Row],[Index]]-E111,Tab_Compteur_6[[#This Row],[Quantité]])/Tab_Compteur_6[[#This Row],[Delta Jour]],"")&lt;0,"",IFERROR(IF(Str_TypeDonneesCpt6=Cpt_Index,Tab_Compteur_6[[#This Row],[Index]]-E111,Tab_Compteur_6[[#This Row],[Quantité]])/Tab_Compteur_6[[#This Row],[Delta Jour]],""))</f>
        <v/>
      </c>
      <c r="H112" s="177" t="str">
        <f>IFERROR(Tab_Compteur_6[[#This Row],[Montant]]/Tab_Compteur_6[[#This Row],[Delta Jour]],"")</f>
        <v/>
      </c>
      <c r="I112" s="188" t="str">
        <f>IF(SUM(Tab_Compteur_6[[#This Row],[Quantité]],Tab_Compteur_6[[#This Row],[Index]])&lt;=0,"",G112)</f>
        <v/>
      </c>
      <c r="J112" s="185"/>
      <c r="K112" s="36"/>
      <c r="L112" s="36"/>
      <c r="M112" s="36"/>
    </row>
    <row r="113" spans="1:13">
      <c r="A113" s="53">
        <f t="shared" si="3"/>
        <v>1</v>
      </c>
      <c r="B113" s="501"/>
      <c r="C113" s="180"/>
      <c r="D113" s="495"/>
      <c r="E113" s="502"/>
      <c r="F113" s="177">
        <f t="shared" si="2"/>
        <v>0</v>
      </c>
      <c r="G113" s="177" t="str">
        <f>IF(IFERROR(IF(Str_TypeDonneesCpt6=Cpt_Index,Tab_Compteur_6[[#This Row],[Index]]-E112,Tab_Compteur_6[[#This Row],[Quantité]])/Tab_Compteur_6[[#This Row],[Delta Jour]],"")&lt;0,"",IFERROR(IF(Str_TypeDonneesCpt6=Cpt_Index,Tab_Compteur_6[[#This Row],[Index]]-E112,Tab_Compteur_6[[#This Row],[Quantité]])/Tab_Compteur_6[[#This Row],[Delta Jour]],""))</f>
        <v/>
      </c>
      <c r="H113" s="177" t="str">
        <f>IFERROR(Tab_Compteur_6[[#This Row],[Montant]]/Tab_Compteur_6[[#This Row],[Delta Jour]],"")</f>
        <v/>
      </c>
      <c r="I113" s="188" t="str">
        <f>IF(SUM(Tab_Compteur_6[[#This Row],[Quantité]],Tab_Compteur_6[[#This Row],[Index]])&lt;=0,"",G113)</f>
        <v/>
      </c>
      <c r="J113" s="185"/>
      <c r="K113" s="36"/>
      <c r="L113" s="36"/>
      <c r="M113" s="36"/>
    </row>
    <row r="114" spans="1:13">
      <c r="A114" s="53">
        <f t="shared" si="3"/>
        <v>1</v>
      </c>
      <c r="B114" s="501"/>
      <c r="C114" s="180"/>
      <c r="D114" s="495"/>
      <c r="E114" s="502"/>
      <c r="F114" s="177">
        <f t="shared" si="2"/>
        <v>0</v>
      </c>
      <c r="G114" s="177" t="str">
        <f>IF(IFERROR(IF(Str_TypeDonneesCpt6=Cpt_Index,Tab_Compteur_6[[#This Row],[Index]]-E113,Tab_Compteur_6[[#This Row],[Quantité]])/Tab_Compteur_6[[#This Row],[Delta Jour]],"")&lt;0,"",IFERROR(IF(Str_TypeDonneesCpt6=Cpt_Index,Tab_Compteur_6[[#This Row],[Index]]-E113,Tab_Compteur_6[[#This Row],[Quantité]])/Tab_Compteur_6[[#This Row],[Delta Jour]],""))</f>
        <v/>
      </c>
      <c r="H114" s="177" t="str">
        <f>IFERROR(Tab_Compteur_6[[#This Row],[Montant]]/Tab_Compteur_6[[#This Row],[Delta Jour]],"")</f>
        <v/>
      </c>
      <c r="I114" s="188" t="str">
        <f>IF(SUM(Tab_Compteur_6[[#This Row],[Quantité]],Tab_Compteur_6[[#This Row],[Index]])&lt;=0,"",G114)</f>
        <v/>
      </c>
      <c r="J114" s="185"/>
      <c r="K114" s="36"/>
      <c r="L114" s="36"/>
      <c r="M114" s="36"/>
    </row>
    <row r="115" spans="1:13">
      <c r="A115" s="53">
        <f t="shared" si="3"/>
        <v>1</v>
      </c>
      <c r="B115" s="501"/>
      <c r="C115" s="180"/>
      <c r="D115" s="495"/>
      <c r="E115" s="502"/>
      <c r="F115" s="177">
        <f t="shared" si="2"/>
        <v>0</v>
      </c>
      <c r="G115" s="177" t="str">
        <f>IF(IFERROR(IF(Str_TypeDonneesCpt6=Cpt_Index,Tab_Compteur_6[[#This Row],[Index]]-E114,Tab_Compteur_6[[#This Row],[Quantité]])/Tab_Compteur_6[[#This Row],[Delta Jour]],"")&lt;0,"",IFERROR(IF(Str_TypeDonneesCpt6=Cpt_Index,Tab_Compteur_6[[#This Row],[Index]]-E114,Tab_Compteur_6[[#This Row],[Quantité]])/Tab_Compteur_6[[#This Row],[Delta Jour]],""))</f>
        <v/>
      </c>
      <c r="H115" s="177" t="str">
        <f>IFERROR(Tab_Compteur_6[[#This Row],[Montant]]/Tab_Compteur_6[[#This Row],[Delta Jour]],"")</f>
        <v/>
      </c>
      <c r="I115" s="188" t="str">
        <f>IF(SUM(Tab_Compteur_6[[#This Row],[Quantité]],Tab_Compteur_6[[#This Row],[Index]])&lt;=0,"",G115)</f>
        <v/>
      </c>
      <c r="J115" s="185"/>
      <c r="K115" s="36"/>
      <c r="L115" s="36"/>
      <c r="M115" s="36"/>
    </row>
    <row r="116" spans="1:13">
      <c r="A116" s="53">
        <f t="shared" si="3"/>
        <v>1</v>
      </c>
      <c r="B116" s="501"/>
      <c r="C116" s="180"/>
      <c r="D116" s="495"/>
      <c r="E116" s="502"/>
      <c r="F116" s="177">
        <f t="shared" si="2"/>
        <v>0</v>
      </c>
      <c r="G116" s="177" t="str">
        <f>IF(IFERROR(IF(Str_TypeDonneesCpt6=Cpt_Index,Tab_Compteur_6[[#This Row],[Index]]-E115,Tab_Compteur_6[[#This Row],[Quantité]])/Tab_Compteur_6[[#This Row],[Delta Jour]],"")&lt;0,"",IFERROR(IF(Str_TypeDonneesCpt6=Cpt_Index,Tab_Compteur_6[[#This Row],[Index]]-E115,Tab_Compteur_6[[#This Row],[Quantité]])/Tab_Compteur_6[[#This Row],[Delta Jour]],""))</f>
        <v/>
      </c>
      <c r="H116" s="177" t="str">
        <f>IFERROR(Tab_Compteur_6[[#This Row],[Montant]]/Tab_Compteur_6[[#This Row],[Delta Jour]],"")</f>
        <v/>
      </c>
      <c r="I116" s="188" t="str">
        <f>IF(SUM(Tab_Compteur_6[[#This Row],[Quantité]],Tab_Compteur_6[[#This Row],[Index]])&lt;=0,"",G116)</f>
        <v/>
      </c>
      <c r="J116" s="185"/>
      <c r="K116" s="36"/>
      <c r="L116" s="36"/>
      <c r="M116" s="36"/>
    </row>
    <row r="117" spans="1:13">
      <c r="A117" s="53">
        <f t="shared" si="3"/>
        <v>1</v>
      </c>
      <c r="B117" s="501"/>
      <c r="C117" s="180"/>
      <c r="D117" s="495"/>
      <c r="E117" s="502"/>
      <c r="F117" s="177">
        <f t="shared" si="2"/>
        <v>0</v>
      </c>
      <c r="G117" s="177" t="str">
        <f>IF(IFERROR(IF(Str_TypeDonneesCpt6=Cpt_Index,Tab_Compteur_6[[#This Row],[Index]]-E116,Tab_Compteur_6[[#This Row],[Quantité]])/Tab_Compteur_6[[#This Row],[Delta Jour]],"")&lt;0,"",IFERROR(IF(Str_TypeDonneesCpt6=Cpt_Index,Tab_Compteur_6[[#This Row],[Index]]-E116,Tab_Compteur_6[[#This Row],[Quantité]])/Tab_Compteur_6[[#This Row],[Delta Jour]],""))</f>
        <v/>
      </c>
      <c r="H117" s="177" t="str">
        <f>IFERROR(Tab_Compteur_6[[#This Row],[Montant]]/Tab_Compteur_6[[#This Row],[Delta Jour]],"")</f>
        <v/>
      </c>
      <c r="I117" s="188" t="str">
        <f>IF(SUM(Tab_Compteur_6[[#This Row],[Quantité]],Tab_Compteur_6[[#This Row],[Index]])&lt;=0,"",G117)</f>
        <v/>
      </c>
      <c r="J117" s="185"/>
      <c r="K117" s="36"/>
      <c r="L117" s="36"/>
      <c r="M117" s="36"/>
    </row>
    <row r="118" spans="1:13">
      <c r="A118" s="53">
        <f t="shared" si="3"/>
        <v>1</v>
      </c>
      <c r="B118" s="501"/>
      <c r="C118" s="180"/>
      <c r="D118" s="495"/>
      <c r="E118" s="502"/>
      <c r="F118" s="177">
        <f t="shared" si="2"/>
        <v>0</v>
      </c>
      <c r="G118" s="177" t="str">
        <f>IF(IFERROR(IF(Str_TypeDonneesCpt6=Cpt_Index,Tab_Compteur_6[[#This Row],[Index]]-E117,Tab_Compteur_6[[#This Row],[Quantité]])/Tab_Compteur_6[[#This Row],[Delta Jour]],"")&lt;0,"",IFERROR(IF(Str_TypeDonneesCpt6=Cpt_Index,Tab_Compteur_6[[#This Row],[Index]]-E117,Tab_Compteur_6[[#This Row],[Quantité]])/Tab_Compteur_6[[#This Row],[Delta Jour]],""))</f>
        <v/>
      </c>
      <c r="H118" s="177" t="str">
        <f>IFERROR(Tab_Compteur_6[[#This Row],[Montant]]/Tab_Compteur_6[[#This Row],[Delta Jour]],"")</f>
        <v/>
      </c>
      <c r="I118" s="188" t="str">
        <f>IF(SUM(Tab_Compteur_6[[#This Row],[Quantité]],Tab_Compteur_6[[#This Row],[Index]])&lt;=0,"",G118)</f>
        <v/>
      </c>
      <c r="J118" s="185"/>
      <c r="K118" s="36"/>
      <c r="L118" s="36"/>
      <c r="M118" s="36"/>
    </row>
    <row r="119" spans="1:13">
      <c r="A119" s="53">
        <f t="shared" si="3"/>
        <v>1</v>
      </c>
      <c r="B119" s="501"/>
      <c r="C119" s="180"/>
      <c r="D119" s="495"/>
      <c r="E119" s="502"/>
      <c r="F119" s="177">
        <f t="shared" si="2"/>
        <v>0</v>
      </c>
      <c r="G119" s="177" t="str">
        <f>IF(IFERROR(IF(Str_TypeDonneesCpt6=Cpt_Index,Tab_Compteur_6[[#This Row],[Index]]-E118,Tab_Compteur_6[[#This Row],[Quantité]])/Tab_Compteur_6[[#This Row],[Delta Jour]],"")&lt;0,"",IFERROR(IF(Str_TypeDonneesCpt6=Cpt_Index,Tab_Compteur_6[[#This Row],[Index]]-E118,Tab_Compteur_6[[#This Row],[Quantité]])/Tab_Compteur_6[[#This Row],[Delta Jour]],""))</f>
        <v/>
      </c>
      <c r="H119" s="177" t="str">
        <f>IFERROR(Tab_Compteur_6[[#This Row],[Montant]]/Tab_Compteur_6[[#This Row],[Delta Jour]],"")</f>
        <v/>
      </c>
      <c r="I119" s="188" t="str">
        <f>IF(SUM(Tab_Compteur_6[[#This Row],[Quantité]],Tab_Compteur_6[[#This Row],[Index]])&lt;=0,"",G119)</f>
        <v/>
      </c>
      <c r="J119" s="185"/>
      <c r="K119" s="36"/>
      <c r="L119" s="36"/>
      <c r="M119" s="36"/>
    </row>
    <row r="120" spans="1:13">
      <c r="A120" s="53">
        <f t="shared" si="3"/>
        <v>1</v>
      </c>
      <c r="B120" s="501"/>
      <c r="C120" s="180"/>
      <c r="D120" s="495"/>
      <c r="E120" s="502"/>
      <c r="F120" s="177">
        <f t="shared" si="2"/>
        <v>0</v>
      </c>
      <c r="G120" s="177" t="str">
        <f>IF(IFERROR(IF(Str_TypeDonneesCpt6=Cpt_Index,Tab_Compteur_6[[#This Row],[Index]]-E119,Tab_Compteur_6[[#This Row],[Quantité]])/Tab_Compteur_6[[#This Row],[Delta Jour]],"")&lt;0,"",IFERROR(IF(Str_TypeDonneesCpt6=Cpt_Index,Tab_Compteur_6[[#This Row],[Index]]-E119,Tab_Compteur_6[[#This Row],[Quantité]])/Tab_Compteur_6[[#This Row],[Delta Jour]],""))</f>
        <v/>
      </c>
      <c r="H120" s="177" t="str">
        <f>IFERROR(Tab_Compteur_6[[#This Row],[Montant]]/Tab_Compteur_6[[#This Row],[Delta Jour]],"")</f>
        <v/>
      </c>
      <c r="I120" s="188" t="str">
        <f>IF(SUM(Tab_Compteur_6[[#This Row],[Quantité]],Tab_Compteur_6[[#This Row],[Index]])&lt;=0,"",G120)</f>
        <v/>
      </c>
      <c r="J120" s="185"/>
      <c r="K120" s="36"/>
      <c r="L120" s="36"/>
      <c r="M120" s="36"/>
    </row>
    <row r="121" spans="1:13">
      <c r="A121" s="53">
        <f t="shared" si="3"/>
        <v>1</v>
      </c>
      <c r="B121" s="501"/>
      <c r="C121" s="180"/>
      <c r="D121" s="495"/>
      <c r="E121" s="502"/>
      <c r="F121" s="177">
        <f t="shared" si="2"/>
        <v>0</v>
      </c>
      <c r="G121" s="177" t="str">
        <f>IF(IFERROR(IF(Str_TypeDonneesCpt6=Cpt_Index,Tab_Compteur_6[[#This Row],[Index]]-E120,Tab_Compteur_6[[#This Row],[Quantité]])/Tab_Compteur_6[[#This Row],[Delta Jour]],"")&lt;0,"",IFERROR(IF(Str_TypeDonneesCpt6=Cpt_Index,Tab_Compteur_6[[#This Row],[Index]]-E120,Tab_Compteur_6[[#This Row],[Quantité]])/Tab_Compteur_6[[#This Row],[Delta Jour]],""))</f>
        <v/>
      </c>
      <c r="H121" s="177" t="str">
        <f>IFERROR(Tab_Compteur_6[[#This Row],[Montant]]/Tab_Compteur_6[[#This Row],[Delta Jour]],"")</f>
        <v/>
      </c>
      <c r="I121" s="188" t="str">
        <f>IF(SUM(Tab_Compteur_6[[#This Row],[Quantité]],Tab_Compteur_6[[#This Row],[Index]])&lt;=0,"",G121)</f>
        <v/>
      </c>
      <c r="J121" s="185"/>
      <c r="K121" s="36"/>
      <c r="L121" s="36"/>
      <c r="M121" s="36"/>
    </row>
    <row r="122" spans="1:13">
      <c r="A122" s="53">
        <f t="shared" si="3"/>
        <v>1</v>
      </c>
      <c r="B122" s="501"/>
      <c r="C122" s="180"/>
      <c r="D122" s="495"/>
      <c r="E122" s="502"/>
      <c r="F122" s="177">
        <f t="shared" si="2"/>
        <v>0</v>
      </c>
      <c r="G122" s="177" t="str">
        <f>IF(IFERROR(IF(Str_TypeDonneesCpt6=Cpt_Index,Tab_Compteur_6[[#This Row],[Index]]-E121,Tab_Compteur_6[[#This Row],[Quantité]])/Tab_Compteur_6[[#This Row],[Delta Jour]],"")&lt;0,"",IFERROR(IF(Str_TypeDonneesCpt6=Cpt_Index,Tab_Compteur_6[[#This Row],[Index]]-E121,Tab_Compteur_6[[#This Row],[Quantité]])/Tab_Compteur_6[[#This Row],[Delta Jour]],""))</f>
        <v/>
      </c>
      <c r="H122" s="177" t="str">
        <f>IFERROR(Tab_Compteur_6[[#This Row],[Montant]]/Tab_Compteur_6[[#This Row],[Delta Jour]],"")</f>
        <v/>
      </c>
      <c r="I122" s="188" t="str">
        <f>IF(SUM(Tab_Compteur_6[[#This Row],[Quantité]],Tab_Compteur_6[[#This Row],[Index]])&lt;=0,"",G122)</f>
        <v/>
      </c>
      <c r="J122" s="185"/>
      <c r="K122" s="36"/>
      <c r="L122" s="36"/>
      <c r="M122" s="36"/>
    </row>
    <row r="123" spans="1:13">
      <c r="A123" s="53">
        <f t="shared" si="3"/>
        <v>1</v>
      </c>
      <c r="B123" s="501"/>
      <c r="C123" s="180"/>
      <c r="D123" s="495"/>
      <c r="E123" s="502"/>
      <c r="F123" s="177">
        <f t="shared" si="2"/>
        <v>0</v>
      </c>
      <c r="G123" s="177" t="str">
        <f>IF(IFERROR(IF(Str_TypeDonneesCpt6=Cpt_Index,Tab_Compteur_6[[#This Row],[Index]]-E122,Tab_Compteur_6[[#This Row],[Quantité]])/Tab_Compteur_6[[#This Row],[Delta Jour]],"")&lt;0,"",IFERROR(IF(Str_TypeDonneesCpt6=Cpt_Index,Tab_Compteur_6[[#This Row],[Index]]-E122,Tab_Compteur_6[[#This Row],[Quantité]])/Tab_Compteur_6[[#This Row],[Delta Jour]],""))</f>
        <v/>
      </c>
      <c r="H123" s="177" t="str">
        <f>IFERROR(Tab_Compteur_6[[#This Row],[Montant]]/Tab_Compteur_6[[#This Row],[Delta Jour]],"")</f>
        <v/>
      </c>
      <c r="I123" s="188" t="str">
        <f>IF(SUM(Tab_Compteur_6[[#This Row],[Quantité]],Tab_Compteur_6[[#This Row],[Index]])&lt;=0,"",G123)</f>
        <v/>
      </c>
      <c r="J123" s="185"/>
      <c r="K123" s="36"/>
      <c r="L123" s="36"/>
      <c r="M123" s="36"/>
    </row>
    <row r="124" spans="1:13">
      <c r="A124" s="53">
        <f t="shared" si="3"/>
        <v>1</v>
      </c>
      <c r="B124" s="501"/>
      <c r="C124" s="180"/>
      <c r="D124" s="495"/>
      <c r="E124" s="502"/>
      <c r="F124" s="177">
        <f t="shared" si="2"/>
        <v>0</v>
      </c>
      <c r="G124" s="177" t="str">
        <f>IF(IFERROR(IF(Str_TypeDonneesCpt6=Cpt_Index,Tab_Compteur_6[[#This Row],[Index]]-E123,Tab_Compteur_6[[#This Row],[Quantité]])/Tab_Compteur_6[[#This Row],[Delta Jour]],"")&lt;0,"",IFERROR(IF(Str_TypeDonneesCpt6=Cpt_Index,Tab_Compteur_6[[#This Row],[Index]]-E123,Tab_Compteur_6[[#This Row],[Quantité]])/Tab_Compteur_6[[#This Row],[Delta Jour]],""))</f>
        <v/>
      </c>
      <c r="H124" s="177" t="str">
        <f>IFERROR(Tab_Compteur_6[[#This Row],[Montant]]/Tab_Compteur_6[[#This Row],[Delta Jour]],"")</f>
        <v/>
      </c>
      <c r="I124" s="188" t="str">
        <f>IF(SUM(Tab_Compteur_6[[#This Row],[Quantité]],Tab_Compteur_6[[#This Row],[Index]])&lt;=0,"",G124)</f>
        <v/>
      </c>
      <c r="J124" s="185"/>
      <c r="K124" s="36"/>
      <c r="L124" s="36"/>
      <c r="M124" s="36"/>
    </row>
    <row r="125" spans="1:13">
      <c r="A125" s="53">
        <f t="shared" si="3"/>
        <v>1</v>
      </c>
      <c r="B125" s="501"/>
      <c r="C125" s="180"/>
      <c r="D125" s="495"/>
      <c r="E125" s="502"/>
      <c r="F125" s="177">
        <f t="shared" si="2"/>
        <v>0</v>
      </c>
      <c r="G125" s="177" t="str">
        <f>IF(IFERROR(IF(Str_TypeDonneesCpt6=Cpt_Index,Tab_Compteur_6[[#This Row],[Index]]-E124,Tab_Compteur_6[[#This Row],[Quantité]])/Tab_Compteur_6[[#This Row],[Delta Jour]],"")&lt;0,"",IFERROR(IF(Str_TypeDonneesCpt6=Cpt_Index,Tab_Compteur_6[[#This Row],[Index]]-E124,Tab_Compteur_6[[#This Row],[Quantité]])/Tab_Compteur_6[[#This Row],[Delta Jour]],""))</f>
        <v/>
      </c>
      <c r="H125" s="177" t="str">
        <f>IFERROR(Tab_Compteur_6[[#This Row],[Montant]]/Tab_Compteur_6[[#This Row],[Delta Jour]],"")</f>
        <v/>
      </c>
      <c r="I125" s="188" t="str">
        <f>IF(SUM(Tab_Compteur_6[[#This Row],[Quantité]],Tab_Compteur_6[[#This Row],[Index]])&lt;=0,"",G125)</f>
        <v/>
      </c>
      <c r="J125" s="185"/>
      <c r="K125" s="36"/>
      <c r="L125" s="36"/>
      <c r="M125" s="36"/>
    </row>
    <row r="126" spans="1:13">
      <c r="A126" s="53">
        <f t="shared" si="3"/>
        <v>1</v>
      </c>
      <c r="B126" s="501"/>
      <c r="C126" s="180"/>
      <c r="D126" s="495"/>
      <c r="E126" s="502"/>
      <c r="F126" s="177">
        <f t="shared" si="2"/>
        <v>0</v>
      </c>
      <c r="G126" s="177" t="str">
        <f>IF(IFERROR(IF(Str_TypeDonneesCpt6=Cpt_Index,Tab_Compteur_6[[#This Row],[Index]]-E125,Tab_Compteur_6[[#This Row],[Quantité]])/Tab_Compteur_6[[#This Row],[Delta Jour]],"")&lt;0,"",IFERROR(IF(Str_TypeDonneesCpt6=Cpt_Index,Tab_Compteur_6[[#This Row],[Index]]-E125,Tab_Compteur_6[[#This Row],[Quantité]])/Tab_Compteur_6[[#This Row],[Delta Jour]],""))</f>
        <v/>
      </c>
      <c r="H126" s="177" t="str">
        <f>IFERROR(Tab_Compteur_6[[#This Row],[Montant]]/Tab_Compteur_6[[#This Row],[Delta Jour]],"")</f>
        <v/>
      </c>
      <c r="I126" s="188" t="str">
        <f>IF(SUM(Tab_Compteur_6[[#This Row],[Quantité]],Tab_Compteur_6[[#This Row],[Index]])&lt;=0,"",G126)</f>
        <v/>
      </c>
      <c r="J126" s="185"/>
      <c r="K126" s="36"/>
      <c r="L126" s="36"/>
      <c r="M126" s="36"/>
    </row>
    <row r="127" spans="1:13">
      <c r="A127" s="53">
        <f t="shared" si="3"/>
        <v>1</v>
      </c>
      <c r="B127" s="501"/>
      <c r="C127" s="180"/>
      <c r="D127" s="495"/>
      <c r="E127" s="502"/>
      <c r="F127" s="177">
        <f t="shared" si="2"/>
        <v>0</v>
      </c>
      <c r="G127" s="177" t="str">
        <f>IF(IFERROR(IF(Str_TypeDonneesCpt6=Cpt_Index,Tab_Compteur_6[[#This Row],[Index]]-E126,Tab_Compteur_6[[#This Row],[Quantité]])/Tab_Compteur_6[[#This Row],[Delta Jour]],"")&lt;0,"",IFERROR(IF(Str_TypeDonneesCpt6=Cpt_Index,Tab_Compteur_6[[#This Row],[Index]]-E126,Tab_Compteur_6[[#This Row],[Quantité]])/Tab_Compteur_6[[#This Row],[Delta Jour]],""))</f>
        <v/>
      </c>
      <c r="H127" s="177" t="str">
        <f>IFERROR(Tab_Compteur_6[[#This Row],[Montant]]/Tab_Compteur_6[[#This Row],[Delta Jour]],"")</f>
        <v/>
      </c>
      <c r="I127" s="188" t="str">
        <f>IF(SUM(Tab_Compteur_6[[#This Row],[Quantité]],Tab_Compteur_6[[#This Row],[Index]])&lt;=0,"",G127)</f>
        <v/>
      </c>
      <c r="J127" s="185"/>
      <c r="K127" s="36"/>
      <c r="L127" s="36"/>
      <c r="M127" s="36"/>
    </row>
    <row r="128" spans="1:13">
      <c r="A128" s="53">
        <f t="shared" si="3"/>
        <v>1</v>
      </c>
      <c r="B128" s="501"/>
      <c r="C128" s="180"/>
      <c r="D128" s="495"/>
      <c r="E128" s="502"/>
      <c r="F128" s="177">
        <f t="shared" si="2"/>
        <v>0</v>
      </c>
      <c r="G128" s="177" t="str">
        <f>IF(IFERROR(IF(Str_TypeDonneesCpt6=Cpt_Index,Tab_Compteur_6[[#This Row],[Index]]-E127,Tab_Compteur_6[[#This Row],[Quantité]])/Tab_Compteur_6[[#This Row],[Delta Jour]],"")&lt;0,"",IFERROR(IF(Str_TypeDonneesCpt6=Cpt_Index,Tab_Compteur_6[[#This Row],[Index]]-E127,Tab_Compteur_6[[#This Row],[Quantité]])/Tab_Compteur_6[[#This Row],[Delta Jour]],""))</f>
        <v/>
      </c>
      <c r="H128" s="177" t="str">
        <f>IFERROR(Tab_Compteur_6[[#This Row],[Montant]]/Tab_Compteur_6[[#This Row],[Delta Jour]],"")</f>
        <v/>
      </c>
      <c r="I128" s="188" t="str">
        <f>IF(SUM(Tab_Compteur_6[[#This Row],[Quantité]],Tab_Compteur_6[[#This Row],[Index]])&lt;=0,"",G128)</f>
        <v/>
      </c>
      <c r="J128" s="185"/>
      <c r="K128" s="36"/>
      <c r="L128" s="36"/>
      <c r="M128" s="36"/>
    </row>
    <row r="129" spans="1:13">
      <c r="A129" s="53">
        <f t="shared" si="3"/>
        <v>1</v>
      </c>
      <c r="B129" s="501"/>
      <c r="C129" s="180"/>
      <c r="D129" s="495"/>
      <c r="E129" s="502"/>
      <c r="F129" s="177">
        <f t="shared" si="2"/>
        <v>0</v>
      </c>
      <c r="G129" s="177" t="str">
        <f>IF(IFERROR(IF(Str_TypeDonneesCpt6=Cpt_Index,Tab_Compteur_6[[#This Row],[Index]]-E128,Tab_Compteur_6[[#This Row],[Quantité]])/Tab_Compteur_6[[#This Row],[Delta Jour]],"")&lt;0,"",IFERROR(IF(Str_TypeDonneesCpt6=Cpt_Index,Tab_Compteur_6[[#This Row],[Index]]-E128,Tab_Compteur_6[[#This Row],[Quantité]])/Tab_Compteur_6[[#This Row],[Delta Jour]],""))</f>
        <v/>
      </c>
      <c r="H129" s="177" t="str">
        <f>IFERROR(Tab_Compteur_6[[#This Row],[Montant]]/Tab_Compteur_6[[#This Row],[Delta Jour]],"")</f>
        <v/>
      </c>
      <c r="I129" s="188" t="str">
        <f>IF(SUM(Tab_Compteur_6[[#This Row],[Quantité]],Tab_Compteur_6[[#This Row],[Index]])&lt;=0,"",G129)</f>
        <v/>
      </c>
      <c r="J129" s="185"/>
      <c r="K129" s="36"/>
      <c r="L129" s="36"/>
      <c r="M129" s="36"/>
    </row>
    <row r="130" spans="1:13">
      <c r="A130" s="53">
        <f t="shared" si="3"/>
        <v>1</v>
      </c>
      <c r="B130" s="501"/>
      <c r="C130" s="180"/>
      <c r="D130" s="495"/>
      <c r="E130" s="502"/>
      <c r="F130" s="177">
        <f t="shared" si="2"/>
        <v>0</v>
      </c>
      <c r="G130" s="177" t="str">
        <f>IF(IFERROR(IF(Str_TypeDonneesCpt6=Cpt_Index,Tab_Compteur_6[[#This Row],[Index]]-E129,Tab_Compteur_6[[#This Row],[Quantité]])/Tab_Compteur_6[[#This Row],[Delta Jour]],"")&lt;0,"",IFERROR(IF(Str_TypeDonneesCpt6=Cpt_Index,Tab_Compteur_6[[#This Row],[Index]]-E129,Tab_Compteur_6[[#This Row],[Quantité]])/Tab_Compteur_6[[#This Row],[Delta Jour]],""))</f>
        <v/>
      </c>
      <c r="H130" s="177" t="str">
        <f>IFERROR(Tab_Compteur_6[[#This Row],[Montant]]/Tab_Compteur_6[[#This Row],[Delta Jour]],"")</f>
        <v/>
      </c>
      <c r="I130" s="188" t="str">
        <f>IF(SUM(Tab_Compteur_6[[#This Row],[Quantité]],Tab_Compteur_6[[#This Row],[Index]])&lt;=0,"",G130)</f>
        <v/>
      </c>
      <c r="J130" s="185"/>
      <c r="K130" s="36"/>
      <c r="L130" s="36"/>
      <c r="M130" s="36"/>
    </row>
    <row r="131" spans="1:13">
      <c r="A131" s="53">
        <f t="shared" si="3"/>
        <v>1</v>
      </c>
      <c r="B131" s="501"/>
      <c r="C131" s="180"/>
      <c r="D131" s="495"/>
      <c r="E131" s="502"/>
      <c r="F131" s="177">
        <f t="shared" ref="F131:F194" si="4">IFERROR(B131-A131+1,"")</f>
        <v>0</v>
      </c>
      <c r="G131" s="177" t="str">
        <f>IF(IFERROR(IF(Str_TypeDonneesCpt6=Cpt_Index,Tab_Compteur_6[[#This Row],[Index]]-E130,Tab_Compteur_6[[#This Row],[Quantité]])/Tab_Compteur_6[[#This Row],[Delta Jour]],"")&lt;0,"",IFERROR(IF(Str_TypeDonneesCpt6=Cpt_Index,Tab_Compteur_6[[#This Row],[Index]]-E130,Tab_Compteur_6[[#This Row],[Quantité]])/Tab_Compteur_6[[#This Row],[Delta Jour]],""))</f>
        <v/>
      </c>
      <c r="H131" s="177" t="str">
        <f>IFERROR(Tab_Compteur_6[[#This Row],[Montant]]/Tab_Compteur_6[[#This Row],[Delta Jour]],"")</f>
        <v/>
      </c>
      <c r="I131" s="188" t="str">
        <f>IF(SUM(Tab_Compteur_6[[#This Row],[Quantité]],Tab_Compteur_6[[#This Row],[Index]])&lt;=0,"",G131)</f>
        <v/>
      </c>
      <c r="J131" s="185"/>
      <c r="K131" s="36"/>
      <c r="L131" s="36"/>
      <c r="M131" s="36"/>
    </row>
    <row r="132" spans="1:13">
      <c r="A132" s="53">
        <f t="shared" si="3"/>
        <v>1</v>
      </c>
      <c r="B132" s="501"/>
      <c r="C132" s="180"/>
      <c r="D132" s="495"/>
      <c r="E132" s="502"/>
      <c r="F132" s="177">
        <f t="shared" si="4"/>
        <v>0</v>
      </c>
      <c r="G132" s="177" t="str">
        <f>IF(IFERROR(IF(Str_TypeDonneesCpt6=Cpt_Index,Tab_Compteur_6[[#This Row],[Index]]-E131,Tab_Compteur_6[[#This Row],[Quantité]])/Tab_Compteur_6[[#This Row],[Delta Jour]],"")&lt;0,"",IFERROR(IF(Str_TypeDonneesCpt6=Cpt_Index,Tab_Compteur_6[[#This Row],[Index]]-E131,Tab_Compteur_6[[#This Row],[Quantité]])/Tab_Compteur_6[[#This Row],[Delta Jour]],""))</f>
        <v/>
      </c>
      <c r="H132" s="177" t="str">
        <f>IFERROR(Tab_Compteur_6[[#This Row],[Montant]]/Tab_Compteur_6[[#This Row],[Delta Jour]],"")</f>
        <v/>
      </c>
      <c r="I132" s="188" t="str">
        <f>IF(SUM(Tab_Compteur_6[[#This Row],[Quantité]],Tab_Compteur_6[[#This Row],[Index]])&lt;=0,"",G132)</f>
        <v/>
      </c>
      <c r="J132" s="185"/>
      <c r="K132" s="36"/>
      <c r="L132" s="36"/>
      <c r="M132" s="36"/>
    </row>
    <row r="133" spans="1:13">
      <c r="A133" s="53">
        <f t="shared" si="3"/>
        <v>1</v>
      </c>
      <c r="B133" s="501"/>
      <c r="C133" s="180"/>
      <c r="D133" s="495"/>
      <c r="E133" s="502"/>
      <c r="F133" s="177">
        <f t="shared" si="4"/>
        <v>0</v>
      </c>
      <c r="G133" s="177" t="str">
        <f>IF(IFERROR(IF(Str_TypeDonneesCpt6=Cpt_Index,Tab_Compteur_6[[#This Row],[Index]]-E132,Tab_Compteur_6[[#This Row],[Quantité]])/Tab_Compteur_6[[#This Row],[Delta Jour]],"")&lt;0,"",IFERROR(IF(Str_TypeDonneesCpt6=Cpt_Index,Tab_Compteur_6[[#This Row],[Index]]-E132,Tab_Compteur_6[[#This Row],[Quantité]])/Tab_Compteur_6[[#This Row],[Delta Jour]],""))</f>
        <v/>
      </c>
      <c r="H133" s="177" t="str">
        <f>IFERROR(Tab_Compteur_6[[#This Row],[Montant]]/Tab_Compteur_6[[#This Row],[Delta Jour]],"")</f>
        <v/>
      </c>
      <c r="I133" s="188" t="str">
        <f>IF(SUM(Tab_Compteur_6[[#This Row],[Quantité]],Tab_Compteur_6[[#This Row],[Index]])&lt;=0,"",G133)</f>
        <v/>
      </c>
      <c r="J133" s="185"/>
      <c r="K133" s="36"/>
      <c r="L133" s="36"/>
      <c r="M133" s="36"/>
    </row>
    <row r="134" spans="1:13">
      <c r="A134" s="53">
        <f t="shared" ref="A134:A197" si="5">IFERROR(B133+1,0)</f>
        <v>1</v>
      </c>
      <c r="B134" s="501"/>
      <c r="C134" s="180"/>
      <c r="D134" s="495"/>
      <c r="E134" s="502"/>
      <c r="F134" s="177">
        <f t="shared" si="4"/>
        <v>0</v>
      </c>
      <c r="G134" s="177" t="str">
        <f>IF(IFERROR(IF(Str_TypeDonneesCpt6=Cpt_Index,Tab_Compteur_6[[#This Row],[Index]]-E133,Tab_Compteur_6[[#This Row],[Quantité]])/Tab_Compteur_6[[#This Row],[Delta Jour]],"")&lt;0,"",IFERROR(IF(Str_TypeDonneesCpt6=Cpt_Index,Tab_Compteur_6[[#This Row],[Index]]-E133,Tab_Compteur_6[[#This Row],[Quantité]])/Tab_Compteur_6[[#This Row],[Delta Jour]],""))</f>
        <v/>
      </c>
      <c r="H134" s="177" t="str">
        <f>IFERROR(Tab_Compteur_6[[#This Row],[Montant]]/Tab_Compteur_6[[#This Row],[Delta Jour]],"")</f>
        <v/>
      </c>
      <c r="I134" s="188" t="str">
        <f>IF(SUM(Tab_Compteur_6[[#This Row],[Quantité]],Tab_Compteur_6[[#This Row],[Index]])&lt;=0,"",G134)</f>
        <v/>
      </c>
      <c r="J134" s="185"/>
      <c r="K134" s="36"/>
      <c r="L134" s="36"/>
      <c r="M134" s="36"/>
    </row>
    <row r="135" spans="1:13">
      <c r="A135" s="53">
        <f t="shared" si="5"/>
        <v>1</v>
      </c>
      <c r="B135" s="501"/>
      <c r="C135" s="180"/>
      <c r="D135" s="495"/>
      <c r="E135" s="502"/>
      <c r="F135" s="177">
        <f t="shared" si="4"/>
        <v>0</v>
      </c>
      <c r="G135" s="177" t="str">
        <f>IF(IFERROR(IF(Str_TypeDonneesCpt6=Cpt_Index,Tab_Compteur_6[[#This Row],[Index]]-E134,Tab_Compteur_6[[#This Row],[Quantité]])/Tab_Compteur_6[[#This Row],[Delta Jour]],"")&lt;0,"",IFERROR(IF(Str_TypeDonneesCpt6=Cpt_Index,Tab_Compteur_6[[#This Row],[Index]]-E134,Tab_Compteur_6[[#This Row],[Quantité]])/Tab_Compteur_6[[#This Row],[Delta Jour]],""))</f>
        <v/>
      </c>
      <c r="H135" s="177" t="str">
        <f>IFERROR(Tab_Compteur_6[[#This Row],[Montant]]/Tab_Compteur_6[[#This Row],[Delta Jour]],"")</f>
        <v/>
      </c>
      <c r="I135" s="188" t="str">
        <f>IF(SUM(Tab_Compteur_6[[#This Row],[Quantité]],Tab_Compteur_6[[#This Row],[Index]])&lt;=0,"",G135)</f>
        <v/>
      </c>
      <c r="J135" s="185"/>
      <c r="K135" s="36"/>
      <c r="L135" s="36"/>
      <c r="M135" s="36"/>
    </row>
    <row r="136" spans="1:13">
      <c r="A136" s="53">
        <f t="shared" si="5"/>
        <v>1</v>
      </c>
      <c r="B136" s="501"/>
      <c r="C136" s="180"/>
      <c r="D136" s="495"/>
      <c r="E136" s="502"/>
      <c r="F136" s="177">
        <f t="shared" si="4"/>
        <v>0</v>
      </c>
      <c r="G136" s="177" t="str">
        <f>IF(IFERROR(IF(Str_TypeDonneesCpt6=Cpt_Index,Tab_Compteur_6[[#This Row],[Index]]-E135,Tab_Compteur_6[[#This Row],[Quantité]])/Tab_Compteur_6[[#This Row],[Delta Jour]],"")&lt;0,"",IFERROR(IF(Str_TypeDonneesCpt6=Cpt_Index,Tab_Compteur_6[[#This Row],[Index]]-E135,Tab_Compteur_6[[#This Row],[Quantité]])/Tab_Compteur_6[[#This Row],[Delta Jour]],""))</f>
        <v/>
      </c>
      <c r="H136" s="177" t="str">
        <f>IFERROR(Tab_Compteur_6[[#This Row],[Montant]]/Tab_Compteur_6[[#This Row],[Delta Jour]],"")</f>
        <v/>
      </c>
      <c r="I136" s="188" t="str">
        <f>IF(SUM(Tab_Compteur_6[[#This Row],[Quantité]],Tab_Compteur_6[[#This Row],[Index]])&lt;=0,"",G136)</f>
        <v/>
      </c>
      <c r="J136" s="185"/>
      <c r="K136" s="36"/>
      <c r="L136" s="36"/>
      <c r="M136" s="36"/>
    </row>
    <row r="137" spans="1:13">
      <c r="A137" s="53">
        <f t="shared" si="5"/>
        <v>1</v>
      </c>
      <c r="B137" s="501"/>
      <c r="C137" s="180"/>
      <c r="D137" s="495"/>
      <c r="E137" s="502"/>
      <c r="F137" s="177">
        <f t="shared" si="4"/>
        <v>0</v>
      </c>
      <c r="G137" s="177" t="str">
        <f>IF(IFERROR(IF(Str_TypeDonneesCpt6=Cpt_Index,Tab_Compteur_6[[#This Row],[Index]]-E136,Tab_Compteur_6[[#This Row],[Quantité]])/Tab_Compteur_6[[#This Row],[Delta Jour]],"")&lt;0,"",IFERROR(IF(Str_TypeDonneesCpt6=Cpt_Index,Tab_Compteur_6[[#This Row],[Index]]-E136,Tab_Compteur_6[[#This Row],[Quantité]])/Tab_Compteur_6[[#This Row],[Delta Jour]],""))</f>
        <v/>
      </c>
      <c r="H137" s="177" t="str">
        <f>IFERROR(Tab_Compteur_6[[#This Row],[Montant]]/Tab_Compteur_6[[#This Row],[Delta Jour]],"")</f>
        <v/>
      </c>
      <c r="I137" s="188" t="str">
        <f>IF(SUM(Tab_Compteur_6[[#This Row],[Quantité]],Tab_Compteur_6[[#This Row],[Index]])&lt;=0,"",G137)</f>
        <v/>
      </c>
      <c r="J137" s="185"/>
      <c r="K137" s="36"/>
      <c r="L137" s="36"/>
      <c r="M137" s="36"/>
    </row>
    <row r="138" spans="1:13">
      <c r="A138" s="53">
        <f t="shared" si="5"/>
        <v>1</v>
      </c>
      <c r="B138" s="501"/>
      <c r="C138" s="180"/>
      <c r="D138" s="495"/>
      <c r="E138" s="502"/>
      <c r="F138" s="177">
        <f t="shared" si="4"/>
        <v>0</v>
      </c>
      <c r="G138" s="177" t="str">
        <f>IF(IFERROR(IF(Str_TypeDonneesCpt6=Cpt_Index,Tab_Compteur_6[[#This Row],[Index]]-E137,Tab_Compteur_6[[#This Row],[Quantité]])/Tab_Compteur_6[[#This Row],[Delta Jour]],"")&lt;0,"",IFERROR(IF(Str_TypeDonneesCpt6=Cpt_Index,Tab_Compteur_6[[#This Row],[Index]]-E137,Tab_Compteur_6[[#This Row],[Quantité]])/Tab_Compteur_6[[#This Row],[Delta Jour]],""))</f>
        <v/>
      </c>
      <c r="H138" s="177" t="str">
        <f>IFERROR(Tab_Compteur_6[[#This Row],[Montant]]/Tab_Compteur_6[[#This Row],[Delta Jour]],"")</f>
        <v/>
      </c>
      <c r="I138" s="188" t="str">
        <f>IF(SUM(Tab_Compteur_6[[#This Row],[Quantité]],Tab_Compteur_6[[#This Row],[Index]])&lt;=0,"",G138)</f>
        <v/>
      </c>
      <c r="J138" s="185"/>
      <c r="K138" s="36"/>
      <c r="L138" s="36"/>
      <c r="M138" s="36"/>
    </row>
    <row r="139" spans="1:13">
      <c r="A139" s="53">
        <f t="shared" si="5"/>
        <v>1</v>
      </c>
      <c r="B139" s="501"/>
      <c r="C139" s="180"/>
      <c r="D139" s="495"/>
      <c r="E139" s="502"/>
      <c r="F139" s="177">
        <f t="shared" si="4"/>
        <v>0</v>
      </c>
      <c r="G139" s="177" t="str">
        <f>IF(IFERROR(IF(Str_TypeDonneesCpt6=Cpt_Index,Tab_Compteur_6[[#This Row],[Index]]-E138,Tab_Compteur_6[[#This Row],[Quantité]])/Tab_Compteur_6[[#This Row],[Delta Jour]],"")&lt;0,"",IFERROR(IF(Str_TypeDonneesCpt6=Cpt_Index,Tab_Compteur_6[[#This Row],[Index]]-E138,Tab_Compteur_6[[#This Row],[Quantité]])/Tab_Compteur_6[[#This Row],[Delta Jour]],""))</f>
        <v/>
      </c>
      <c r="H139" s="177" t="str">
        <f>IFERROR(Tab_Compteur_6[[#This Row],[Montant]]/Tab_Compteur_6[[#This Row],[Delta Jour]],"")</f>
        <v/>
      </c>
      <c r="I139" s="188" t="str">
        <f>IF(SUM(Tab_Compteur_6[[#This Row],[Quantité]],Tab_Compteur_6[[#This Row],[Index]])&lt;=0,"",G139)</f>
        <v/>
      </c>
      <c r="J139" s="185"/>
      <c r="K139" s="36"/>
      <c r="L139" s="36"/>
      <c r="M139" s="36"/>
    </row>
    <row r="140" spans="1:13">
      <c r="A140" s="53">
        <f t="shared" si="5"/>
        <v>1</v>
      </c>
      <c r="B140" s="501"/>
      <c r="C140" s="180"/>
      <c r="D140" s="495"/>
      <c r="E140" s="502"/>
      <c r="F140" s="177">
        <f t="shared" si="4"/>
        <v>0</v>
      </c>
      <c r="G140" s="177" t="str">
        <f>IF(IFERROR(IF(Str_TypeDonneesCpt6=Cpt_Index,Tab_Compteur_6[[#This Row],[Index]]-E139,Tab_Compteur_6[[#This Row],[Quantité]])/Tab_Compteur_6[[#This Row],[Delta Jour]],"")&lt;0,"",IFERROR(IF(Str_TypeDonneesCpt6=Cpt_Index,Tab_Compteur_6[[#This Row],[Index]]-E139,Tab_Compteur_6[[#This Row],[Quantité]])/Tab_Compteur_6[[#This Row],[Delta Jour]],""))</f>
        <v/>
      </c>
      <c r="H140" s="177" t="str">
        <f>IFERROR(Tab_Compteur_6[[#This Row],[Montant]]/Tab_Compteur_6[[#This Row],[Delta Jour]],"")</f>
        <v/>
      </c>
      <c r="I140" s="188" t="str">
        <f>IF(SUM(Tab_Compteur_6[[#This Row],[Quantité]],Tab_Compteur_6[[#This Row],[Index]])&lt;=0,"",G140)</f>
        <v/>
      </c>
      <c r="J140" s="185"/>
      <c r="K140" s="36"/>
      <c r="L140" s="36"/>
      <c r="M140" s="36"/>
    </row>
    <row r="141" spans="1:13">
      <c r="A141" s="53">
        <f t="shared" si="5"/>
        <v>1</v>
      </c>
      <c r="B141" s="501"/>
      <c r="C141" s="180"/>
      <c r="D141" s="495"/>
      <c r="E141" s="502"/>
      <c r="F141" s="177">
        <f t="shared" si="4"/>
        <v>0</v>
      </c>
      <c r="G141" s="177" t="str">
        <f>IF(IFERROR(IF(Str_TypeDonneesCpt6=Cpt_Index,Tab_Compteur_6[[#This Row],[Index]]-E140,Tab_Compteur_6[[#This Row],[Quantité]])/Tab_Compteur_6[[#This Row],[Delta Jour]],"")&lt;0,"",IFERROR(IF(Str_TypeDonneesCpt6=Cpt_Index,Tab_Compteur_6[[#This Row],[Index]]-E140,Tab_Compteur_6[[#This Row],[Quantité]])/Tab_Compteur_6[[#This Row],[Delta Jour]],""))</f>
        <v/>
      </c>
      <c r="H141" s="177" t="str">
        <f>IFERROR(Tab_Compteur_6[[#This Row],[Montant]]/Tab_Compteur_6[[#This Row],[Delta Jour]],"")</f>
        <v/>
      </c>
      <c r="I141" s="188" t="str">
        <f>IF(SUM(Tab_Compteur_6[[#This Row],[Quantité]],Tab_Compteur_6[[#This Row],[Index]])&lt;=0,"",G141)</f>
        <v/>
      </c>
      <c r="J141" s="185"/>
      <c r="K141" s="36"/>
      <c r="L141" s="36"/>
      <c r="M141" s="36"/>
    </row>
    <row r="142" spans="1:13">
      <c r="A142" s="53">
        <f t="shared" si="5"/>
        <v>1</v>
      </c>
      <c r="B142" s="501"/>
      <c r="C142" s="180"/>
      <c r="D142" s="495"/>
      <c r="E142" s="502"/>
      <c r="F142" s="177">
        <f t="shared" si="4"/>
        <v>0</v>
      </c>
      <c r="G142" s="177" t="str">
        <f>IF(IFERROR(IF(Str_TypeDonneesCpt6=Cpt_Index,Tab_Compteur_6[[#This Row],[Index]]-E141,Tab_Compteur_6[[#This Row],[Quantité]])/Tab_Compteur_6[[#This Row],[Delta Jour]],"")&lt;0,"",IFERROR(IF(Str_TypeDonneesCpt6=Cpt_Index,Tab_Compteur_6[[#This Row],[Index]]-E141,Tab_Compteur_6[[#This Row],[Quantité]])/Tab_Compteur_6[[#This Row],[Delta Jour]],""))</f>
        <v/>
      </c>
      <c r="H142" s="177" t="str">
        <f>IFERROR(Tab_Compteur_6[[#This Row],[Montant]]/Tab_Compteur_6[[#This Row],[Delta Jour]],"")</f>
        <v/>
      </c>
      <c r="I142" s="188" t="str">
        <f>IF(SUM(Tab_Compteur_6[[#This Row],[Quantité]],Tab_Compteur_6[[#This Row],[Index]])&lt;=0,"",G142)</f>
        <v/>
      </c>
      <c r="J142" s="185"/>
      <c r="K142" s="36"/>
      <c r="L142" s="36"/>
      <c r="M142" s="36"/>
    </row>
    <row r="143" spans="1:13">
      <c r="A143" s="53">
        <f t="shared" si="5"/>
        <v>1</v>
      </c>
      <c r="B143" s="501"/>
      <c r="C143" s="180"/>
      <c r="D143" s="495"/>
      <c r="E143" s="502"/>
      <c r="F143" s="177">
        <f t="shared" si="4"/>
        <v>0</v>
      </c>
      <c r="G143" s="177" t="str">
        <f>IF(IFERROR(IF(Str_TypeDonneesCpt6=Cpt_Index,Tab_Compteur_6[[#This Row],[Index]]-E142,Tab_Compteur_6[[#This Row],[Quantité]])/Tab_Compteur_6[[#This Row],[Delta Jour]],"")&lt;0,"",IFERROR(IF(Str_TypeDonneesCpt6=Cpt_Index,Tab_Compteur_6[[#This Row],[Index]]-E142,Tab_Compteur_6[[#This Row],[Quantité]])/Tab_Compteur_6[[#This Row],[Delta Jour]],""))</f>
        <v/>
      </c>
      <c r="H143" s="177" t="str">
        <f>IFERROR(Tab_Compteur_6[[#This Row],[Montant]]/Tab_Compteur_6[[#This Row],[Delta Jour]],"")</f>
        <v/>
      </c>
      <c r="I143" s="188" t="str">
        <f>IF(SUM(Tab_Compteur_6[[#This Row],[Quantité]],Tab_Compteur_6[[#This Row],[Index]])&lt;=0,"",G143)</f>
        <v/>
      </c>
      <c r="J143" s="185"/>
      <c r="K143" s="36"/>
      <c r="L143" s="36"/>
      <c r="M143" s="36"/>
    </row>
    <row r="144" spans="1:13">
      <c r="A144" s="53">
        <f t="shared" si="5"/>
        <v>1</v>
      </c>
      <c r="B144" s="501"/>
      <c r="C144" s="180"/>
      <c r="D144" s="495"/>
      <c r="E144" s="502"/>
      <c r="F144" s="177">
        <f t="shared" si="4"/>
        <v>0</v>
      </c>
      <c r="G144" s="177" t="str">
        <f>IF(IFERROR(IF(Str_TypeDonneesCpt6=Cpt_Index,Tab_Compteur_6[[#This Row],[Index]]-E143,Tab_Compteur_6[[#This Row],[Quantité]])/Tab_Compteur_6[[#This Row],[Delta Jour]],"")&lt;0,"",IFERROR(IF(Str_TypeDonneesCpt6=Cpt_Index,Tab_Compteur_6[[#This Row],[Index]]-E143,Tab_Compteur_6[[#This Row],[Quantité]])/Tab_Compteur_6[[#This Row],[Delta Jour]],""))</f>
        <v/>
      </c>
      <c r="H144" s="177" t="str">
        <f>IFERROR(Tab_Compteur_6[[#This Row],[Montant]]/Tab_Compteur_6[[#This Row],[Delta Jour]],"")</f>
        <v/>
      </c>
      <c r="I144" s="188" t="str">
        <f>IF(SUM(Tab_Compteur_6[[#This Row],[Quantité]],Tab_Compteur_6[[#This Row],[Index]])&lt;=0,"",G144)</f>
        <v/>
      </c>
      <c r="J144" s="185"/>
      <c r="K144" s="36"/>
      <c r="L144" s="36"/>
      <c r="M144" s="36"/>
    </row>
    <row r="145" spans="1:13">
      <c r="A145" s="53">
        <f t="shared" si="5"/>
        <v>1</v>
      </c>
      <c r="B145" s="501"/>
      <c r="C145" s="180"/>
      <c r="D145" s="495"/>
      <c r="E145" s="502"/>
      <c r="F145" s="177">
        <f t="shared" si="4"/>
        <v>0</v>
      </c>
      <c r="G145" s="177" t="str">
        <f>IF(IFERROR(IF(Str_TypeDonneesCpt6=Cpt_Index,Tab_Compteur_6[[#This Row],[Index]]-E144,Tab_Compteur_6[[#This Row],[Quantité]])/Tab_Compteur_6[[#This Row],[Delta Jour]],"")&lt;0,"",IFERROR(IF(Str_TypeDonneesCpt6=Cpt_Index,Tab_Compteur_6[[#This Row],[Index]]-E144,Tab_Compteur_6[[#This Row],[Quantité]])/Tab_Compteur_6[[#This Row],[Delta Jour]],""))</f>
        <v/>
      </c>
      <c r="H145" s="177" t="str">
        <f>IFERROR(Tab_Compteur_6[[#This Row],[Montant]]/Tab_Compteur_6[[#This Row],[Delta Jour]],"")</f>
        <v/>
      </c>
      <c r="I145" s="188" t="str">
        <f>IF(SUM(Tab_Compteur_6[[#This Row],[Quantité]],Tab_Compteur_6[[#This Row],[Index]])&lt;=0,"",G145)</f>
        <v/>
      </c>
      <c r="J145" s="185"/>
      <c r="K145" s="36"/>
      <c r="L145" s="36"/>
      <c r="M145" s="36"/>
    </row>
    <row r="146" spans="1:13">
      <c r="A146" s="53">
        <f t="shared" si="5"/>
        <v>1</v>
      </c>
      <c r="B146" s="501"/>
      <c r="C146" s="180"/>
      <c r="D146" s="495"/>
      <c r="E146" s="502"/>
      <c r="F146" s="177">
        <f t="shared" si="4"/>
        <v>0</v>
      </c>
      <c r="G146" s="177" t="str">
        <f>IF(IFERROR(IF(Str_TypeDonneesCpt6=Cpt_Index,Tab_Compteur_6[[#This Row],[Index]]-E145,Tab_Compteur_6[[#This Row],[Quantité]])/Tab_Compteur_6[[#This Row],[Delta Jour]],"")&lt;0,"",IFERROR(IF(Str_TypeDonneesCpt6=Cpt_Index,Tab_Compteur_6[[#This Row],[Index]]-E145,Tab_Compteur_6[[#This Row],[Quantité]])/Tab_Compteur_6[[#This Row],[Delta Jour]],""))</f>
        <v/>
      </c>
      <c r="H146" s="177" t="str">
        <f>IFERROR(Tab_Compteur_6[[#This Row],[Montant]]/Tab_Compteur_6[[#This Row],[Delta Jour]],"")</f>
        <v/>
      </c>
      <c r="I146" s="188" t="str">
        <f>IF(SUM(Tab_Compteur_6[[#This Row],[Quantité]],Tab_Compteur_6[[#This Row],[Index]])&lt;=0,"",G146)</f>
        <v/>
      </c>
      <c r="J146" s="185"/>
      <c r="K146" s="36"/>
      <c r="L146" s="36"/>
      <c r="M146" s="36"/>
    </row>
    <row r="147" spans="1:13">
      <c r="A147" s="53">
        <f t="shared" si="5"/>
        <v>1</v>
      </c>
      <c r="B147" s="501"/>
      <c r="C147" s="180"/>
      <c r="D147" s="495"/>
      <c r="E147" s="502"/>
      <c r="F147" s="177">
        <f t="shared" si="4"/>
        <v>0</v>
      </c>
      <c r="G147" s="177" t="str">
        <f>IF(IFERROR(IF(Str_TypeDonneesCpt6=Cpt_Index,Tab_Compteur_6[[#This Row],[Index]]-E146,Tab_Compteur_6[[#This Row],[Quantité]])/Tab_Compteur_6[[#This Row],[Delta Jour]],"")&lt;0,"",IFERROR(IF(Str_TypeDonneesCpt6=Cpt_Index,Tab_Compteur_6[[#This Row],[Index]]-E146,Tab_Compteur_6[[#This Row],[Quantité]])/Tab_Compteur_6[[#This Row],[Delta Jour]],""))</f>
        <v/>
      </c>
      <c r="H147" s="177" t="str">
        <f>IFERROR(Tab_Compteur_6[[#This Row],[Montant]]/Tab_Compteur_6[[#This Row],[Delta Jour]],"")</f>
        <v/>
      </c>
      <c r="I147" s="188" t="str">
        <f>IF(SUM(Tab_Compteur_6[[#This Row],[Quantité]],Tab_Compteur_6[[#This Row],[Index]])&lt;=0,"",G147)</f>
        <v/>
      </c>
      <c r="J147" s="185"/>
      <c r="K147" s="36"/>
      <c r="L147" s="36"/>
      <c r="M147" s="36"/>
    </row>
    <row r="148" spans="1:13">
      <c r="A148" s="53">
        <f t="shared" si="5"/>
        <v>1</v>
      </c>
      <c r="B148" s="501"/>
      <c r="C148" s="178"/>
      <c r="D148" s="495"/>
      <c r="E148" s="502"/>
      <c r="F148" s="177">
        <f t="shared" si="4"/>
        <v>0</v>
      </c>
      <c r="G148" s="177" t="str">
        <f>IF(IFERROR(IF(Str_TypeDonneesCpt6=Cpt_Index,Tab_Compteur_6[[#This Row],[Index]]-E147,Tab_Compteur_6[[#This Row],[Quantité]])/Tab_Compteur_6[[#This Row],[Delta Jour]],"")&lt;0,"",IFERROR(IF(Str_TypeDonneesCpt6=Cpt_Index,Tab_Compteur_6[[#This Row],[Index]]-E147,Tab_Compteur_6[[#This Row],[Quantité]])/Tab_Compteur_6[[#This Row],[Delta Jour]],""))</f>
        <v/>
      </c>
      <c r="H148" s="177" t="str">
        <f>IFERROR(Tab_Compteur_6[[#This Row],[Montant]]/Tab_Compteur_6[[#This Row],[Delta Jour]],"")</f>
        <v/>
      </c>
      <c r="I148" s="188" t="str">
        <f>IF(SUM(Tab_Compteur_6[[#This Row],[Quantité]],Tab_Compteur_6[[#This Row],[Index]])&lt;=0,"",G148)</f>
        <v/>
      </c>
      <c r="J148" s="185"/>
      <c r="K148" s="36"/>
      <c r="L148" s="36"/>
      <c r="M148" s="36"/>
    </row>
    <row r="149" spans="1:13">
      <c r="A149" s="53">
        <f t="shared" si="5"/>
        <v>1</v>
      </c>
      <c r="B149" s="501"/>
      <c r="C149" s="178"/>
      <c r="D149" s="495"/>
      <c r="E149" s="502"/>
      <c r="F149" s="177">
        <f t="shared" si="4"/>
        <v>0</v>
      </c>
      <c r="G149" s="177" t="str">
        <f>IF(IFERROR(IF(Str_TypeDonneesCpt6=Cpt_Index,Tab_Compteur_6[[#This Row],[Index]]-E148,Tab_Compteur_6[[#This Row],[Quantité]])/Tab_Compteur_6[[#This Row],[Delta Jour]],"")&lt;0,"",IFERROR(IF(Str_TypeDonneesCpt6=Cpt_Index,Tab_Compteur_6[[#This Row],[Index]]-E148,Tab_Compteur_6[[#This Row],[Quantité]])/Tab_Compteur_6[[#This Row],[Delta Jour]],""))</f>
        <v/>
      </c>
      <c r="H149" s="177" t="str">
        <f>IFERROR(Tab_Compteur_6[[#This Row],[Montant]]/Tab_Compteur_6[[#This Row],[Delta Jour]],"")</f>
        <v/>
      </c>
      <c r="I149" s="188" t="str">
        <f>IF(SUM(Tab_Compteur_6[[#This Row],[Quantité]],Tab_Compteur_6[[#This Row],[Index]])&lt;=0,"",G149)</f>
        <v/>
      </c>
      <c r="J149" s="185"/>
      <c r="K149" s="36"/>
      <c r="L149" s="36"/>
      <c r="M149" s="36"/>
    </row>
    <row r="150" spans="1:13">
      <c r="A150" s="53">
        <f t="shared" si="5"/>
        <v>1</v>
      </c>
      <c r="B150" s="501"/>
      <c r="C150" s="178"/>
      <c r="D150" s="495"/>
      <c r="E150" s="502"/>
      <c r="F150" s="177">
        <f t="shared" si="4"/>
        <v>0</v>
      </c>
      <c r="G150" s="177" t="str">
        <f>IF(IFERROR(IF(Str_TypeDonneesCpt6=Cpt_Index,Tab_Compteur_6[[#This Row],[Index]]-E149,Tab_Compteur_6[[#This Row],[Quantité]])/Tab_Compteur_6[[#This Row],[Delta Jour]],"")&lt;0,"",IFERROR(IF(Str_TypeDonneesCpt6=Cpt_Index,Tab_Compteur_6[[#This Row],[Index]]-E149,Tab_Compteur_6[[#This Row],[Quantité]])/Tab_Compteur_6[[#This Row],[Delta Jour]],""))</f>
        <v/>
      </c>
      <c r="H150" s="177" t="str">
        <f>IFERROR(Tab_Compteur_6[[#This Row],[Montant]]/Tab_Compteur_6[[#This Row],[Delta Jour]],"")</f>
        <v/>
      </c>
      <c r="I150" s="188" t="str">
        <f>IF(SUM(Tab_Compteur_6[[#This Row],[Quantité]],Tab_Compteur_6[[#This Row],[Index]])&lt;=0,"",G150)</f>
        <v/>
      </c>
      <c r="J150" s="185"/>
      <c r="K150" s="36"/>
      <c r="L150" s="36"/>
      <c r="M150" s="36"/>
    </row>
    <row r="151" spans="1:13">
      <c r="A151" s="53">
        <f t="shared" si="5"/>
        <v>1</v>
      </c>
      <c r="B151" s="501"/>
      <c r="C151" s="178"/>
      <c r="D151" s="495"/>
      <c r="E151" s="502"/>
      <c r="F151" s="177">
        <f t="shared" si="4"/>
        <v>0</v>
      </c>
      <c r="G151" s="177" t="str">
        <f>IF(IFERROR(IF(Str_TypeDonneesCpt6=Cpt_Index,Tab_Compteur_6[[#This Row],[Index]]-E150,Tab_Compteur_6[[#This Row],[Quantité]])/Tab_Compteur_6[[#This Row],[Delta Jour]],"")&lt;0,"",IFERROR(IF(Str_TypeDonneesCpt6=Cpt_Index,Tab_Compteur_6[[#This Row],[Index]]-E150,Tab_Compteur_6[[#This Row],[Quantité]])/Tab_Compteur_6[[#This Row],[Delta Jour]],""))</f>
        <v/>
      </c>
      <c r="H151" s="177" t="str">
        <f>IFERROR(Tab_Compteur_6[[#This Row],[Montant]]/Tab_Compteur_6[[#This Row],[Delta Jour]],"")</f>
        <v/>
      </c>
      <c r="I151" s="188" t="str">
        <f>IF(SUM(Tab_Compteur_6[[#This Row],[Quantité]],Tab_Compteur_6[[#This Row],[Index]])&lt;=0,"",G151)</f>
        <v/>
      </c>
      <c r="J151" s="185"/>
      <c r="K151" s="36"/>
      <c r="L151" s="36"/>
      <c r="M151" s="36"/>
    </row>
    <row r="152" spans="1:13">
      <c r="A152" s="53">
        <f t="shared" si="5"/>
        <v>1</v>
      </c>
      <c r="B152" s="501"/>
      <c r="C152" s="178"/>
      <c r="D152" s="495"/>
      <c r="E152" s="502"/>
      <c r="F152" s="177">
        <f t="shared" si="4"/>
        <v>0</v>
      </c>
      <c r="G152" s="177" t="str">
        <f>IF(IFERROR(IF(Str_TypeDonneesCpt6=Cpt_Index,Tab_Compteur_6[[#This Row],[Index]]-E151,Tab_Compteur_6[[#This Row],[Quantité]])/Tab_Compteur_6[[#This Row],[Delta Jour]],"")&lt;0,"",IFERROR(IF(Str_TypeDonneesCpt6=Cpt_Index,Tab_Compteur_6[[#This Row],[Index]]-E151,Tab_Compteur_6[[#This Row],[Quantité]])/Tab_Compteur_6[[#This Row],[Delta Jour]],""))</f>
        <v/>
      </c>
      <c r="H152" s="177" t="str">
        <f>IFERROR(Tab_Compteur_6[[#This Row],[Montant]]/Tab_Compteur_6[[#This Row],[Delta Jour]],"")</f>
        <v/>
      </c>
      <c r="I152" s="188" t="str">
        <f>IF(SUM(Tab_Compteur_6[[#This Row],[Quantité]],Tab_Compteur_6[[#This Row],[Index]])&lt;=0,"",G152)</f>
        <v/>
      </c>
      <c r="J152" s="185"/>
      <c r="K152" s="36"/>
      <c r="L152" s="36"/>
      <c r="M152" s="36"/>
    </row>
    <row r="153" spans="1:13">
      <c r="A153" s="53">
        <f t="shared" si="5"/>
        <v>1</v>
      </c>
      <c r="B153" s="501"/>
      <c r="C153" s="178"/>
      <c r="D153" s="495"/>
      <c r="E153" s="502"/>
      <c r="F153" s="177">
        <f t="shared" si="4"/>
        <v>0</v>
      </c>
      <c r="G153" s="177" t="str">
        <f>IF(IFERROR(IF(Str_TypeDonneesCpt6=Cpt_Index,Tab_Compteur_6[[#This Row],[Index]]-E152,Tab_Compteur_6[[#This Row],[Quantité]])/Tab_Compteur_6[[#This Row],[Delta Jour]],"")&lt;0,"",IFERROR(IF(Str_TypeDonneesCpt6=Cpt_Index,Tab_Compteur_6[[#This Row],[Index]]-E152,Tab_Compteur_6[[#This Row],[Quantité]])/Tab_Compteur_6[[#This Row],[Delta Jour]],""))</f>
        <v/>
      </c>
      <c r="H153" s="177" t="str">
        <f>IFERROR(Tab_Compteur_6[[#This Row],[Montant]]/Tab_Compteur_6[[#This Row],[Delta Jour]],"")</f>
        <v/>
      </c>
      <c r="I153" s="188" t="str">
        <f>IF(SUM(Tab_Compteur_6[[#This Row],[Quantité]],Tab_Compteur_6[[#This Row],[Index]])&lt;=0,"",G153)</f>
        <v/>
      </c>
      <c r="J153" s="185"/>
      <c r="K153" s="36"/>
      <c r="L153" s="36"/>
      <c r="M153" s="36"/>
    </row>
    <row r="154" spans="1:13">
      <c r="A154" s="53">
        <f t="shared" si="5"/>
        <v>1</v>
      </c>
      <c r="B154" s="501"/>
      <c r="C154" s="178"/>
      <c r="D154" s="495"/>
      <c r="E154" s="502"/>
      <c r="F154" s="177">
        <f t="shared" si="4"/>
        <v>0</v>
      </c>
      <c r="G154" s="177" t="str">
        <f>IF(IFERROR(IF(Str_TypeDonneesCpt6=Cpt_Index,Tab_Compteur_6[[#This Row],[Index]]-E153,Tab_Compteur_6[[#This Row],[Quantité]])/Tab_Compteur_6[[#This Row],[Delta Jour]],"")&lt;0,"",IFERROR(IF(Str_TypeDonneesCpt6=Cpt_Index,Tab_Compteur_6[[#This Row],[Index]]-E153,Tab_Compteur_6[[#This Row],[Quantité]])/Tab_Compteur_6[[#This Row],[Delta Jour]],""))</f>
        <v/>
      </c>
      <c r="H154" s="177" t="str">
        <f>IFERROR(Tab_Compteur_6[[#This Row],[Montant]]/Tab_Compteur_6[[#This Row],[Delta Jour]],"")</f>
        <v/>
      </c>
      <c r="I154" s="188" t="str">
        <f>IF(SUM(Tab_Compteur_6[[#This Row],[Quantité]],Tab_Compteur_6[[#This Row],[Index]])&lt;=0,"",G154)</f>
        <v/>
      </c>
      <c r="J154" s="185"/>
      <c r="K154" s="36"/>
      <c r="L154" s="36"/>
      <c r="M154" s="36"/>
    </row>
    <row r="155" spans="1:13">
      <c r="A155" s="53">
        <f t="shared" si="5"/>
        <v>1</v>
      </c>
      <c r="B155" s="501"/>
      <c r="C155" s="178"/>
      <c r="D155" s="495"/>
      <c r="E155" s="502"/>
      <c r="F155" s="177">
        <f t="shared" si="4"/>
        <v>0</v>
      </c>
      <c r="G155" s="177" t="str">
        <f>IF(IFERROR(IF(Str_TypeDonneesCpt6=Cpt_Index,Tab_Compteur_6[[#This Row],[Index]]-E154,Tab_Compteur_6[[#This Row],[Quantité]])/Tab_Compteur_6[[#This Row],[Delta Jour]],"")&lt;0,"",IFERROR(IF(Str_TypeDonneesCpt6=Cpt_Index,Tab_Compteur_6[[#This Row],[Index]]-E154,Tab_Compteur_6[[#This Row],[Quantité]])/Tab_Compteur_6[[#This Row],[Delta Jour]],""))</f>
        <v/>
      </c>
      <c r="H155" s="177" t="str">
        <f>IFERROR(Tab_Compteur_6[[#This Row],[Montant]]/Tab_Compteur_6[[#This Row],[Delta Jour]],"")</f>
        <v/>
      </c>
      <c r="I155" s="188" t="str">
        <f>IF(SUM(Tab_Compteur_6[[#This Row],[Quantité]],Tab_Compteur_6[[#This Row],[Index]])&lt;=0,"",G155)</f>
        <v/>
      </c>
      <c r="J155" s="185"/>
      <c r="K155" s="36"/>
      <c r="L155" s="36"/>
      <c r="M155" s="36"/>
    </row>
    <row r="156" spans="1:13">
      <c r="A156" s="53">
        <f t="shared" si="5"/>
        <v>1</v>
      </c>
      <c r="B156" s="501"/>
      <c r="C156" s="178"/>
      <c r="D156" s="495"/>
      <c r="E156" s="502"/>
      <c r="F156" s="177">
        <f t="shared" si="4"/>
        <v>0</v>
      </c>
      <c r="G156" s="177" t="str">
        <f>IF(IFERROR(IF(Str_TypeDonneesCpt6=Cpt_Index,Tab_Compteur_6[[#This Row],[Index]]-E155,Tab_Compteur_6[[#This Row],[Quantité]])/Tab_Compteur_6[[#This Row],[Delta Jour]],"")&lt;0,"",IFERROR(IF(Str_TypeDonneesCpt6=Cpt_Index,Tab_Compteur_6[[#This Row],[Index]]-E155,Tab_Compteur_6[[#This Row],[Quantité]])/Tab_Compteur_6[[#This Row],[Delta Jour]],""))</f>
        <v/>
      </c>
      <c r="H156" s="177" t="str">
        <f>IFERROR(Tab_Compteur_6[[#This Row],[Montant]]/Tab_Compteur_6[[#This Row],[Delta Jour]],"")</f>
        <v/>
      </c>
      <c r="I156" s="188" t="str">
        <f>IF(SUM(Tab_Compteur_6[[#This Row],[Quantité]],Tab_Compteur_6[[#This Row],[Index]])&lt;=0,"",G156)</f>
        <v/>
      </c>
      <c r="J156" s="185"/>
      <c r="K156" s="36"/>
      <c r="L156" s="36"/>
      <c r="M156" s="36"/>
    </row>
    <row r="157" spans="1:13">
      <c r="A157" s="53">
        <f t="shared" si="5"/>
        <v>1</v>
      </c>
      <c r="B157" s="501"/>
      <c r="C157" s="178"/>
      <c r="D157" s="495"/>
      <c r="E157" s="502"/>
      <c r="F157" s="177">
        <f t="shared" si="4"/>
        <v>0</v>
      </c>
      <c r="G157" s="177" t="str">
        <f>IF(IFERROR(IF(Str_TypeDonneesCpt6=Cpt_Index,Tab_Compteur_6[[#This Row],[Index]]-E156,Tab_Compteur_6[[#This Row],[Quantité]])/Tab_Compteur_6[[#This Row],[Delta Jour]],"")&lt;0,"",IFERROR(IF(Str_TypeDonneesCpt6=Cpt_Index,Tab_Compteur_6[[#This Row],[Index]]-E156,Tab_Compteur_6[[#This Row],[Quantité]])/Tab_Compteur_6[[#This Row],[Delta Jour]],""))</f>
        <v/>
      </c>
      <c r="H157" s="177" t="str">
        <f>IFERROR(Tab_Compteur_6[[#This Row],[Montant]]/Tab_Compteur_6[[#This Row],[Delta Jour]],"")</f>
        <v/>
      </c>
      <c r="I157" s="188" t="str">
        <f>IF(SUM(Tab_Compteur_6[[#This Row],[Quantité]],Tab_Compteur_6[[#This Row],[Index]])&lt;=0,"",G157)</f>
        <v/>
      </c>
      <c r="J157" s="185"/>
      <c r="K157" s="36"/>
      <c r="L157" s="36"/>
      <c r="M157" s="36"/>
    </row>
    <row r="158" spans="1:13">
      <c r="A158" s="53">
        <f t="shared" si="5"/>
        <v>1</v>
      </c>
      <c r="B158" s="501"/>
      <c r="C158" s="178"/>
      <c r="D158" s="495"/>
      <c r="E158" s="502"/>
      <c r="F158" s="177">
        <f t="shared" si="4"/>
        <v>0</v>
      </c>
      <c r="G158" s="177" t="str">
        <f>IF(IFERROR(IF(Str_TypeDonneesCpt6=Cpt_Index,Tab_Compteur_6[[#This Row],[Index]]-E157,Tab_Compteur_6[[#This Row],[Quantité]])/Tab_Compteur_6[[#This Row],[Delta Jour]],"")&lt;0,"",IFERROR(IF(Str_TypeDonneesCpt6=Cpt_Index,Tab_Compteur_6[[#This Row],[Index]]-E157,Tab_Compteur_6[[#This Row],[Quantité]])/Tab_Compteur_6[[#This Row],[Delta Jour]],""))</f>
        <v/>
      </c>
      <c r="H158" s="177" t="str">
        <f>IFERROR(Tab_Compteur_6[[#This Row],[Montant]]/Tab_Compteur_6[[#This Row],[Delta Jour]],"")</f>
        <v/>
      </c>
      <c r="I158" s="188" t="str">
        <f>IF(SUM(Tab_Compteur_6[[#This Row],[Quantité]],Tab_Compteur_6[[#This Row],[Index]])&lt;=0,"",G158)</f>
        <v/>
      </c>
      <c r="J158" s="185"/>
      <c r="K158" s="36"/>
      <c r="L158" s="36"/>
      <c r="M158" s="36"/>
    </row>
    <row r="159" spans="1:13">
      <c r="A159" s="53">
        <f t="shared" si="5"/>
        <v>1</v>
      </c>
      <c r="B159" s="501"/>
      <c r="C159" s="180"/>
      <c r="D159" s="495"/>
      <c r="E159" s="502"/>
      <c r="F159" s="177">
        <f t="shared" si="4"/>
        <v>0</v>
      </c>
      <c r="G159" s="177" t="str">
        <f>IF(IFERROR(IF(Str_TypeDonneesCpt6=Cpt_Index,Tab_Compteur_6[[#This Row],[Index]]-E158,Tab_Compteur_6[[#This Row],[Quantité]])/Tab_Compteur_6[[#This Row],[Delta Jour]],"")&lt;0,"",IFERROR(IF(Str_TypeDonneesCpt6=Cpt_Index,Tab_Compteur_6[[#This Row],[Index]]-E158,Tab_Compteur_6[[#This Row],[Quantité]])/Tab_Compteur_6[[#This Row],[Delta Jour]],""))</f>
        <v/>
      </c>
      <c r="H159" s="177" t="str">
        <f>IFERROR(Tab_Compteur_6[[#This Row],[Montant]]/Tab_Compteur_6[[#This Row],[Delta Jour]],"")</f>
        <v/>
      </c>
      <c r="I159" s="188" t="str">
        <f>IF(SUM(Tab_Compteur_6[[#This Row],[Quantité]],Tab_Compteur_6[[#This Row],[Index]])&lt;=0,"",G159)</f>
        <v/>
      </c>
      <c r="J159" s="185"/>
      <c r="K159" s="36"/>
      <c r="L159" s="36"/>
      <c r="M159" s="36"/>
    </row>
    <row r="160" spans="1:13">
      <c r="A160" s="53">
        <f t="shared" si="5"/>
        <v>1</v>
      </c>
      <c r="B160" s="501"/>
      <c r="C160" s="180"/>
      <c r="D160" s="495"/>
      <c r="E160" s="502"/>
      <c r="F160" s="177">
        <f t="shared" si="4"/>
        <v>0</v>
      </c>
      <c r="G160" s="177" t="str">
        <f>IF(IFERROR(IF(Str_TypeDonneesCpt6=Cpt_Index,Tab_Compteur_6[[#This Row],[Index]]-E159,Tab_Compteur_6[[#This Row],[Quantité]])/Tab_Compteur_6[[#This Row],[Delta Jour]],"")&lt;0,"",IFERROR(IF(Str_TypeDonneesCpt6=Cpt_Index,Tab_Compteur_6[[#This Row],[Index]]-E159,Tab_Compteur_6[[#This Row],[Quantité]])/Tab_Compteur_6[[#This Row],[Delta Jour]],""))</f>
        <v/>
      </c>
      <c r="H160" s="177" t="str">
        <f>IFERROR(Tab_Compteur_6[[#This Row],[Montant]]/Tab_Compteur_6[[#This Row],[Delta Jour]],"")</f>
        <v/>
      </c>
      <c r="I160" s="188" t="str">
        <f>IF(SUM(Tab_Compteur_6[[#This Row],[Quantité]],Tab_Compteur_6[[#This Row],[Index]])&lt;=0,"",G160)</f>
        <v/>
      </c>
      <c r="J160" s="185"/>
      <c r="K160" s="36"/>
      <c r="L160" s="36"/>
      <c r="M160" s="36"/>
    </row>
    <row r="161" spans="1:13">
      <c r="A161" s="53">
        <f t="shared" si="5"/>
        <v>1</v>
      </c>
      <c r="B161" s="501"/>
      <c r="C161" s="180"/>
      <c r="D161" s="495"/>
      <c r="E161" s="502"/>
      <c r="F161" s="177">
        <f t="shared" si="4"/>
        <v>0</v>
      </c>
      <c r="G161" s="177" t="str">
        <f>IF(IFERROR(IF(Str_TypeDonneesCpt6=Cpt_Index,Tab_Compteur_6[[#This Row],[Index]]-E160,Tab_Compteur_6[[#This Row],[Quantité]])/Tab_Compteur_6[[#This Row],[Delta Jour]],"")&lt;0,"",IFERROR(IF(Str_TypeDonneesCpt6=Cpt_Index,Tab_Compteur_6[[#This Row],[Index]]-E160,Tab_Compteur_6[[#This Row],[Quantité]])/Tab_Compteur_6[[#This Row],[Delta Jour]],""))</f>
        <v/>
      </c>
      <c r="H161" s="177" t="str">
        <f>IFERROR(Tab_Compteur_6[[#This Row],[Montant]]/Tab_Compteur_6[[#This Row],[Delta Jour]],"")</f>
        <v/>
      </c>
      <c r="I161" s="188" t="str">
        <f>IF(SUM(Tab_Compteur_6[[#This Row],[Quantité]],Tab_Compteur_6[[#This Row],[Index]])&lt;=0,"",G161)</f>
        <v/>
      </c>
      <c r="J161" s="185"/>
      <c r="K161" s="36"/>
      <c r="L161" s="36"/>
      <c r="M161" s="36"/>
    </row>
    <row r="162" spans="1:13">
      <c r="A162" s="53">
        <f t="shared" si="5"/>
        <v>1</v>
      </c>
      <c r="B162" s="501"/>
      <c r="C162" s="180"/>
      <c r="D162" s="495"/>
      <c r="E162" s="502"/>
      <c r="F162" s="177">
        <f t="shared" si="4"/>
        <v>0</v>
      </c>
      <c r="G162" s="177" t="str">
        <f>IF(IFERROR(IF(Str_TypeDonneesCpt6=Cpt_Index,Tab_Compteur_6[[#This Row],[Index]]-E161,Tab_Compteur_6[[#This Row],[Quantité]])/Tab_Compteur_6[[#This Row],[Delta Jour]],"")&lt;0,"",IFERROR(IF(Str_TypeDonneesCpt6=Cpt_Index,Tab_Compteur_6[[#This Row],[Index]]-E161,Tab_Compteur_6[[#This Row],[Quantité]])/Tab_Compteur_6[[#This Row],[Delta Jour]],""))</f>
        <v/>
      </c>
      <c r="H162" s="177" t="str">
        <f>IFERROR(Tab_Compteur_6[[#This Row],[Montant]]/Tab_Compteur_6[[#This Row],[Delta Jour]],"")</f>
        <v/>
      </c>
      <c r="I162" s="188" t="str">
        <f>IF(SUM(Tab_Compteur_6[[#This Row],[Quantité]],Tab_Compteur_6[[#This Row],[Index]])&lt;=0,"",G162)</f>
        <v/>
      </c>
      <c r="J162" s="185"/>
      <c r="K162" s="36"/>
      <c r="L162" s="36"/>
      <c r="M162" s="36"/>
    </row>
    <row r="163" spans="1:13">
      <c r="A163" s="53">
        <f t="shared" si="5"/>
        <v>1</v>
      </c>
      <c r="B163" s="501"/>
      <c r="C163" s="180"/>
      <c r="D163" s="495"/>
      <c r="E163" s="502"/>
      <c r="F163" s="177">
        <f t="shared" si="4"/>
        <v>0</v>
      </c>
      <c r="G163" s="177" t="str">
        <f>IF(IFERROR(IF(Str_TypeDonneesCpt6=Cpt_Index,Tab_Compteur_6[[#This Row],[Index]]-E162,Tab_Compteur_6[[#This Row],[Quantité]])/Tab_Compteur_6[[#This Row],[Delta Jour]],"")&lt;0,"",IFERROR(IF(Str_TypeDonneesCpt6=Cpt_Index,Tab_Compteur_6[[#This Row],[Index]]-E162,Tab_Compteur_6[[#This Row],[Quantité]])/Tab_Compteur_6[[#This Row],[Delta Jour]],""))</f>
        <v/>
      </c>
      <c r="H163" s="177" t="str">
        <f>IFERROR(Tab_Compteur_6[[#This Row],[Montant]]/Tab_Compteur_6[[#This Row],[Delta Jour]],"")</f>
        <v/>
      </c>
      <c r="I163" s="188" t="str">
        <f>IF(SUM(Tab_Compteur_6[[#This Row],[Quantité]],Tab_Compteur_6[[#This Row],[Index]])&lt;=0,"",G163)</f>
        <v/>
      </c>
      <c r="J163" s="185"/>
      <c r="K163" s="36"/>
      <c r="L163" s="36"/>
      <c r="M163" s="36"/>
    </row>
    <row r="164" spans="1:13">
      <c r="A164" s="53">
        <f t="shared" si="5"/>
        <v>1</v>
      </c>
      <c r="B164" s="501"/>
      <c r="C164" s="180"/>
      <c r="D164" s="495"/>
      <c r="E164" s="502"/>
      <c r="F164" s="177">
        <f t="shared" si="4"/>
        <v>0</v>
      </c>
      <c r="G164" s="177" t="str">
        <f>IF(IFERROR(IF(Str_TypeDonneesCpt6=Cpt_Index,Tab_Compteur_6[[#This Row],[Index]]-E163,Tab_Compteur_6[[#This Row],[Quantité]])/Tab_Compteur_6[[#This Row],[Delta Jour]],"")&lt;0,"",IFERROR(IF(Str_TypeDonneesCpt6=Cpt_Index,Tab_Compteur_6[[#This Row],[Index]]-E163,Tab_Compteur_6[[#This Row],[Quantité]])/Tab_Compteur_6[[#This Row],[Delta Jour]],""))</f>
        <v/>
      </c>
      <c r="H164" s="177" t="str">
        <f>IFERROR(Tab_Compteur_6[[#This Row],[Montant]]/Tab_Compteur_6[[#This Row],[Delta Jour]],"")</f>
        <v/>
      </c>
      <c r="I164" s="188" t="str">
        <f>IF(SUM(Tab_Compteur_6[[#This Row],[Quantité]],Tab_Compteur_6[[#This Row],[Index]])&lt;=0,"",G164)</f>
        <v/>
      </c>
      <c r="J164" s="185"/>
      <c r="K164" s="36"/>
      <c r="L164" s="36"/>
      <c r="M164" s="36"/>
    </row>
    <row r="165" spans="1:13">
      <c r="A165" s="53">
        <f t="shared" si="5"/>
        <v>1</v>
      </c>
      <c r="B165" s="501"/>
      <c r="C165" s="180"/>
      <c r="D165" s="495"/>
      <c r="E165" s="502"/>
      <c r="F165" s="177">
        <f t="shared" si="4"/>
        <v>0</v>
      </c>
      <c r="G165" s="177" t="str">
        <f>IF(IFERROR(IF(Str_TypeDonneesCpt6=Cpt_Index,Tab_Compteur_6[[#This Row],[Index]]-E164,Tab_Compteur_6[[#This Row],[Quantité]])/Tab_Compteur_6[[#This Row],[Delta Jour]],"")&lt;0,"",IFERROR(IF(Str_TypeDonneesCpt6=Cpt_Index,Tab_Compteur_6[[#This Row],[Index]]-E164,Tab_Compteur_6[[#This Row],[Quantité]])/Tab_Compteur_6[[#This Row],[Delta Jour]],""))</f>
        <v/>
      </c>
      <c r="H165" s="177" t="str">
        <f>IFERROR(Tab_Compteur_6[[#This Row],[Montant]]/Tab_Compteur_6[[#This Row],[Delta Jour]],"")</f>
        <v/>
      </c>
      <c r="I165" s="188" t="str">
        <f>IF(SUM(Tab_Compteur_6[[#This Row],[Quantité]],Tab_Compteur_6[[#This Row],[Index]])&lt;=0,"",G165)</f>
        <v/>
      </c>
      <c r="J165" s="185"/>
      <c r="K165" s="36"/>
      <c r="L165" s="36"/>
      <c r="M165" s="36"/>
    </row>
    <row r="166" spans="1:13">
      <c r="A166" s="53">
        <f t="shared" si="5"/>
        <v>1</v>
      </c>
      <c r="B166" s="501"/>
      <c r="C166" s="180"/>
      <c r="D166" s="495"/>
      <c r="E166" s="502"/>
      <c r="F166" s="177">
        <f t="shared" si="4"/>
        <v>0</v>
      </c>
      <c r="G166" s="177" t="str">
        <f>IF(IFERROR(IF(Str_TypeDonneesCpt6=Cpt_Index,Tab_Compteur_6[[#This Row],[Index]]-E165,Tab_Compteur_6[[#This Row],[Quantité]])/Tab_Compteur_6[[#This Row],[Delta Jour]],"")&lt;0,"",IFERROR(IF(Str_TypeDonneesCpt6=Cpt_Index,Tab_Compteur_6[[#This Row],[Index]]-E165,Tab_Compteur_6[[#This Row],[Quantité]])/Tab_Compteur_6[[#This Row],[Delta Jour]],""))</f>
        <v/>
      </c>
      <c r="H166" s="177" t="str">
        <f>IFERROR(Tab_Compteur_6[[#This Row],[Montant]]/Tab_Compteur_6[[#This Row],[Delta Jour]],"")</f>
        <v/>
      </c>
      <c r="I166" s="188" t="str">
        <f>IF(SUM(Tab_Compteur_6[[#This Row],[Quantité]],Tab_Compteur_6[[#This Row],[Index]])&lt;=0,"",G166)</f>
        <v/>
      </c>
      <c r="J166" s="185"/>
      <c r="K166" s="36"/>
      <c r="L166" s="36"/>
      <c r="M166" s="36"/>
    </row>
    <row r="167" spans="1:13">
      <c r="A167" s="53">
        <f t="shared" si="5"/>
        <v>1</v>
      </c>
      <c r="B167" s="501"/>
      <c r="C167" s="180"/>
      <c r="D167" s="495"/>
      <c r="E167" s="502"/>
      <c r="F167" s="177">
        <f t="shared" si="4"/>
        <v>0</v>
      </c>
      <c r="G167" s="177" t="str">
        <f>IF(IFERROR(IF(Str_TypeDonneesCpt6=Cpt_Index,Tab_Compteur_6[[#This Row],[Index]]-E166,Tab_Compteur_6[[#This Row],[Quantité]])/Tab_Compteur_6[[#This Row],[Delta Jour]],"")&lt;0,"",IFERROR(IF(Str_TypeDonneesCpt6=Cpt_Index,Tab_Compteur_6[[#This Row],[Index]]-E166,Tab_Compteur_6[[#This Row],[Quantité]])/Tab_Compteur_6[[#This Row],[Delta Jour]],""))</f>
        <v/>
      </c>
      <c r="H167" s="177" t="str">
        <f>IFERROR(Tab_Compteur_6[[#This Row],[Montant]]/Tab_Compteur_6[[#This Row],[Delta Jour]],"")</f>
        <v/>
      </c>
      <c r="I167" s="188" t="str">
        <f>IF(SUM(Tab_Compteur_6[[#This Row],[Quantité]],Tab_Compteur_6[[#This Row],[Index]])&lt;=0,"",G167)</f>
        <v/>
      </c>
      <c r="J167" s="185"/>
      <c r="K167" s="36"/>
      <c r="L167" s="36"/>
      <c r="M167" s="36"/>
    </row>
    <row r="168" spans="1:13">
      <c r="A168" s="53">
        <f t="shared" si="5"/>
        <v>1</v>
      </c>
      <c r="B168" s="501"/>
      <c r="C168" s="180"/>
      <c r="D168" s="495"/>
      <c r="E168" s="502"/>
      <c r="F168" s="177">
        <f t="shared" si="4"/>
        <v>0</v>
      </c>
      <c r="G168" s="177" t="str">
        <f>IF(IFERROR(IF(Str_TypeDonneesCpt6=Cpt_Index,Tab_Compteur_6[[#This Row],[Index]]-E167,Tab_Compteur_6[[#This Row],[Quantité]])/Tab_Compteur_6[[#This Row],[Delta Jour]],"")&lt;0,"",IFERROR(IF(Str_TypeDonneesCpt6=Cpt_Index,Tab_Compteur_6[[#This Row],[Index]]-E167,Tab_Compteur_6[[#This Row],[Quantité]])/Tab_Compteur_6[[#This Row],[Delta Jour]],""))</f>
        <v/>
      </c>
      <c r="H168" s="177" t="str">
        <f>IFERROR(Tab_Compteur_6[[#This Row],[Montant]]/Tab_Compteur_6[[#This Row],[Delta Jour]],"")</f>
        <v/>
      </c>
      <c r="I168" s="188" t="str">
        <f>IF(SUM(Tab_Compteur_6[[#This Row],[Quantité]],Tab_Compteur_6[[#This Row],[Index]])&lt;=0,"",G168)</f>
        <v/>
      </c>
      <c r="J168" s="185"/>
      <c r="K168" s="36"/>
      <c r="L168" s="36"/>
      <c r="M168" s="36"/>
    </row>
    <row r="169" spans="1:13">
      <c r="A169" s="53">
        <f t="shared" si="5"/>
        <v>1</v>
      </c>
      <c r="B169" s="501"/>
      <c r="C169" s="180"/>
      <c r="D169" s="495"/>
      <c r="E169" s="502"/>
      <c r="F169" s="177">
        <f t="shared" si="4"/>
        <v>0</v>
      </c>
      <c r="G169" s="177" t="str">
        <f>IF(IFERROR(IF(Str_TypeDonneesCpt6=Cpt_Index,Tab_Compteur_6[[#This Row],[Index]]-E168,Tab_Compteur_6[[#This Row],[Quantité]])/Tab_Compteur_6[[#This Row],[Delta Jour]],"")&lt;0,"",IFERROR(IF(Str_TypeDonneesCpt6=Cpt_Index,Tab_Compteur_6[[#This Row],[Index]]-E168,Tab_Compteur_6[[#This Row],[Quantité]])/Tab_Compteur_6[[#This Row],[Delta Jour]],""))</f>
        <v/>
      </c>
      <c r="H169" s="177" t="str">
        <f>IFERROR(Tab_Compteur_6[[#This Row],[Montant]]/Tab_Compteur_6[[#This Row],[Delta Jour]],"")</f>
        <v/>
      </c>
      <c r="I169" s="188" t="str">
        <f>IF(SUM(Tab_Compteur_6[[#This Row],[Quantité]],Tab_Compteur_6[[#This Row],[Index]])&lt;=0,"",G169)</f>
        <v/>
      </c>
      <c r="J169" s="185"/>
      <c r="K169" s="36"/>
      <c r="L169" s="36"/>
      <c r="M169" s="36"/>
    </row>
    <row r="170" spans="1:13">
      <c r="A170" s="53">
        <f t="shared" si="5"/>
        <v>1</v>
      </c>
      <c r="B170" s="501"/>
      <c r="C170" s="180"/>
      <c r="D170" s="495"/>
      <c r="E170" s="502"/>
      <c r="F170" s="177">
        <f t="shared" si="4"/>
        <v>0</v>
      </c>
      <c r="G170" s="177" t="str">
        <f>IF(IFERROR(IF(Str_TypeDonneesCpt6=Cpt_Index,Tab_Compteur_6[[#This Row],[Index]]-E169,Tab_Compteur_6[[#This Row],[Quantité]])/Tab_Compteur_6[[#This Row],[Delta Jour]],"")&lt;0,"",IFERROR(IF(Str_TypeDonneesCpt6=Cpt_Index,Tab_Compteur_6[[#This Row],[Index]]-E169,Tab_Compteur_6[[#This Row],[Quantité]])/Tab_Compteur_6[[#This Row],[Delta Jour]],""))</f>
        <v/>
      </c>
      <c r="H170" s="177" t="str">
        <f>IFERROR(Tab_Compteur_6[[#This Row],[Montant]]/Tab_Compteur_6[[#This Row],[Delta Jour]],"")</f>
        <v/>
      </c>
      <c r="I170" s="188" t="str">
        <f>IF(SUM(Tab_Compteur_6[[#This Row],[Quantité]],Tab_Compteur_6[[#This Row],[Index]])&lt;=0,"",G170)</f>
        <v/>
      </c>
      <c r="J170" s="185"/>
      <c r="K170" s="36"/>
      <c r="L170" s="36"/>
      <c r="M170" s="36"/>
    </row>
    <row r="171" spans="1:13">
      <c r="A171" s="53">
        <f t="shared" si="5"/>
        <v>1</v>
      </c>
      <c r="B171" s="501"/>
      <c r="C171" s="180"/>
      <c r="D171" s="495"/>
      <c r="E171" s="502"/>
      <c r="F171" s="177">
        <f t="shared" si="4"/>
        <v>0</v>
      </c>
      <c r="G171" s="177" t="str">
        <f>IF(IFERROR(IF(Str_TypeDonneesCpt6=Cpt_Index,Tab_Compteur_6[[#This Row],[Index]]-E170,Tab_Compteur_6[[#This Row],[Quantité]])/Tab_Compteur_6[[#This Row],[Delta Jour]],"")&lt;0,"",IFERROR(IF(Str_TypeDonneesCpt6=Cpt_Index,Tab_Compteur_6[[#This Row],[Index]]-E170,Tab_Compteur_6[[#This Row],[Quantité]])/Tab_Compteur_6[[#This Row],[Delta Jour]],""))</f>
        <v/>
      </c>
      <c r="H171" s="177" t="str">
        <f>IFERROR(Tab_Compteur_6[[#This Row],[Montant]]/Tab_Compteur_6[[#This Row],[Delta Jour]],"")</f>
        <v/>
      </c>
      <c r="I171" s="188" t="str">
        <f>IF(SUM(Tab_Compteur_6[[#This Row],[Quantité]],Tab_Compteur_6[[#This Row],[Index]])&lt;=0,"",G171)</f>
        <v/>
      </c>
      <c r="J171" s="185"/>
      <c r="K171" s="36"/>
      <c r="L171" s="36"/>
      <c r="M171" s="36"/>
    </row>
    <row r="172" spans="1:13">
      <c r="A172" s="53">
        <f t="shared" si="5"/>
        <v>1</v>
      </c>
      <c r="B172" s="501"/>
      <c r="C172" s="180"/>
      <c r="D172" s="495"/>
      <c r="E172" s="502"/>
      <c r="F172" s="177">
        <f t="shared" si="4"/>
        <v>0</v>
      </c>
      <c r="G172" s="177" t="str">
        <f>IF(IFERROR(IF(Str_TypeDonneesCpt6=Cpt_Index,Tab_Compteur_6[[#This Row],[Index]]-E171,Tab_Compteur_6[[#This Row],[Quantité]])/Tab_Compteur_6[[#This Row],[Delta Jour]],"")&lt;0,"",IFERROR(IF(Str_TypeDonneesCpt6=Cpt_Index,Tab_Compteur_6[[#This Row],[Index]]-E171,Tab_Compteur_6[[#This Row],[Quantité]])/Tab_Compteur_6[[#This Row],[Delta Jour]],""))</f>
        <v/>
      </c>
      <c r="H172" s="177" t="str">
        <f>IFERROR(Tab_Compteur_6[[#This Row],[Montant]]/Tab_Compteur_6[[#This Row],[Delta Jour]],"")</f>
        <v/>
      </c>
      <c r="I172" s="188" t="str">
        <f>IF(SUM(Tab_Compteur_6[[#This Row],[Quantité]],Tab_Compteur_6[[#This Row],[Index]])&lt;=0,"",G172)</f>
        <v/>
      </c>
      <c r="J172" s="185"/>
      <c r="K172" s="36"/>
      <c r="L172" s="36"/>
      <c r="M172" s="36"/>
    </row>
    <row r="173" spans="1:13">
      <c r="A173" s="53">
        <f t="shared" si="5"/>
        <v>1</v>
      </c>
      <c r="B173" s="501"/>
      <c r="C173" s="180"/>
      <c r="D173" s="495"/>
      <c r="E173" s="502"/>
      <c r="F173" s="177">
        <f t="shared" si="4"/>
        <v>0</v>
      </c>
      <c r="G173" s="177" t="str">
        <f>IF(IFERROR(IF(Str_TypeDonneesCpt6=Cpt_Index,Tab_Compteur_6[[#This Row],[Index]]-E172,Tab_Compteur_6[[#This Row],[Quantité]])/Tab_Compteur_6[[#This Row],[Delta Jour]],"")&lt;0,"",IFERROR(IF(Str_TypeDonneesCpt6=Cpt_Index,Tab_Compteur_6[[#This Row],[Index]]-E172,Tab_Compteur_6[[#This Row],[Quantité]])/Tab_Compteur_6[[#This Row],[Delta Jour]],""))</f>
        <v/>
      </c>
      <c r="H173" s="177" t="str">
        <f>IFERROR(Tab_Compteur_6[[#This Row],[Montant]]/Tab_Compteur_6[[#This Row],[Delta Jour]],"")</f>
        <v/>
      </c>
      <c r="I173" s="188" t="str">
        <f>IF(SUM(Tab_Compteur_6[[#This Row],[Quantité]],Tab_Compteur_6[[#This Row],[Index]])&lt;=0,"",G173)</f>
        <v/>
      </c>
      <c r="J173" s="185"/>
      <c r="K173" s="36"/>
      <c r="L173" s="36"/>
      <c r="M173" s="36"/>
    </row>
    <row r="174" spans="1:13">
      <c r="A174" s="53">
        <f t="shared" si="5"/>
        <v>1</v>
      </c>
      <c r="B174" s="501"/>
      <c r="C174" s="180"/>
      <c r="D174" s="495"/>
      <c r="E174" s="502"/>
      <c r="F174" s="177">
        <f t="shared" si="4"/>
        <v>0</v>
      </c>
      <c r="G174" s="177" t="str">
        <f>IF(IFERROR(IF(Str_TypeDonneesCpt6=Cpt_Index,Tab_Compteur_6[[#This Row],[Index]]-E173,Tab_Compteur_6[[#This Row],[Quantité]])/Tab_Compteur_6[[#This Row],[Delta Jour]],"")&lt;0,"",IFERROR(IF(Str_TypeDonneesCpt6=Cpt_Index,Tab_Compteur_6[[#This Row],[Index]]-E173,Tab_Compteur_6[[#This Row],[Quantité]])/Tab_Compteur_6[[#This Row],[Delta Jour]],""))</f>
        <v/>
      </c>
      <c r="H174" s="177" t="str">
        <f>IFERROR(Tab_Compteur_6[[#This Row],[Montant]]/Tab_Compteur_6[[#This Row],[Delta Jour]],"")</f>
        <v/>
      </c>
      <c r="I174" s="188" t="str">
        <f>IF(SUM(Tab_Compteur_6[[#This Row],[Quantité]],Tab_Compteur_6[[#This Row],[Index]])&lt;=0,"",G174)</f>
        <v/>
      </c>
      <c r="J174" s="185"/>
      <c r="K174" s="36"/>
      <c r="L174" s="36"/>
      <c r="M174" s="36"/>
    </row>
    <row r="175" spans="1:13">
      <c r="A175" s="53">
        <f t="shared" si="5"/>
        <v>1</v>
      </c>
      <c r="B175" s="501"/>
      <c r="C175" s="180"/>
      <c r="D175" s="495"/>
      <c r="E175" s="502"/>
      <c r="F175" s="177">
        <f t="shared" si="4"/>
        <v>0</v>
      </c>
      <c r="G175" s="177" t="str">
        <f>IF(IFERROR(IF(Str_TypeDonneesCpt6=Cpt_Index,Tab_Compteur_6[[#This Row],[Index]]-E174,Tab_Compteur_6[[#This Row],[Quantité]])/Tab_Compteur_6[[#This Row],[Delta Jour]],"")&lt;0,"",IFERROR(IF(Str_TypeDonneesCpt6=Cpt_Index,Tab_Compteur_6[[#This Row],[Index]]-E174,Tab_Compteur_6[[#This Row],[Quantité]])/Tab_Compteur_6[[#This Row],[Delta Jour]],""))</f>
        <v/>
      </c>
      <c r="H175" s="177" t="str">
        <f>IFERROR(Tab_Compteur_6[[#This Row],[Montant]]/Tab_Compteur_6[[#This Row],[Delta Jour]],"")</f>
        <v/>
      </c>
      <c r="I175" s="188" t="str">
        <f>IF(SUM(Tab_Compteur_6[[#This Row],[Quantité]],Tab_Compteur_6[[#This Row],[Index]])&lt;=0,"",G175)</f>
        <v/>
      </c>
      <c r="J175" s="185"/>
      <c r="K175" s="36"/>
      <c r="L175" s="36"/>
      <c r="M175" s="36"/>
    </row>
    <row r="176" spans="1:13">
      <c r="A176" s="53">
        <f t="shared" si="5"/>
        <v>1</v>
      </c>
      <c r="B176" s="501"/>
      <c r="C176" s="180"/>
      <c r="D176" s="495"/>
      <c r="E176" s="502"/>
      <c r="F176" s="177">
        <f t="shared" si="4"/>
        <v>0</v>
      </c>
      <c r="G176" s="177" t="str">
        <f>IF(IFERROR(IF(Str_TypeDonneesCpt6=Cpt_Index,Tab_Compteur_6[[#This Row],[Index]]-E175,Tab_Compteur_6[[#This Row],[Quantité]])/Tab_Compteur_6[[#This Row],[Delta Jour]],"")&lt;0,"",IFERROR(IF(Str_TypeDonneesCpt6=Cpt_Index,Tab_Compteur_6[[#This Row],[Index]]-E175,Tab_Compteur_6[[#This Row],[Quantité]])/Tab_Compteur_6[[#This Row],[Delta Jour]],""))</f>
        <v/>
      </c>
      <c r="H176" s="177" t="str">
        <f>IFERROR(Tab_Compteur_6[[#This Row],[Montant]]/Tab_Compteur_6[[#This Row],[Delta Jour]],"")</f>
        <v/>
      </c>
      <c r="I176" s="188" t="str">
        <f>IF(SUM(Tab_Compteur_6[[#This Row],[Quantité]],Tab_Compteur_6[[#This Row],[Index]])&lt;=0,"",G176)</f>
        <v/>
      </c>
      <c r="J176" s="185"/>
      <c r="K176" s="36"/>
      <c r="L176" s="36"/>
      <c r="M176" s="36"/>
    </row>
    <row r="177" spans="1:13">
      <c r="A177" s="53">
        <f t="shared" si="5"/>
        <v>1</v>
      </c>
      <c r="B177" s="501"/>
      <c r="C177" s="503"/>
      <c r="D177" s="491"/>
      <c r="E177" s="502"/>
      <c r="F177" s="177">
        <f t="shared" si="4"/>
        <v>0</v>
      </c>
      <c r="G177" s="177" t="str">
        <f>IF(IFERROR(IF(Str_TypeDonneesCpt6=Cpt_Index,Tab_Compteur_6[[#This Row],[Index]]-E176,Tab_Compteur_6[[#This Row],[Quantité]])/Tab_Compteur_6[[#This Row],[Delta Jour]],"")&lt;0,"",IFERROR(IF(Str_TypeDonneesCpt6=Cpt_Index,Tab_Compteur_6[[#This Row],[Index]]-E176,Tab_Compteur_6[[#This Row],[Quantité]])/Tab_Compteur_6[[#This Row],[Delta Jour]],""))</f>
        <v/>
      </c>
      <c r="H177" s="177" t="str">
        <f>IFERROR(Tab_Compteur_6[[#This Row],[Montant]]/Tab_Compteur_6[[#This Row],[Delta Jour]],"")</f>
        <v/>
      </c>
      <c r="I177" s="188" t="str">
        <f>IF(SUM(Tab_Compteur_6[[#This Row],[Quantité]],Tab_Compteur_6[[#This Row],[Index]])&lt;=0,"",G177)</f>
        <v/>
      </c>
      <c r="J177" s="185"/>
      <c r="K177" s="36"/>
      <c r="L177" s="36"/>
      <c r="M177" s="36"/>
    </row>
    <row r="178" spans="1:13">
      <c r="A178" s="53">
        <f t="shared" si="5"/>
        <v>1</v>
      </c>
      <c r="B178" s="501"/>
      <c r="C178" s="503"/>
      <c r="D178" s="491"/>
      <c r="E178" s="502"/>
      <c r="F178" s="177">
        <f t="shared" si="4"/>
        <v>0</v>
      </c>
      <c r="G178" s="177" t="str">
        <f>IF(IFERROR(IF(Str_TypeDonneesCpt6=Cpt_Index,Tab_Compteur_6[[#This Row],[Index]]-E177,Tab_Compteur_6[[#This Row],[Quantité]])/Tab_Compteur_6[[#This Row],[Delta Jour]],"")&lt;0,"",IFERROR(IF(Str_TypeDonneesCpt6=Cpt_Index,Tab_Compteur_6[[#This Row],[Index]]-E177,Tab_Compteur_6[[#This Row],[Quantité]])/Tab_Compteur_6[[#This Row],[Delta Jour]],""))</f>
        <v/>
      </c>
      <c r="H178" s="177" t="str">
        <f>IFERROR(Tab_Compteur_6[[#This Row],[Montant]]/Tab_Compteur_6[[#This Row],[Delta Jour]],"")</f>
        <v/>
      </c>
      <c r="I178" s="188" t="str">
        <f>IF(SUM(Tab_Compteur_6[[#This Row],[Quantité]],Tab_Compteur_6[[#This Row],[Index]])&lt;=0,"",G178)</f>
        <v/>
      </c>
      <c r="J178" s="185"/>
      <c r="K178" s="36"/>
      <c r="L178" s="36"/>
      <c r="M178" s="36"/>
    </row>
    <row r="179" spans="1:13">
      <c r="A179" s="53">
        <f t="shared" si="5"/>
        <v>1</v>
      </c>
      <c r="B179" s="501"/>
      <c r="C179" s="503"/>
      <c r="D179" s="491"/>
      <c r="E179" s="502"/>
      <c r="F179" s="177">
        <f t="shared" si="4"/>
        <v>0</v>
      </c>
      <c r="G179" s="177" t="str">
        <f>IF(IFERROR(IF(Str_TypeDonneesCpt6=Cpt_Index,Tab_Compteur_6[[#This Row],[Index]]-E178,Tab_Compteur_6[[#This Row],[Quantité]])/Tab_Compteur_6[[#This Row],[Delta Jour]],"")&lt;0,"",IFERROR(IF(Str_TypeDonneesCpt6=Cpt_Index,Tab_Compteur_6[[#This Row],[Index]]-E178,Tab_Compteur_6[[#This Row],[Quantité]])/Tab_Compteur_6[[#This Row],[Delta Jour]],""))</f>
        <v/>
      </c>
      <c r="H179" s="177" t="str">
        <f>IFERROR(Tab_Compteur_6[[#This Row],[Montant]]/Tab_Compteur_6[[#This Row],[Delta Jour]],"")</f>
        <v/>
      </c>
      <c r="I179" s="188" t="str">
        <f>IF(SUM(Tab_Compteur_6[[#This Row],[Quantité]],Tab_Compteur_6[[#This Row],[Index]])&lt;=0,"",G179)</f>
        <v/>
      </c>
      <c r="J179" s="185"/>
      <c r="K179" s="36"/>
      <c r="L179" s="36"/>
      <c r="M179" s="36"/>
    </row>
    <row r="180" spans="1:13">
      <c r="A180" s="53">
        <f t="shared" si="5"/>
        <v>1</v>
      </c>
      <c r="B180" s="501"/>
      <c r="C180" s="503"/>
      <c r="D180" s="491"/>
      <c r="E180" s="502"/>
      <c r="F180" s="177">
        <f t="shared" si="4"/>
        <v>0</v>
      </c>
      <c r="G180" s="177" t="str">
        <f>IF(IFERROR(IF(Str_TypeDonneesCpt6=Cpt_Index,Tab_Compteur_6[[#This Row],[Index]]-E179,Tab_Compteur_6[[#This Row],[Quantité]])/Tab_Compteur_6[[#This Row],[Delta Jour]],"")&lt;0,"",IFERROR(IF(Str_TypeDonneesCpt6=Cpt_Index,Tab_Compteur_6[[#This Row],[Index]]-E179,Tab_Compteur_6[[#This Row],[Quantité]])/Tab_Compteur_6[[#This Row],[Delta Jour]],""))</f>
        <v/>
      </c>
      <c r="H180" s="177" t="str">
        <f>IFERROR(Tab_Compteur_6[[#This Row],[Montant]]/Tab_Compteur_6[[#This Row],[Delta Jour]],"")</f>
        <v/>
      </c>
      <c r="I180" s="188" t="str">
        <f>IF(SUM(Tab_Compteur_6[[#This Row],[Quantité]],Tab_Compteur_6[[#This Row],[Index]])&lt;=0,"",G180)</f>
        <v/>
      </c>
      <c r="J180" s="185"/>
      <c r="K180" s="36"/>
      <c r="L180" s="36"/>
      <c r="M180" s="36"/>
    </row>
    <row r="181" spans="1:13">
      <c r="A181" s="53">
        <f t="shared" si="5"/>
        <v>1</v>
      </c>
      <c r="B181" s="501"/>
      <c r="C181" s="503"/>
      <c r="D181" s="491"/>
      <c r="E181" s="502"/>
      <c r="F181" s="177">
        <f t="shared" si="4"/>
        <v>0</v>
      </c>
      <c r="G181" s="177" t="str">
        <f>IF(IFERROR(IF(Str_TypeDonneesCpt6=Cpt_Index,Tab_Compteur_6[[#This Row],[Index]]-E180,Tab_Compteur_6[[#This Row],[Quantité]])/Tab_Compteur_6[[#This Row],[Delta Jour]],"")&lt;0,"",IFERROR(IF(Str_TypeDonneesCpt6=Cpt_Index,Tab_Compteur_6[[#This Row],[Index]]-E180,Tab_Compteur_6[[#This Row],[Quantité]])/Tab_Compteur_6[[#This Row],[Delta Jour]],""))</f>
        <v/>
      </c>
      <c r="H181" s="177" t="str">
        <f>IFERROR(Tab_Compteur_6[[#This Row],[Montant]]/Tab_Compteur_6[[#This Row],[Delta Jour]],"")</f>
        <v/>
      </c>
      <c r="I181" s="188" t="str">
        <f>IF(SUM(Tab_Compteur_6[[#This Row],[Quantité]],Tab_Compteur_6[[#This Row],[Index]])&lt;=0,"",G181)</f>
        <v/>
      </c>
      <c r="J181" s="185"/>
      <c r="K181" s="36"/>
      <c r="L181" s="36"/>
      <c r="M181" s="36"/>
    </row>
    <row r="182" spans="1:13">
      <c r="A182" s="53">
        <f t="shared" si="5"/>
        <v>1</v>
      </c>
      <c r="B182" s="501"/>
      <c r="C182" s="503"/>
      <c r="D182" s="491"/>
      <c r="E182" s="502"/>
      <c r="F182" s="177">
        <f t="shared" si="4"/>
        <v>0</v>
      </c>
      <c r="G182" s="177" t="str">
        <f>IF(IFERROR(IF(Str_TypeDonneesCpt6=Cpt_Index,Tab_Compteur_6[[#This Row],[Index]]-E181,Tab_Compteur_6[[#This Row],[Quantité]])/Tab_Compteur_6[[#This Row],[Delta Jour]],"")&lt;0,"",IFERROR(IF(Str_TypeDonneesCpt6=Cpt_Index,Tab_Compteur_6[[#This Row],[Index]]-E181,Tab_Compteur_6[[#This Row],[Quantité]])/Tab_Compteur_6[[#This Row],[Delta Jour]],""))</f>
        <v/>
      </c>
      <c r="H182" s="177" t="str">
        <f>IFERROR(Tab_Compteur_6[[#This Row],[Montant]]/Tab_Compteur_6[[#This Row],[Delta Jour]],"")</f>
        <v/>
      </c>
      <c r="I182" s="188" t="str">
        <f>IF(SUM(Tab_Compteur_6[[#This Row],[Quantité]],Tab_Compteur_6[[#This Row],[Index]])&lt;=0,"",G182)</f>
        <v/>
      </c>
      <c r="J182" s="185"/>
      <c r="K182" s="36"/>
      <c r="L182" s="36"/>
      <c r="M182" s="36"/>
    </row>
    <row r="183" spans="1:13">
      <c r="A183" s="53">
        <f t="shared" si="5"/>
        <v>1</v>
      </c>
      <c r="B183" s="501"/>
      <c r="C183" s="503"/>
      <c r="D183" s="491"/>
      <c r="E183" s="502"/>
      <c r="F183" s="177">
        <f t="shared" si="4"/>
        <v>0</v>
      </c>
      <c r="G183" s="177" t="str">
        <f>IF(IFERROR(IF(Str_TypeDonneesCpt6=Cpt_Index,Tab_Compteur_6[[#This Row],[Index]]-E182,Tab_Compteur_6[[#This Row],[Quantité]])/Tab_Compteur_6[[#This Row],[Delta Jour]],"")&lt;0,"",IFERROR(IF(Str_TypeDonneesCpt6=Cpt_Index,Tab_Compteur_6[[#This Row],[Index]]-E182,Tab_Compteur_6[[#This Row],[Quantité]])/Tab_Compteur_6[[#This Row],[Delta Jour]],""))</f>
        <v/>
      </c>
      <c r="H183" s="177" t="str">
        <f>IFERROR(Tab_Compteur_6[[#This Row],[Montant]]/Tab_Compteur_6[[#This Row],[Delta Jour]],"")</f>
        <v/>
      </c>
      <c r="I183" s="188" t="str">
        <f>IF(SUM(Tab_Compteur_6[[#This Row],[Quantité]],Tab_Compteur_6[[#This Row],[Index]])&lt;=0,"",G183)</f>
        <v/>
      </c>
      <c r="J183" s="185"/>
      <c r="K183" s="36"/>
      <c r="L183" s="36"/>
      <c r="M183" s="36"/>
    </row>
    <row r="184" spans="1:13">
      <c r="A184" s="53">
        <f t="shared" si="5"/>
        <v>1</v>
      </c>
      <c r="B184" s="501"/>
      <c r="C184" s="503"/>
      <c r="D184" s="491"/>
      <c r="E184" s="502"/>
      <c r="F184" s="177">
        <f t="shared" si="4"/>
        <v>0</v>
      </c>
      <c r="G184" s="177" t="str">
        <f>IF(IFERROR(IF(Str_TypeDonneesCpt6=Cpt_Index,Tab_Compteur_6[[#This Row],[Index]]-E183,Tab_Compteur_6[[#This Row],[Quantité]])/Tab_Compteur_6[[#This Row],[Delta Jour]],"")&lt;0,"",IFERROR(IF(Str_TypeDonneesCpt6=Cpt_Index,Tab_Compteur_6[[#This Row],[Index]]-E183,Tab_Compteur_6[[#This Row],[Quantité]])/Tab_Compteur_6[[#This Row],[Delta Jour]],""))</f>
        <v/>
      </c>
      <c r="H184" s="177" t="str">
        <f>IFERROR(Tab_Compteur_6[[#This Row],[Montant]]/Tab_Compteur_6[[#This Row],[Delta Jour]],"")</f>
        <v/>
      </c>
      <c r="I184" s="188" t="str">
        <f>IF(SUM(Tab_Compteur_6[[#This Row],[Quantité]],Tab_Compteur_6[[#This Row],[Index]])&lt;=0,"",G184)</f>
        <v/>
      </c>
      <c r="J184" s="185"/>
      <c r="K184" s="36"/>
      <c r="L184" s="36"/>
      <c r="M184" s="36"/>
    </row>
    <row r="185" spans="1:13">
      <c r="A185" s="53">
        <f t="shared" si="5"/>
        <v>1</v>
      </c>
      <c r="B185" s="501"/>
      <c r="C185" s="503"/>
      <c r="D185" s="491"/>
      <c r="E185" s="502"/>
      <c r="F185" s="177">
        <f t="shared" si="4"/>
        <v>0</v>
      </c>
      <c r="G185" s="177" t="str">
        <f>IF(IFERROR(IF(Str_TypeDonneesCpt6=Cpt_Index,Tab_Compteur_6[[#This Row],[Index]]-E184,Tab_Compteur_6[[#This Row],[Quantité]])/Tab_Compteur_6[[#This Row],[Delta Jour]],"")&lt;0,"",IFERROR(IF(Str_TypeDonneesCpt6=Cpt_Index,Tab_Compteur_6[[#This Row],[Index]]-E184,Tab_Compteur_6[[#This Row],[Quantité]])/Tab_Compteur_6[[#This Row],[Delta Jour]],""))</f>
        <v/>
      </c>
      <c r="H185" s="177" t="str">
        <f>IFERROR(Tab_Compteur_6[[#This Row],[Montant]]/Tab_Compteur_6[[#This Row],[Delta Jour]],"")</f>
        <v/>
      </c>
      <c r="I185" s="188" t="str">
        <f>IF(SUM(Tab_Compteur_6[[#This Row],[Quantité]],Tab_Compteur_6[[#This Row],[Index]])&lt;=0,"",G185)</f>
        <v/>
      </c>
      <c r="J185" s="185"/>
      <c r="K185" s="36"/>
      <c r="L185" s="36"/>
      <c r="M185" s="36"/>
    </row>
    <row r="186" spans="1:13">
      <c r="A186" s="53">
        <f t="shared" si="5"/>
        <v>1</v>
      </c>
      <c r="B186" s="501"/>
      <c r="C186" s="503"/>
      <c r="D186" s="491"/>
      <c r="E186" s="502"/>
      <c r="F186" s="177">
        <f t="shared" si="4"/>
        <v>0</v>
      </c>
      <c r="G186" s="177" t="str">
        <f>IF(IFERROR(IF(Str_TypeDonneesCpt6=Cpt_Index,Tab_Compteur_6[[#This Row],[Index]]-E185,Tab_Compteur_6[[#This Row],[Quantité]])/Tab_Compteur_6[[#This Row],[Delta Jour]],"")&lt;0,"",IFERROR(IF(Str_TypeDonneesCpt6=Cpt_Index,Tab_Compteur_6[[#This Row],[Index]]-E185,Tab_Compteur_6[[#This Row],[Quantité]])/Tab_Compteur_6[[#This Row],[Delta Jour]],""))</f>
        <v/>
      </c>
      <c r="H186" s="177" t="str">
        <f>IFERROR(Tab_Compteur_6[[#This Row],[Montant]]/Tab_Compteur_6[[#This Row],[Delta Jour]],"")</f>
        <v/>
      </c>
      <c r="I186" s="188" t="str">
        <f>IF(SUM(Tab_Compteur_6[[#This Row],[Quantité]],Tab_Compteur_6[[#This Row],[Index]])&lt;=0,"",G186)</f>
        <v/>
      </c>
      <c r="J186" s="185"/>
      <c r="K186" s="36"/>
      <c r="L186" s="36"/>
      <c r="M186" s="36"/>
    </row>
    <row r="187" spans="1:13">
      <c r="A187" s="53">
        <f t="shared" si="5"/>
        <v>1</v>
      </c>
      <c r="B187" s="501"/>
      <c r="C187" s="503"/>
      <c r="D187" s="491"/>
      <c r="E187" s="502"/>
      <c r="F187" s="177">
        <f t="shared" si="4"/>
        <v>0</v>
      </c>
      <c r="G187" s="177" t="str">
        <f>IF(IFERROR(IF(Str_TypeDonneesCpt6=Cpt_Index,Tab_Compteur_6[[#This Row],[Index]]-E186,Tab_Compteur_6[[#This Row],[Quantité]])/Tab_Compteur_6[[#This Row],[Delta Jour]],"")&lt;0,"",IFERROR(IF(Str_TypeDonneesCpt6=Cpt_Index,Tab_Compteur_6[[#This Row],[Index]]-E186,Tab_Compteur_6[[#This Row],[Quantité]])/Tab_Compteur_6[[#This Row],[Delta Jour]],""))</f>
        <v/>
      </c>
      <c r="H187" s="177" t="str">
        <f>IFERROR(Tab_Compteur_6[[#This Row],[Montant]]/Tab_Compteur_6[[#This Row],[Delta Jour]],"")</f>
        <v/>
      </c>
      <c r="I187" s="188" t="str">
        <f>IF(SUM(Tab_Compteur_6[[#This Row],[Quantité]],Tab_Compteur_6[[#This Row],[Index]])&lt;=0,"",G187)</f>
        <v/>
      </c>
      <c r="J187" s="185"/>
      <c r="K187" s="36"/>
      <c r="L187" s="36"/>
      <c r="M187" s="36"/>
    </row>
    <row r="188" spans="1:13">
      <c r="A188" s="53">
        <f t="shared" si="5"/>
        <v>1</v>
      </c>
      <c r="B188" s="501"/>
      <c r="C188" s="503"/>
      <c r="D188" s="491"/>
      <c r="E188" s="502"/>
      <c r="F188" s="177">
        <f t="shared" si="4"/>
        <v>0</v>
      </c>
      <c r="G188" s="177" t="str">
        <f>IF(IFERROR(IF(Str_TypeDonneesCpt6=Cpt_Index,Tab_Compteur_6[[#This Row],[Index]]-E187,Tab_Compteur_6[[#This Row],[Quantité]])/Tab_Compteur_6[[#This Row],[Delta Jour]],"")&lt;0,"",IFERROR(IF(Str_TypeDonneesCpt6=Cpt_Index,Tab_Compteur_6[[#This Row],[Index]]-E187,Tab_Compteur_6[[#This Row],[Quantité]])/Tab_Compteur_6[[#This Row],[Delta Jour]],""))</f>
        <v/>
      </c>
      <c r="H188" s="177" t="str">
        <f>IFERROR(Tab_Compteur_6[[#This Row],[Montant]]/Tab_Compteur_6[[#This Row],[Delta Jour]],"")</f>
        <v/>
      </c>
      <c r="I188" s="188" t="str">
        <f>IF(SUM(Tab_Compteur_6[[#This Row],[Quantité]],Tab_Compteur_6[[#This Row],[Index]])&lt;=0,"",G188)</f>
        <v/>
      </c>
      <c r="J188" s="185"/>
      <c r="K188" s="36"/>
      <c r="L188" s="36"/>
      <c r="M188" s="36"/>
    </row>
    <row r="189" spans="1:13">
      <c r="A189" s="53">
        <f t="shared" si="5"/>
        <v>1</v>
      </c>
      <c r="B189" s="501"/>
      <c r="C189" s="503"/>
      <c r="D189" s="491"/>
      <c r="E189" s="502"/>
      <c r="F189" s="177">
        <f t="shared" si="4"/>
        <v>0</v>
      </c>
      <c r="G189" s="177" t="str">
        <f>IF(IFERROR(IF(Str_TypeDonneesCpt6=Cpt_Index,Tab_Compteur_6[[#This Row],[Index]]-E188,Tab_Compteur_6[[#This Row],[Quantité]])/Tab_Compteur_6[[#This Row],[Delta Jour]],"")&lt;0,"",IFERROR(IF(Str_TypeDonneesCpt6=Cpt_Index,Tab_Compteur_6[[#This Row],[Index]]-E188,Tab_Compteur_6[[#This Row],[Quantité]])/Tab_Compteur_6[[#This Row],[Delta Jour]],""))</f>
        <v/>
      </c>
      <c r="H189" s="177" t="str">
        <f>IFERROR(Tab_Compteur_6[[#This Row],[Montant]]/Tab_Compteur_6[[#This Row],[Delta Jour]],"")</f>
        <v/>
      </c>
      <c r="I189" s="188" t="str">
        <f>IF(SUM(Tab_Compteur_6[[#This Row],[Quantité]],Tab_Compteur_6[[#This Row],[Index]])&lt;=0,"",G189)</f>
        <v/>
      </c>
      <c r="J189" s="185"/>
      <c r="K189" s="36"/>
      <c r="L189" s="36"/>
      <c r="M189" s="36"/>
    </row>
    <row r="190" spans="1:13">
      <c r="A190" s="53">
        <f t="shared" si="5"/>
        <v>1</v>
      </c>
      <c r="B190" s="501"/>
      <c r="C190" s="503"/>
      <c r="D190" s="491"/>
      <c r="E190" s="502"/>
      <c r="F190" s="177">
        <f t="shared" si="4"/>
        <v>0</v>
      </c>
      <c r="G190" s="177" t="str">
        <f>IF(IFERROR(IF(Str_TypeDonneesCpt6=Cpt_Index,Tab_Compteur_6[[#This Row],[Index]]-E189,Tab_Compteur_6[[#This Row],[Quantité]])/Tab_Compteur_6[[#This Row],[Delta Jour]],"")&lt;0,"",IFERROR(IF(Str_TypeDonneesCpt6=Cpt_Index,Tab_Compteur_6[[#This Row],[Index]]-E189,Tab_Compteur_6[[#This Row],[Quantité]])/Tab_Compteur_6[[#This Row],[Delta Jour]],""))</f>
        <v/>
      </c>
      <c r="H190" s="177" t="str">
        <f>IFERROR(Tab_Compteur_6[[#This Row],[Montant]]/Tab_Compteur_6[[#This Row],[Delta Jour]],"")</f>
        <v/>
      </c>
      <c r="I190" s="188" t="str">
        <f>IF(SUM(Tab_Compteur_6[[#This Row],[Quantité]],Tab_Compteur_6[[#This Row],[Index]])&lt;=0,"",G190)</f>
        <v/>
      </c>
      <c r="J190" s="185"/>
      <c r="K190" s="36"/>
      <c r="L190" s="36"/>
      <c r="M190" s="36"/>
    </row>
    <row r="191" spans="1:13">
      <c r="A191" s="53">
        <f t="shared" si="5"/>
        <v>1</v>
      </c>
      <c r="B191" s="501"/>
      <c r="C191" s="503"/>
      <c r="D191" s="491"/>
      <c r="E191" s="502"/>
      <c r="F191" s="177">
        <f t="shared" si="4"/>
        <v>0</v>
      </c>
      <c r="G191" s="177" t="str">
        <f>IF(IFERROR(IF(Str_TypeDonneesCpt6=Cpt_Index,Tab_Compteur_6[[#This Row],[Index]]-E190,Tab_Compteur_6[[#This Row],[Quantité]])/Tab_Compteur_6[[#This Row],[Delta Jour]],"")&lt;0,"",IFERROR(IF(Str_TypeDonneesCpt6=Cpt_Index,Tab_Compteur_6[[#This Row],[Index]]-E190,Tab_Compteur_6[[#This Row],[Quantité]])/Tab_Compteur_6[[#This Row],[Delta Jour]],""))</f>
        <v/>
      </c>
      <c r="H191" s="177" t="str">
        <f>IFERROR(Tab_Compteur_6[[#This Row],[Montant]]/Tab_Compteur_6[[#This Row],[Delta Jour]],"")</f>
        <v/>
      </c>
      <c r="I191" s="188" t="str">
        <f>IF(SUM(Tab_Compteur_6[[#This Row],[Quantité]],Tab_Compteur_6[[#This Row],[Index]])&lt;=0,"",G191)</f>
        <v/>
      </c>
      <c r="J191" s="185"/>
      <c r="K191" s="36"/>
      <c r="L191" s="36"/>
      <c r="M191" s="36"/>
    </row>
    <row r="192" spans="1:13">
      <c r="A192" s="53">
        <f t="shared" si="5"/>
        <v>1</v>
      </c>
      <c r="B192" s="501"/>
      <c r="C192" s="503"/>
      <c r="D192" s="491"/>
      <c r="E192" s="502"/>
      <c r="F192" s="177">
        <f t="shared" si="4"/>
        <v>0</v>
      </c>
      <c r="G192" s="177" t="str">
        <f>IF(IFERROR(IF(Str_TypeDonneesCpt6=Cpt_Index,Tab_Compteur_6[[#This Row],[Index]]-E191,Tab_Compteur_6[[#This Row],[Quantité]])/Tab_Compteur_6[[#This Row],[Delta Jour]],"")&lt;0,"",IFERROR(IF(Str_TypeDonneesCpt6=Cpt_Index,Tab_Compteur_6[[#This Row],[Index]]-E191,Tab_Compteur_6[[#This Row],[Quantité]])/Tab_Compteur_6[[#This Row],[Delta Jour]],""))</f>
        <v/>
      </c>
      <c r="H192" s="177" t="str">
        <f>IFERROR(Tab_Compteur_6[[#This Row],[Montant]]/Tab_Compteur_6[[#This Row],[Delta Jour]],"")</f>
        <v/>
      </c>
      <c r="I192" s="188" t="str">
        <f>IF(SUM(Tab_Compteur_6[[#This Row],[Quantité]],Tab_Compteur_6[[#This Row],[Index]])&lt;=0,"",G192)</f>
        <v/>
      </c>
      <c r="J192" s="185"/>
      <c r="K192" s="36"/>
      <c r="L192" s="36"/>
      <c r="M192" s="36"/>
    </row>
    <row r="193" spans="1:13">
      <c r="A193" s="53">
        <f t="shared" si="5"/>
        <v>1</v>
      </c>
      <c r="B193" s="501"/>
      <c r="C193" s="503"/>
      <c r="D193" s="491"/>
      <c r="E193" s="502"/>
      <c r="F193" s="177">
        <f t="shared" si="4"/>
        <v>0</v>
      </c>
      <c r="G193" s="177" t="str">
        <f>IF(IFERROR(IF(Str_TypeDonneesCpt6=Cpt_Index,Tab_Compteur_6[[#This Row],[Index]]-E192,Tab_Compteur_6[[#This Row],[Quantité]])/Tab_Compteur_6[[#This Row],[Delta Jour]],"")&lt;0,"",IFERROR(IF(Str_TypeDonneesCpt6=Cpt_Index,Tab_Compteur_6[[#This Row],[Index]]-E192,Tab_Compteur_6[[#This Row],[Quantité]])/Tab_Compteur_6[[#This Row],[Delta Jour]],""))</f>
        <v/>
      </c>
      <c r="H193" s="177" t="str">
        <f>IFERROR(Tab_Compteur_6[[#This Row],[Montant]]/Tab_Compteur_6[[#This Row],[Delta Jour]],"")</f>
        <v/>
      </c>
      <c r="I193" s="188" t="str">
        <f>IF(SUM(Tab_Compteur_6[[#This Row],[Quantité]],Tab_Compteur_6[[#This Row],[Index]])&lt;=0,"",G193)</f>
        <v/>
      </c>
      <c r="J193" s="185"/>
      <c r="K193" s="36"/>
      <c r="L193" s="36"/>
      <c r="M193" s="36"/>
    </row>
    <row r="194" spans="1:13">
      <c r="A194" s="53">
        <f t="shared" si="5"/>
        <v>1</v>
      </c>
      <c r="B194" s="501"/>
      <c r="C194" s="503"/>
      <c r="D194" s="491"/>
      <c r="E194" s="502"/>
      <c r="F194" s="177">
        <f t="shared" si="4"/>
        <v>0</v>
      </c>
      <c r="G194" s="177" t="str">
        <f>IF(IFERROR(IF(Str_TypeDonneesCpt6=Cpt_Index,Tab_Compteur_6[[#This Row],[Index]]-E193,Tab_Compteur_6[[#This Row],[Quantité]])/Tab_Compteur_6[[#This Row],[Delta Jour]],"")&lt;0,"",IFERROR(IF(Str_TypeDonneesCpt6=Cpt_Index,Tab_Compteur_6[[#This Row],[Index]]-E193,Tab_Compteur_6[[#This Row],[Quantité]])/Tab_Compteur_6[[#This Row],[Delta Jour]],""))</f>
        <v/>
      </c>
      <c r="H194" s="177" t="str">
        <f>IFERROR(Tab_Compteur_6[[#This Row],[Montant]]/Tab_Compteur_6[[#This Row],[Delta Jour]],"")</f>
        <v/>
      </c>
      <c r="I194" s="188" t="str">
        <f>IF(SUM(Tab_Compteur_6[[#This Row],[Quantité]],Tab_Compteur_6[[#This Row],[Index]])&lt;=0,"",G194)</f>
        <v/>
      </c>
      <c r="J194" s="185"/>
      <c r="K194" s="36"/>
      <c r="L194" s="36"/>
      <c r="M194" s="36"/>
    </row>
    <row r="195" spans="1:13">
      <c r="A195" s="53">
        <f t="shared" si="5"/>
        <v>1</v>
      </c>
      <c r="B195" s="501"/>
      <c r="C195" s="503"/>
      <c r="D195" s="491"/>
      <c r="E195" s="502"/>
      <c r="F195" s="177">
        <f t="shared" ref="F195:F243" si="6">IFERROR(B195-A195+1,"")</f>
        <v>0</v>
      </c>
      <c r="G195" s="177" t="str">
        <f>IF(IFERROR(IF(Str_TypeDonneesCpt6=Cpt_Index,Tab_Compteur_6[[#This Row],[Index]]-E194,Tab_Compteur_6[[#This Row],[Quantité]])/Tab_Compteur_6[[#This Row],[Delta Jour]],"")&lt;0,"",IFERROR(IF(Str_TypeDonneesCpt6=Cpt_Index,Tab_Compteur_6[[#This Row],[Index]]-E194,Tab_Compteur_6[[#This Row],[Quantité]])/Tab_Compteur_6[[#This Row],[Delta Jour]],""))</f>
        <v/>
      </c>
      <c r="H195" s="177" t="str">
        <f>IFERROR(Tab_Compteur_6[[#This Row],[Montant]]/Tab_Compteur_6[[#This Row],[Delta Jour]],"")</f>
        <v/>
      </c>
      <c r="I195" s="188" t="str">
        <f>IF(SUM(Tab_Compteur_6[[#This Row],[Quantité]],Tab_Compteur_6[[#This Row],[Index]])&lt;=0,"",G195)</f>
        <v/>
      </c>
      <c r="J195" s="185"/>
      <c r="K195" s="36"/>
      <c r="L195" s="36"/>
      <c r="M195" s="36"/>
    </row>
    <row r="196" spans="1:13">
      <c r="A196" s="53">
        <f t="shared" si="5"/>
        <v>1</v>
      </c>
      <c r="B196" s="501"/>
      <c r="C196" s="503"/>
      <c r="D196" s="491"/>
      <c r="E196" s="502"/>
      <c r="F196" s="177">
        <f t="shared" si="6"/>
        <v>0</v>
      </c>
      <c r="G196" s="177" t="str">
        <f>IF(IFERROR(IF(Str_TypeDonneesCpt6=Cpt_Index,Tab_Compteur_6[[#This Row],[Index]]-E195,Tab_Compteur_6[[#This Row],[Quantité]])/Tab_Compteur_6[[#This Row],[Delta Jour]],"")&lt;0,"",IFERROR(IF(Str_TypeDonneesCpt6=Cpt_Index,Tab_Compteur_6[[#This Row],[Index]]-E195,Tab_Compteur_6[[#This Row],[Quantité]])/Tab_Compteur_6[[#This Row],[Delta Jour]],""))</f>
        <v/>
      </c>
      <c r="H196" s="177" t="str">
        <f>IFERROR(Tab_Compteur_6[[#This Row],[Montant]]/Tab_Compteur_6[[#This Row],[Delta Jour]],"")</f>
        <v/>
      </c>
      <c r="I196" s="188" t="str">
        <f>IF(SUM(Tab_Compteur_6[[#This Row],[Quantité]],Tab_Compteur_6[[#This Row],[Index]])&lt;=0,"",G196)</f>
        <v/>
      </c>
      <c r="J196" s="185"/>
      <c r="K196" s="36"/>
      <c r="L196" s="36"/>
      <c r="M196" s="36"/>
    </row>
    <row r="197" spans="1:13">
      <c r="A197" s="53">
        <f t="shared" si="5"/>
        <v>1</v>
      </c>
      <c r="B197" s="501"/>
      <c r="C197" s="503"/>
      <c r="D197" s="491"/>
      <c r="E197" s="502"/>
      <c r="F197" s="177">
        <f t="shared" si="6"/>
        <v>0</v>
      </c>
      <c r="G197" s="177" t="str">
        <f>IF(IFERROR(IF(Str_TypeDonneesCpt6=Cpt_Index,Tab_Compteur_6[[#This Row],[Index]]-E196,Tab_Compteur_6[[#This Row],[Quantité]])/Tab_Compteur_6[[#This Row],[Delta Jour]],"")&lt;0,"",IFERROR(IF(Str_TypeDonneesCpt6=Cpt_Index,Tab_Compteur_6[[#This Row],[Index]]-E196,Tab_Compteur_6[[#This Row],[Quantité]])/Tab_Compteur_6[[#This Row],[Delta Jour]],""))</f>
        <v/>
      </c>
      <c r="H197" s="177" t="str">
        <f>IFERROR(Tab_Compteur_6[[#This Row],[Montant]]/Tab_Compteur_6[[#This Row],[Delta Jour]],"")</f>
        <v/>
      </c>
      <c r="I197" s="188" t="str">
        <f>IF(SUM(Tab_Compteur_6[[#This Row],[Quantité]],Tab_Compteur_6[[#This Row],[Index]])&lt;=0,"",G197)</f>
        <v/>
      </c>
      <c r="J197" s="185"/>
      <c r="K197" s="36"/>
      <c r="L197" s="36"/>
      <c r="M197" s="36"/>
    </row>
    <row r="198" spans="1:13">
      <c r="A198" s="53">
        <f t="shared" ref="A198:A243" si="7">IFERROR(B197+1,0)</f>
        <v>1</v>
      </c>
      <c r="B198" s="501"/>
      <c r="C198" s="503"/>
      <c r="D198" s="491"/>
      <c r="E198" s="502"/>
      <c r="F198" s="177">
        <f t="shared" si="6"/>
        <v>0</v>
      </c>
      <c r="G198" s="177" t="str">
        <f>IF(IFERROR(IF(Str_TypeDonneesCpt6=Cpt_Index,Tab_Compteur_6[[#This Row],[Index]]-E197,Tab_Compteur_6[[#This Row],[Quantité]])/Tab_Compteur_6[[#This Row],[Delta Jour]],"")&lt;0,"",IFERROR(IF(Str_TypeDonneesCpt6=Cpt_Index,Tab_Compteur_6[[#This Row],[Index]]-E197,Tab_Compteur_6[[#This Row],[Quantité]])/Tab_Compteur_6[[#This Row],[Delta Jour]],""))</f>
        <v/>
      </c>
      <c r="H198" s="177" t="str">
        <f>IFERROR(Tab_Compteur_6[[#This Row],[Montant]]/Tab_Compteur_6[[#This Row],[Delta Jour]],"")</f>
        <v/>
      </c>
      <c r="I198" s="188" t="str">
        <f>IF(SUM(Tab_Compteur_6[[#This Row],[Quantité]],Tab_Compteur_6[[#This Row],[Index]])&lt;=0,"",G198)</f>
        <v/>
      </c>
      <c r="J198" s="185"/>
      <c r="K198" s="36"/>
      <c r="L198" s="36"/>
      <c r="M198" s="36"/>
    </row>
    <row r="199" spans="1:13">
      <c r="A199" s="53">
        <f t="shared" si="7"/>
        <v>1</v>
      </c>
      <c r="B199" s="501"/>
      <c r="C199" s="503"/>
      <c r="D199" s="491"/>
      <c r="E199" s="502"/>
      <c r="F199" s="177">
        <f t="shared" si="6"/>
        <v>0</v>
      </c>
      <c r="G199" s="177" t="str">
        <f>IF(IFERROR(IF(Str_TypeDonneesCpt6=Cpt_Index,Tab_Compteur_6[[#This Row],[Index]]-E198,Tab_Compteur_6[[#This Row],[Quantité]])/Tab_Compteur_6[[#This Row],[Delta Jour]],"")&lt;0,"",IFERROR(IF(Str_TypeDonneesCpt6=Cpt_Index,Tab_Compteur_6[[#This Row],[Index]]-E198,Tab_Compteur_6[[#This Row],[Quantité]])/Tab_Compteur_6[[#This Row],[Delta Jour]],""))</f>
        <v/>
      </c>
      <c r="H199" s="177" t="str">
        <f>IFERROR(Tab_Compteur_6[[#This Row],[Montant]]/Tab_Compteur_6[[#This Row],[Delta Jour]],"")</f>
        <v/>
      </c>
      <c r="I199" s="188" t="str">
        <f>IF(SUM(Tab_Compteur_6[[#This Row],[Quantité]],Tab_Compteur_6[[#This Row],[Index]])&lt;=0,"",G199)</f>
        <v/>
      </c>
      <c r="J199" s="185"/>
      <c r="K199" s="36"/>
      <c r="L199" s="36"/>
      <c r="M199" s="36"/>
    </row>
    <row r="200" spans="1:13">
      <c r="A200" s="53">
        <f t="shared" si="7"/>
        <v>1</v>
      </c>
      <c r="B200" s="501"/>
      <c r="C200" s="503"/>
      <c r="D200" s="491"/>
      <c r="E200" s="502"/>
      <c r="F200" s="177">
        <f t="shared" si="6"/>
        <v>0</v>
      </c>
      <c r="G200" s="177" t="str">
        <f>IF(IFERROR(IF(Str_TypeDonneesCpt6=Cpt_Index,Tab_Compteur_6[[#This Row],[Index]]-E199,Tab_Compteur_6[[#This Row],[Quantité]])/Tab_Compteur_6[[#This Row],[Delta Jour]],"")&lt;0,"",IFERROR(IF(Str_TypeDonneesCpt6=Cpt_Index,Tab_Compteur_6[[#This Row],[Index]]-E199,Tab_Compteur_6[[#This Row],[Quantité]])/Tab_Compteur_6[[#This Row],[Delta Jour]],""))</f>
        <v/>
      </c>
      <c r="H200" s="177" t="str">
        <f>IFERROR(Tab_Compteur_6[[#This Row],[Montant]]/Tab_Compteur_6[[#This Row],[Delta Jour]],"")</f>
        <v/>
      </c>
      <c r="I200" s="188" t="str">
        <f>IF(SUM(Tab_Compteur_6[[#This Row],[Quantité]],Tab_Compteur_6[[#This Row],[Index]])&lt;=0,"",G200)</f>
        <v/>
      </c>
      <c r="J200" s="185"/>
      <c r="K200" s="36"/>
      <c r="L200" s="36"/>
      <c r="M200" s="36"/>
    </row>
    <row r="201" spans="1:13">
      <c r="A201" s="53">
        <f t="shared" si="7"/>
        <v>1</v>
      </c>
      <c r="B201" s="501"/>
      <c r="C201" s="503"/>
      <c r="D201" s="491"/>
      <c r="E201" s="502"/>
      <c r="F201" s="177">
        <f t="shared" si="6"/>
        <v>0</v>
      </c>
      <c r="G201" s="177" t="str">
        <f>IF(IFERROR(IF(Str_TypeDonneesCpt6=Cpt_Index,Tab_Compteur_6[[#This Row],[Index]]-E200,Tab_Compteur_6[[#This Row],[Quantité]])/Tab_Compteur_6[[#This Row],[Delta Jour]],"")&lt;0,"",IFERROR(IF(Str_TypeDonneesCpt6=Cpt_Index,Tab_Compteur_6[[#This Row],[Index]]-E200,Tab_Compteur_6[[#This Row],[Quantité]])/Tab_Compteur_6[[#This Row],[Delta Jour]],""))</f>
        <v/>
      </c>
      <c r="H201" s="177" t="str">
        <f>IFERROR(Tab_Compteur_6[[#This Row],[Montant]]/Tab_Compteur_6[[#This Row],[Delta Jour]],"")</f>
        <v/>
      </c>
      <c r="I201" s="188" t="str">
        <f>IF(SUM(Tab_Compteur_6[[#This Row],[Quantité]],Tab_Compteur_6[[#This Row],[Index]])&lt;=0,"",G201)</f>
        <v/>
      </c>
      <c r="J201" s="185"/>
      <c r="K201" s="36"/>
      <c r="L201" s="36"/>
      <c r="M201" s="36"/>
    </row>
    <row r="202" spans="1:13">
      <c r="A202" s="53">
        <f t="shared" si="7"/>
        <v>1</v>
      </c>
      <c r="B202" s="501"/>
      <c r="C202" s="503"/>
      <c r="D202" s="491"/>
      <c r="E202" s="502"/>
      <c r="F202" s="177">
        <f t="shared" si="6"/>
        <v>0</v>
      </c>
      <c r="G202" s="177" t="str">
        <f>IF(IFERROR(IF(Str_TypeDonneesCpt6=Cpt_Index,Tab_Compteur_6[[#This Row],[Index]]-E201,Tab_Compteur_6[[#This Row],[Quantité]])/Tab_Compteur_6[[#This Row],[Delta Jour]],"")&lt;0,"",IFERROR(IF(Str_TypeDonneesCpt6=Cpt_Index,Tab_Compteur_6[[#This Row],[Index]]-E201,Tab_Compteur_6[[#This Row],[Quantité]])/Tab_Compteur_6[[#This Row],[Delta Jour]],""))</f>
        <v/>
      </c>
      <c r="H202" s="177" t="str">
        <f>IFERROR(Tab_Compteur_6[[#This Row],[Montant]]/Tab_Compteur_6[[#This Row],[Delta Jour]],"")</f>
        <v/>
      </c>
      <c r="I202" s="188" t="str">
        <f>IF(SUM(Tab_Compteur_6[[#This Row],[Quantité]],Tab_Compteur_6[[#This Row],[Index]])&lt;=0,"",G202)</f>
        <v/>
      </c>
      <c r="J202" s="185"/>
      <c r="K202" s="36"/>
      <c r="L202" s="36"/>
      <c r="M202" s="36"/>
    </row>
    <row r="203" spans="1:13">
      <c r="A203" s="53">
        <f t="shared" si="7"/>
        <v>1</v>
      </c>
      <c r="B203" s="501"/>
      <c r="C203" s="503"/>
      <c r="D203" s="491"/>
      <c r="E203" s="502"/>
      <c r="F203" s="177">
        <f t="shared" si="6"/>
        <v>0</v>
      </c>
      <c r="G203" s="177" t="str">
        <f>IF(IFERROR(IF(Str_TypeDonneesCpt6=Cpt_Index,Tab_Compteur_6[[#This Row],[Index]]-E202,Tab_Compteur_6[[#This Row],[Quantité]])/Tab_Compteur_6[[#This Row],[Delta Jour]],"")&lt;0,"",IFERROR(IF(Str_TypeDonneesCpt6=Cpt_Index,Tab_Compteur_6[[#This Row],[Index]]-E202,Tab_Compteur_6[[#This Row],[Quantité]])/Tab_Compteur_6[[#This Row],[Delta Jour]],""))</f>
        <v/>
      </c>
      <c r="H203" s="177" t="str">
        <f>IFERROR(Tab_Compteur_6[[#This Row],[Montant]]/Tab_Compteur_6[[#This Row],[Delta Jour]],"")</f>
        <v/>
      </c>
      <c r="I203" s="188" t="str">
        <f>IF(SUM(Tab_Compteur_6[[#This Row],[Quantité]],Tab_Compteur_6[[#This Row],[Index]])&lt;=0,"",G203)</f>
        <v/>
      </c>
      <c r="J203" s="185"/>
      <c r="K203" s="36"/>
      <c r="L203" s="36"/>
      <c r="M203" s="36"/>
    </row>
    <row r="204" spans="1:13">
      <c r="A204" s="53">
        <f t="shared" si="7"/>
        <v>1</v>
      </c>
      <c r="B204" s="501"/>
      <c r="C204" s="503"/>
      <c r="D204" s="491"/>
      <c r="E204" s="502"/>
      <c r="F204" s="177">
        <f t="shared" si="6"/>
        <v>0</v>
      </c>
      <c r="G204" s="177" t="str">
        <f>IF(IFERROR(IF(Str_TypeDonneesCpt6=Cpt_Index,Tab_Compteur_6[[#This Row],[Index]]-E203,Tab_Compteur_6[[#This Row],[Quantité]])/Tab_Compteur_6[[#This Row],[Delta Jour]],"")&lt;0,"",IFERROR(IF(Str_TypeDonneesCpt6=Cpt_Index,Tab_Compteur_6[[#This Row],[Index]]-E203,Tab_Compteur_6[[#This Row],[Quantité]])/Tab_Compteur_6[[#This Row],[Delta Jour]],""))</f>
        <v/>
      </c>
      <c r="H204" s="177" t="str">
        <f>IFERROR(Tab_Compteur_6[[#This Row],[Montant]]/Tab_Compteur_6[[#This Row],[Delta Jour]],"")</f>
        <v/>
      </c>
      <c r="I204" s="188" t="str">
        <f>IF(SUM(Tab_Compteur_6[[#This Row],[Quantité]],Tab_Compteur_6[[#This Row],[Index]])&lt;=0,"",G204)</f>
        <v/>
      </c>
      <c r="J204" s="185"/>
      <c r="K204" s="36"/>
      <c r="L204" s="36"/>
      <c r="M204" s="36"/>
    </row>
    <row r="205" spans="1:13">
      <c r="A205" s="53">
        <f t="shared" si="7"/>
        <v>1</v>
      </c>
      <c r="B205" s="501"/>
      <c r="C205" s="503"/>
      <c r="D205" s="491"/>
      <c r="E205" s="502"/>
      <c r="F205" s="177">
        <f t="shared" si="6"/>
        <v>0</v>
      </c>
      <c r="G205" s="177" t="str">
        <f>IF(IFERROR(IF(Str_TypeDonneesCpt6=Cpt_Index,Tab_Compteur_6[[#This Row],[Index]]-E204,Tab_Compteur_6[[#This Row],[Quantité]])/Tab_Compteur_6[[#This Row],[Delta Jour]],"")&lt;0,"",IFERROR(IF(Str_TypeDonneesCpt6=Cpt_Index,Tab_Compteur_6[[#This Row],[Index]]-E204,Tab_Compteur_6[[#This Row],[Quantité]])/Tab_Compteur_6[[#This Row],[Delta Jour]],""))</f>
        <v/>
      </c>
      <c r="H205" s="177" t="str">
        <f>IFERROR(Tab_Compteur_6[[#This Row],[Montant]]/Tab_Compteur_6[[#This Row],[Delta Jour]],"")</f>
        <v/>
      </c>
      <c r="I205" s="188" t="str">
        <f>IF(SUM(Tab_Compteur_6[[#This Row],[Quantité]],Tab_Compteur_6[[#This Row],[Index]])&lt;=0,"",G205)</f>
        <v/>
      </c>
      <c r="J205" s="185"/>
      <c r="K205" s="36"/>
      <c r="L205" s="36"/>
      <c r="M205" s="36"/>
    </row>
    <row r="206" spans="1:13">
      <c r="A206" s="53">
        <f t="shared" si="7"/>
        <v>1</v>
      </c>
      <c r="B206" s="501"/>
      <c r="C206" s="503"/>
      <c r="D206" s="491"/>
      <c r="E206" s="502"/>
      <c r="F206" s="177">
        <f t="shared" si="6"/>
        <v>0</v>
      </c>
      <c r="G206" s="177" t="str">
        <f>IF(IFERROR(IF(Str_TypeDonneesCpt6=Cpt_Index,Tab_Compteur_6[[#This Row],[Index]]-E205,Tab_Compteur_6[[#This Row],[Quantité]])/Tab_Compteur_6[[#This Row],[Delta Jour]],"")&lt;0,"",IFERROR(IF(Str_TypeDonneesCpt6=Cpt_Index,Tab_Compteur_6[[#This Row],[Index]]-E205,Tab_Compteur_6[[#This Row],[Quantité]])/Tab_Compteur_6[[#This Row],[Delta Jour]],""))</f>
        <v/>
      </c>
      <c r="H206" s="177" t="str">
        <f>IFERROR(Tab_Compteur_6[[#This Row],[Montant]]/Tab_Compteur_6[[#This Row],[Delta Jour]],"")</f>
        <v/>
      </c>
      <c r="I206" s="188" t="str">
        <f>IF(SUM(Tab_Compteur_6[[#This Row],[Quantité]],Tab_Compteur_6[[#This Row],[Index]])&lt;=0,"",G206)</f>
        <v/>
      </c>
      <c r="J206" s="185"/>
      <c r="K206" s="36"/>
      <c r="L206" s="36"/>
      <c r="M206" s="36"/>
    </row>
    <row r="207" spans="1:13">
      <c r="A207" s="53">
        <f t="shared" si="7"/>
        <v>1</v>
      </c>
      <c r="B207" s="501"/>
      <c r="C207" s="503"/>
      <c r="D207" s="491"/>
      <c r="E207" s="502"/>
      <c r="F207" s="177">
        <f t="shared" si="6"/>
        <v>0</v>
      </c>
      <c r="G207" s="177" t="str">
        <f>IF(IFERROR(IF(Str_TypeDonneesCpt6=Cpt_Index,Tab_Compteur_6[[#This Row],[Index]]-E206,Tab_Compteur_6[[#This Row],[Quantité]])/Tab_Compteur_6[[#This Row],[Delta Jour]],"")&lt;0,"",IFERROR(IF(Str_TypeDonneesCpt6=Cpt_Index,Tab_Compteur_6[[#This Row],[Index]]-E206,Tab_Compteur_6[[#This Row],[Quantité]])/Tab_Compteur_6[[#This Row],[Delta Jour]],""))</f>
        <v/>
      </c>
      <c r="H207" s="177" t="str">
        <f>IFERROR(Tab_Compteur_6[[#This Row],[Montant]]/Tab_Compteur_6[[#This Row],[Delta Jour]],"")</f>
        <v/>
      </c>
      <c r="I207" s="188" t="str">
        <f>IF(SUM(Tab_Compteur_6[[#This Row],[Quantité]],Tab_Compteur_6[[#This Row],[Index]])&lt;=0,"",G207)</f>
        <v/>
      </c>
      <c r="J207" s="185"/>
      <c r="K207" s="36"/>
      <c r="L207" s="36"/>
      <c r="M207" s="36"/>
    </row>
    <row r="208" spans="1:13">
      <c r="A208" s="53">
        <f t="shared" si="7"/>
        <v>1</v>
      </c>
      <c r="B208" s="501"/>
      <c r="C208" s="503"/>
      <c r="D208" s="491"/>
      <c r="E208" s="502"/>
      <c r="F208" s="177">
        <f t="shared" si="6"/>
        <v>0</v>
      </c>
      <c r="G208" s="177" t="str">
        <f>IF(IFERROR(IF(Str_TypeDonneesCpt6=Cpt_Index,Tab_Compteur_6[[#This Row],[Index]]-E207,Tab_Compteur_6[[#This Row],[Quantité]])/Tab_Compteur_6[[#This Row],[Delta Jour]],"")&lt;0,"",IFERROR(IF(Str_TypeDonneesCpt6=Cpt_Index,Tab_Compteur_6[[#This Row],[Index]]-E207,Tab_Compteur_6[[#This Row],[Quantité]])/Tab_Compteur_6[[#This Row],[Delta Jour]],""))</f>
        <v/>
      </c>
      <c r="H208" s="177" t="str">
        <f>IFERROR(Tab_Compteur_6[[#This Row],[Montant]]/Tab_Compteur_6[[#This Row],[Delta Jour]],"")</f>
        <v/>
      </c>
      <c r="I208" s="188" t="str">
        <f>IF(SUM(Tab_Compteur_6[[#This Row],[Quantité]],Tab_Compteur_6[[#This Row],[Index]])&lt;=0,"",G208)</f>
        <v/>
      </c>
      <c r="J208" s="185"/>
      <c r="K208" s="36"/>
      <c r="L208" s="36"/>
      <c r="M208" s="36"/>
    </row>
    <row r="209" spans="1:13">
      <c r="A209" s="53">
        <f t="shared" si="7"/>
        <v>1</v>
      </c>
      <c r="B209" s="501"/>
      <c r="C209" s="503"/>
      <c r="D209" s="491"/>
      <c r="E209" s="502"/>
      <c r="F209" s="177">
        <f t="shared" si="6"/>
        <v>0</v>
      </c>
      <c r="G209" s="177" t="str">
        <f>IF(IFERROR(IF(Str_TypeDonneesCpt6=Cpt_Index,Tab_Compteur_6[[#This Row],[Index]]-E208,Tab_Compteur_6[[#This Row],[Quantité]])/Tab_Compteur_6[[#This Row],[Delta Jour]],"")&lt;0,"",IFERROR(IF(Str_TypeDonneesCpt6=Cpt_Index,Tab_Compteur_6[[#This Row],[Index]]-E208,Tab_Compteur_6[[#This Row],[Quantité]])/Tab_Compteur_6[[#This Row],[Delta Jour]],""))</f>
        <v/>
      </c>
      <c r="H209" s="177" t="str">
        <f>IFERROR(Tab_Compteur_6[[#This Row],[Montant]]/Tab_Compteur_6[[#This Row],[Delta Jour]],"")</f>
        <v/>
      </c>
      <c r="I209" s="188" t="str">
        <f>IF(SUM(Tab_Compteur_6[[#This Row],[Quantité]],Tab_Compteur_6[[#This Row],[Index]])&lt;=0,"",G209)</f>
        <v/>
      </c>
      <c r="J209" s="185"/>
      <c r="K209" s="36"/>
      <c r="L209" s="36"/>
      <c r="M209" s="36"/>
    </row>
    <row r="210" spans="1:13">
      <c r="A210" s="53">
        <f t="shared" si="7"/>
        <v>1</v>
      </c>
      <c r="B210" s="501"/>
      <c r="C210" s="503"/>
      <c r="D210" s="491"/>
      <c r="E210" s="502"/>
      <c r="F210" s="177">
        <f t="shared" si="6"/>
        <v>0</v>
      </c>
      <c r="G210" s="177" t="str">
        <f>IF(IFERROR(IF(Str_TypeDonneesCpt6=Cpt_Index,Tab_Compteur_6[[#This Row],[Index]]-E209,Tab_Compteur_6[[#This Row],[Quantité]])/Tab_Compteur_6[[#This Row],[Delta Jour]],"")&lt;0,"",IFERROR(IF(Str_TypeDonneesCpt6=Cpt_Index,Tab_Compteur_6[[#This Row],[Index]]-E209,Tab_Compteur_6[[#This Row],[Quantité]])/Tab_Compteur_6[[#This Row],[Delta Jour]],""))</f>
        <v/>
      </c>
      <c r="H210" s="177" t="str">
        <f>IFERROR(Tab_Compteur_6[[#This Row],[Montant]]/Tab_Compteur_6[[#This Row],[Delta Jour]],"")</f>
        <v/>
      </c>
      <c r="I210" s="188" t="str">
        <f>IF(SUM(Tab_Compteur_6[[#This Row],[Quantité]],Tab_Compteur_6[[#This Row],[Index]])&lt;=0,"",G210)</f>
        <v/>
      </c>
      <c r="J210" s="185"/>
      <c r="K210" s="36"/>
      <c r="L210" s="36"/>
      <c r="M210" s="36"/>
    </row>
    <row r="211" spans="1:13">
      <c r="A211" s="53">
        <f t="shared" si="7"/>
        <v>1</v>
      </c>
      <c r="B211" s="501"/>
      <c r="C211" s="503"/>
      <c r="D211" s="491"/>
      <c r="E211" s="502"/>
      <c r="F211" s="177">
        <f t="shared" si="6"/>
        <v>0</v>
      </c>
      <c r="G211" s="177" t="str">
        <f>IF(IFERROR(IF(Str_TypeDonneesCpt6=Cpt_Index,Tab_Compteur_6[[#This Row],[Index]]-E210,Tab_Compteur_6[[#This Row],[Quantité]])/Tab_Compteur_6[[#This Row],[Delta Jour]],"")&lt;0,"",IFERROR(IF(Str_TypeDonneesCpt6=Cpt_Index,Tab_Compteur_6[[#This Row],[Index]]-E210,Tab_Compteur_6[[#This Row],[Quantité]])/Tab_Compteur_6[[#This Row],[Delta Jour]],""))</f>
        <v/>
      </c>
      <c r="H211" s="177" t="str">
        <f>IFERROR(Tab_Compteur_6[[#This Row],[Montant]]/Tab_Compteur_6[[#This Row],[Delta Jour]],"")</f>
        <v/>
      </c>
      <c r="I211" s="188" t="str">
        <f>IF(SUM(Tab_Compteur_6[[#This Row],[Quantité]],Tab_Compteur_6[[#This Row],[Index]])&lt;=0,"",G211)</f>
        <v/>
      </c>
      <c r="J211" s="185"/>
      <c r="K211" s="36"/>
      <c r="L211" s="36"/>
      <c r="M211" s="36"/>
    </row>
    <row r="212" spans="1:13">
      <c r="A212" s="53">
        <f t="shared" si="7"/>
        <v>1</v>
      </c>
      <c r="B212" s="501"/>
      <c r="C212" s="503"/>
      <c r="D212" s="491"/>
      <c r="E212" s="502"/>
      <c r="F212" s="177">
        <f t="shared" si="6"/>
        <v>0</v>
      </c>
      <c r="G212" s="177" t="str">
        <f>IF(IFERROR(IF(Str_TypeDonneesCpt6=Cpt_Index,Tab_Compteur_6[[#This Row],[Index]]-E211,Tab_Compteur_6[[#This Row],[Quantité]])/Tab_Compteur_6[[#This Row],[Delta Jour]],"")&lt;0,"",IFERROR(IF(Str_TypeDonneesCpt6=Cpt_Index,Tab_Compteur_6[[#This Row],[Index]]-E211,Tab_Compteur_6[[#This Row],[Quantité]])/Tab_Compteur_6[[#This Row],[Delta Jour]],""))</f>
        <v/>
      </c>
      <c r="H212" s="177" t="str">
        <f>IFERROR(Tab_Compteur_6[[#This Row],[Montant]]/Tab_Compteur_6[[#This Row],[Delta Jour]],"")</f>
        <v/>
      </c>
      <c r="I212" s="188" t="str">
        <f>IF(SUM(Tab_Compteur_6[[#This Row],[Quantité]],Tab_Compteur_6[[#This Row],[Index]])&lt;=0,"",G212)</f>
        <v/>
      </c>
      <c r="J212" s="185"/>
      <c r="K212" s="36"/>
      <c r="L212" s="36"/>
      <c r="M212" s="36"/>
    </row>
    <row r="213" spans="1:13">
      <c r="A213" s="53">
        <f t="shared" si="7"/>
        <v>1</v>
      </c>
      <c r="B213" s="501"/>
      <c r="C213" s="503"/>
      <c r="D213" s="491"/>
      <c r="E213" s="502"/>
      <c r="F213" s="177">
        <f t="shared" si="6"/>
        <v>0</v>
      </c>
      <c r="G213" s="177" t="str">
        <f>IF(IFERROR(IF(Str_TypeDonneesCpt6=Cpt_Index,Tab_Compteur_6[[#This Row],[Index]]-E212,Tab_Compteur_6[[#This Row],[Quantité]])/Tab_Compteur_6[[#This Row],[Delta Jour]],"")&lt;0,"",IFERROR(IF(Str_TypeDonneesCpt6=Cpt_Index,Tab_Compteur_6[[#This Row],[Index]]-E212,Tab_Compteur_6[[#This Row],[Quantité]])/Tab_Compteur_6[[#This Row],[Delta Jour]],""))</f>
        <v/>
      </c>
      <c r="H213" s="177" t="str">
        <f>IFERROR(Tab_Compteur_6[[#This Row],[Montant]]/Tab_Compteur_6[[#This Row],[Delta Jour]],"")</f>
        <v/>
      </c>
      <c r="I213" s="188" t="str">
        <f>IF(SUM(Tab_Compteur_6[[#This Row],[Quantité]],Tab_Compteur_6[[#This Row],[Index]])&lt;=0,"",G213)</f>
        <v/>
      </c>
      <c r="J213" s="185"/>
      <c r="K213" s="36"/>
      <c r="L213" s="36"/>
      <c r="M213" s="36"/>
    </row>
    <row r="214" spans="1:13">
      <c r="A214" s="53">
        <f t="shared" si="7"/>
        <v>1</v>
      </c>
      <c r="B214" s="501"/>
      <c r="C214" s="503"/>
      <c r="D214" s="491"/>
      <c r="E214" s="502"/>
      <c r="F214" s="177">
        <f t="shared" si="6"/>
        <v>0</v>
      </c>
      <c r="G214" s="177" t="str">
        <f>IF(IFERROR(IF(Str_TypeDonneesCpt6=Cpt_Index,Tab_Compteur_6[[#This Row],[Index]]-E213,Tab_Compteur_6[[#This Row],[Quantité]])/Tab_Compteur_6[[#This Row],[Delta Jour]],"")&lt;0,"",IFERROR(IF(Str_TypeDonneesCpt6=Cpt_Index,Tab_Compteur_6[[#This Row],[Index]]-E213,Tab_Compteur_6[[#This Row],[Quantité]])/Tab_Compteur_6[[#This Row],[Delta Jour]],""))</f>
        <v/>
      </c>
      <c r="H214" s="177" t="str">
        <f>IFERROR(Tab_Compteur_6[[#This Row],[Montant]]/Tab_Compteur_6[[#This Row],[Delta Jour]],"")</f>
        <v/>
      </c>
      <c r="I214" s="188" t="str">
        <f>IF(SUM(Tab_Compteur_6[[#This Row],[Quantité]],Tab_Compteur_6[[#This Row],[Index]])&lt;=0,"",G214)</f>
        <v/>
      </c>
      <c r="J214" s="185"/>
      <c r="K214" s="36"/>
      <c r="L214" s="36"/>
      <c r="M214" s="36"/>
    </row>
    <row r="215" spans="1:13">
      <c r="A215" s="53">
        <f t="shared" si="7"/>
        <v>1</v>
      </c>
      <c r="B215" s="501"/>
      <c r="C215" s="503"/>
      <c r="D215" s="491"/>
      <c r="E215" s="502"/>
      <c r="F215" s="177">
        <f t="shared" si="6"/>
        <v>0</v>
      </c>
      <c r="G215" s="177" t="str">
        <f>IF(IFERROR(IF(Str_TypeDonneesCpt6=Cpt_Index,Tab_Compteur_6[[#This Row],[Index]]-E214,Tab_Compteur_6[[#This Row],[Quantité]])/Tab_Compteur_6[[#This Row],[Delta Jour]],"")&lt;0,"",IFERROR(IF(Str_TypeDonneesCpt6=Cpt_Index,Tab_Compteur_6[[#This Row],[Index]]-E214,Tab_Compteur_6[[#This Row],[Quantité]])/Tab_Compteur_6[[#This Row],[Delta Jour]],""))</f>
        <v/>
      </c>
      <c r="H215" s="177" t="str">
        <f>IFERROR(Tab_Compteur_6[[#This Row],[Montant]]/Tab_Compteur_6[[#This Row],[Delta Jour]],"")</f>
        <v/>
      </c>
      <c r="I215" s="188" t="str">
        <f>IF(SUM(Tab_Compteur_6[[#This Row],[Quantité]],Tab_Compteur_6[[#This Row],[Index]])&lt;=0,"",G215)</f>
        <v/>
      </c>
      <c r="J215" s="185"/>
      <c r="K215" s="36"/>
      <c r="L215" s="36"/>
      <c r="M215" s="36"/>
    </row>
    <row r="216" spans="1:13">
      <c r="A216" s="53">
        <f t="shared" si="7"/>
        <v>1</v>
      </c>
      <c r="B216" s="501"/>
      <c r="C216" s="503"/>
      <c r="D216" s="491"/>
      <c r="E216" s="502"/>
      <c r="F216" s="177">
        <f t="shared" si="6"/>
        <v>0</v>
      </c>
      <c r="G216" s="177" t="str">
        <f>IF(IFERROR(IF(Str_TypeDonneesCpt6=Cpt_Index,Tab_Compteur_6[[#This Row],[Index]]-E215,Tab_Compteur_6[[#This Row],[Quantité]])/Tab_Compteur_6[[#This Row],[Delta Jour]],"")&lt;0,"",IFERROR(IF(Str_TypeDonneesCpt6=Cpt_Index,Tab_Compteur_6[[#This Row],[Index]]-E215,Tab_Compteur_6[[#This Row],[Quantité]])/Tab_Compteur_6[[#This Row],[Delta Jour]],""))</f>
        <v/>
      </c>
      <c r="H216" s="177" t="str">
        <f>IFERROR(Tab_Compteur_6[[#This Row],[Montant]]/Tab_Compteur_6[[#This Row],[Delta Jour]],"")</f>
        <v/>
      </c>
      <c r="I216" s="188" t="str">
        <f>IF(SUM(Tab_Compteur_6[[#This Row],[Quantité]],Tab_Compteur_6[[#This Row],[Index]])&lt;=0,"",G216)</f>
        <v/>
      </c>
      <c r="J216" s="185"/>
      <c r="K216" s="36"/>
      <c r="L216" s="36"/>
      <c r="M216" s="36"/>
    </row>
    <row r="217" spans="1:13">
      <c r="A217" s="53">
        <f t="shared" si="7"/>
        <v>1</v>
      </c>
      <c r="B217" s="501"/>
      <c r="C217" s="503"/>
      <c r="D217" s="491"/>
      <c r="E217" s="502"/>
      <c r="F217" s="177">
        <f t="shared" si="6"/>
        <v>0</v>
      </c>
      <c r="G217" s="177" t="str">
        <f>IF(IFERROR(IF(Str_TypeDonneesCpt6=Cpt_Index,Tab_Compteur_6[[#This Row],[Index]]-E216,Tab_Compteur_6[[#This Row],[Quantité]])/Tab_Compteur_6[[#This Row],[Delta Jour]],"")&lt;0,"",IFERROR(IF(Str_TypeDonneesCpt6=Cpt_Index,Tab_Compteur_6[[#This Row],[Index]]-E216,Tab_Compteur_6[[#This Row],[Quantité]])/Tab_Compteur_6[[#This Row],[Delta Jour]],""))</f>
        <v/>
      </c>
      <c r="H217" s="177" t="str">
        <f>IFERROR(Tab_Compteur_6[[#This Row],[Montant]]/Tab_Compteur_6[[#This Row],[Delta Jour]],"")</f>
        <v/>
      </c>
      <c r="I217" s="188" t="str">
        <f>IF(SUM(Tab_Compteur_6[[#This Row],[Quantité]],Tab_Compteur_6[[#This Row],[Index]])&lt;=0,"",G217)</f>
        <v/>
      </c>
      <c r="J217" s="185"/>
      <c r="K217" s="36"/>
      <c r="L217" s="36"/>
      <c r="M217" s="36"/>
    </row>
    <row r="218" spans="1:13">
      <c r="A218" s="53">
        <f t="shared" si="7"/>
        <v>1</v>
      </c>
      <c r="B218" s="501"/>
      <c r="C218" s="503"/>
      <c r="D218" s="491"/>
      <c r="E218" s="502"/>
      <c r="F218" s="177">
        <f t="shared" si="6"/>
        <v>0</v>
      </c>
      <c r="G218" s="177" t="str">
        <f>IF(IFERROR(IF(Str_TypeDonneesCpt6=Cpt_Index,Tab_Compteur_6[[#This Row],[Index]]-E217,Tab_Compteur_6[[#This Row],[Quantité]])/Tab_Compteur_6[[#This Row],[Delta Jour]],"")&lt;0,"",IFERROR(IF(Str_TypeDonneesCpt6=Cpt_Index,Tab_Compteur_6[[#This Row],[Index]]-E217,Tab_Compteur_6[[#This Row],[Quantité]])/Tab_Compteur_6[[#This Row],[Delta Jour]],""))</f>
        <v/>
      </c>
      <c r="H218" s="177" t="str">
        <f>IFERROR(Tab_Compteur_6[[#This Row],[Montant]]/Tab_Compteur_6[[#This Row],[Delta Jour]],"")</f>
        <v/>
      </c>
      <c r="I218" s="188" t="str">
        <f>IF(SUM(Tab_Compteur_6[[#This Row],[Quantité]],Tab_Compteur_6[[#This Row],[Index]])&lt;=0,"",G218)</f>
        <v/>
      </c>
      <c r="J218" s="185"/>
      <c r="K218" s="36"/>
      <c r="L218" s="36"/>
      <c r="M218" s="36"/>
    </row>
    <row r="219" spans="1:13">
      <c r="A219" s="53">
        <f t="shared" si="7"/>
        <v>1</v>
      </c>
      <c r="B219" s="501"/>
      <c r="C219" s="503"/>
      <c r="D219" s="491"/>
      <c r="E219" s="502"/>
      <c r="F219" s="177">
        <f t="shared" si="6"/>
        <v>0</v>
      </c>
      <c r="G219" s="177" t="str">
        <f>IF(IFERROR(IF(Str_TypeDonneesCpt6=Cpt_Index,Tab_Compteur_6[[#This Row],[Index]]-E218,Tab_Compteur_6[[#This Row],[Quantité]])/Tab_Compteur_6[[#This Row],[Delta Jour]],"")&lt;0,"",IFERROR(IF(Str_TypeDonneesCpt6=Cpt_Index,Tab_Compteur_6[[#This Row],[Index]]-E218,Tab_Compteur_6[[#This Row],[Quantité]])/Tab_Compteur_6[[#This Row],[Delta Jour]],""))</f>
        <v/>
      </c>
      <c r="H219" s="177" t="str">
        <f>IFERROR(Tab_Compteur_6[[#This Row],[Montant]]/Tab_Compteur_6[[#This Row],[Delta Jour]],"")</f>
        <v/>
      </c>
      <c r="I219" s="188" t="str">
        <f>IF(SUM(Tab_Compteur_6[[#This Row],[Quantité]],Tab_Compteur_6[[#This Row],[Index]])&lt;=0,"",G219)</f>
        <v/>
      </c>
      <c r="J219" s="185"/>
      <c r="K219" s="36"/>
      <c r="L219" s="36"/>
      <c r="M219" s="36"/>
    </row>
    <row r="220" spans="1:13">
      <c r="A220" s="53">
        <f t="shared" si="7"/>
        <v>1</v>
      </c>
      <c r="B220" s="501"/>
      <c r="C220" s="503"/>
      <c r="D220" s="491"/>
      <c r="E220" s="502"/>
      <c r="F220" s="177">
        <f t="shared" si="6"/>
        <v>0</v>
      </c>
      <c r="G220" s="177" t="str">
        <f>IF(IFERROR(IF(Str_TypeDonneesCpt6=Cpt_Index,Tab_Compteur_6[[#This Row],[Index]]-E219,Tab_Compteur_6[[#This Row],[Quantité]])/Tab_Compteur_6[[#This Row],[Delta Jour]],"")&lt;0,"",IFERROR(IF(Str_TypeDonneesCpt6=Cpt_Index,Tab_Compteur_6[[#This Row],[Index]]-E219,Tab_Compteur_6[[#This Row],[Quantité]])/Tab_Compteur_6[[#This Row],[Delta Jour]],""))</f>
        <v/>
      </c>
      <c r="H220" s="177" t="str">
        <f>IFERROR(Tab_Compteur_6[[#This Row],[Montant]]/Tab_Compteur_6[[#This Row],[Delta Jour]],"")</f>
        <v/>
      </c>
      <c r="I220" s="188" t="str">
        <f>IF(SUM(Tab_Compteur_6[[#This Row],[Quantité]],Tab_Compteur_6[[#This Row],[Index]])&lt;=0,"",G220)</f>
        <v/>
      </c>
      <c r="J220" s="185"/>
      <c r="K220" s="36"/>
      <c r="L220" s="36"/>
      <c r="M220" s="36"/>
    </row>
    <row r="221" spans="1:13">
      <c r="A221" s="53">
        <f t="shared" si="7"/>
        <v>1</v>
      </c>
      <c r="B221" s="501"/>
      <c r="C221" s="503"/>
      <c r="D221" s="491"/>
      <c r="E221" s="502"/>
      <c r="F221" s="177">
        <f t="shared" si="6"/>
        <v>0</v>
      </c>
      <c r="G221" s="177" t="str">
        <f>IF(IFERROR(IF(Str_TypeDonneesCpt6=Cpt_Index,Tab_Compteur_6[[#This Row],[Index]]-E220,Tab_Compteur_6[[#This Row],[Quantité]])/Tab_Compteur_6[[#This Row],[Delta Jour]],"")&lt;0,"",IFERROR(IF(Str_TypeDonneesCpt6=Cpt_Index,Tab_Compteur_6[[#This Row],[Index]]-E220,Tab_Compteur_6[[#This Row],[Quantité]])/Tab_Compteur_6[[#This Row],[Delta Jour]],""))</f>
        <v/>
      </c>
      <c r="H221" s="177" t="str">
        <f>IFERROR(Tab_Compteur_6[[#This Row],[Montant]]/Tab_Compteur_6[[#This Row],[Delta Jour]],"")</f>
        <v/>
      </c>
      <c r="I221" s="188" t="str">
        <f>IF(SUM(Tab_Compteur_6[[#This Row],[Quantité]],Tab_Compteur_6[[#This Row],[Index]])&lt;=0,"",G221)</f>
        <v/>
      </c>
      <c r="J221" s="185"/>
      <c r="K221" s="36"/>
      <c r="L221" s="36"/>
      <c r="M221" s="36"/>
    </row>
    <row r="222" spans="1:13">
      <c r="A222" s="53">
        <f t="shared" si="7"/>
        <v>1</v>
      </c>
      <c r="B222" s="501"/>
      <c r="C222" s="503"/>
      <c r="D222" s="491"/>
      <c r="E222" s="502"/>
      <c r="F222" s="177">
        <f t="shared" si="6"/>
        <v>0</v>
      </c>
      <c r="G222" s="177" t="str">
        <f>IF(IFERROR(IF(Str_TypeDonneesCpt6=Cpt_Index,Tab_Compteur_6[[#This Row],[Index]]-E221,Tab_Compteur_6[[#This Row],[Quantité]])/Tab_Compteur_6[[#This Row],[Delta Jour]],"")&lt;0,"",IFERROR(IF(Str_TypeDonneesCpt6=Cpt_Index,Tab_Compteur_6[[#This Row],[Index]]-E221,Tab_Compteur_6[[#This Row],[Quantité]])/Tab_Compteur_6[[#This Row],[Delta Jour]],""))</f>
        <v/>
      </c>
      <c r="H222" s="177" t="str">
        <f>IFERROR(Tab_Compteur_6[[#This Row],[Montant]]/Tab_Compteur_6[[#This Row],[Delta Jour]],"")</f>
        <v/>
      </c>
      <c r="I222" s="188" t="str">
        <f>IF(SUM(Tab_Compteur_6[[#This Row],[Quantité]],Tab_Compteur_6[[#This Row],[Index]])&lt;=0,"",G222)</f>
        <v/>
      </c>
      <c r="J222" s="185"/>
      <c r="K222" s="36"/>
      <c r="L222" s="36"/>
      <c r="M222" s="36"/>
    </row>
    <row r="223" spans="1:13">
      <c r="A223" s="53">
        <f t="shared" si="7"/>
        <v>1</v>
      </c>
      <c r="B223" s="501"/>
      <c r="C223" s="503"/>
      <c r="D223" s="491"/>
      <c r="E223" s="502"/>
      <c r="F223" s="177">
        <f t="shared" si="6"/>
        <v>0</v>
      </c>
      <c r="G223" s="177" t="str">
        <f>IF(IFERROR(IF(Str_TypeDonneesCpt6=Cpt_Index,Tab_Compteur_6[[#This Row],[Index]]-E222,Tab_Compteur_6[[#This Row],[Quantité]])/Tab_Compteur_6[[#This Row],[Delta Jour]],"")&lt;0,"",IFERROR(IF(Str_TypeDonneesCpt6=Cpt_Index,Tab_Compteur_6[[#This Row],[Index]]-E222,Tab_Compteur_6[[#This Row],[Quantité]])/Tab_Compteur_6[[#This Row],[Delta Jour]],""))</f>
        <v/>
      </c>
      <c r="H223" s="177" t="str">
        <f>IFERROR(Tab_Compteur_6[[#This Row],[Montant]]/Tab_Compteur_6[[#This Row],[Delta Jour]],"")</f>
        <v/>
      </c>
      <c r="I223" s="188" t="str">
        <f>IF(SUM(Tab_Compteur_6[[#This Row],[Quantité]],Tab_Compteur_6[[#This Row],[Index]])&lt;=0,"",G223)</f>
        <v/>
      </c>
      <c r="J223" s="185"/>
      <c r="K223" s="36"/>
      <c r="L223" s="36"/>
      <c r="M223" s="36"/>
    </row>
    <row r="224" spans="1:13">
      <c r="A224" s="53">
        <f t="shared" si="7"/>
        <v>1</v>
      </c>
      <c r="B224" s="501"/>
      <c r="C224" s="503"/>
      <c r="D224" s="491"/>
      <c r="E224" s="502"/>
      <c r="F224" s="177">
        <f t="shared" si="6"/>
        <v>0</v>
      </c>
      <c r="G224" s="177" t="str">
        <f>IF(IFERROR(IF(Str_TypeDonneesCpt6=Cpt_Index,Tab_Compteur_6[[#This Row],[Index]]-E223,Tab_Compteur_6[[#This Row],[Quantité]])/Tab_Compteur_6[[#This Row],[Delta Jour]],"")&lt;0,"",IFERROR(IF(Str_TypeDonneesCpt6=Cpt_Index,Tab_Compteur_6[[#This Row],[Index]]-E223,Tab_Compteur_6[[#This Row],[Quantité]])/Tab_Compteur_6[[#This Row],[Delta Jour]],""))</f>
        <v/>
      </c>
      <c r="H224" s="177" t="str">
        <f>IFERROR(Tab_Compteur_6[[#This Row],[Montant]]/Tab_Compteur_6[[#This Row],[Delta Jour]],"")</f>
        <v/>
      </c>
      <c r="I224" s="188" t="str">
        <f>IF(SUM(Tab_Compteur_6[[#This Row],[Quantité]],Tab_Compteur_6[[#This Row],[Index]])&lt;=0,"",G224)</f>
        <v/>
      </c>
      <c r="J224" s="185"/>
      <c r="K224" s="36"/>
      <c r="L224" s="36"/>
      <c r="M224" s="36"/>
    </row>
    <row r="225" spans="1:13">
      <c r="A225" s="53">
        <f t="shared" si="7"/>
        <v>1</v>
      </c>
      <c r="B225" s="501"/>
      <c r="C225" s="503"/>
      <c r="D225" s="491"/>
      <c r="E225" s="502"/>
      <c r="F225" s="177">
        <f t="shared" si="6"/>
        <v>0</v>
      </c>
      <c r="G225" s="177" t="str">
        <f>IF(IFERROR(IF(Str_TypeDonneesCpt6=Cpt_Index,Tab_Compteur_6[[#This Row],[Index]]-E224,Tab_Compteur_6[[#This Row],[Quantité]])/Tab_Compteur_6[[#This Row],[Delta Jour]],"")&lt;0,"",IFERROR(IF(Str_TypeDonneesCpt6=Cpt_Index,Tab_Compteur_6[[#This Row],[Index]]-E224,Tab_Compteur_6[[#This Row],[Quantité]])/Tab_Compteur_6[[#This Row],[Delta Jour]],""))</f>
        <v/>
      </c>
      <c r="H225" s="177" t="str">
        <f>IFERROR(Tab_Compteur_6[[#This Row],[Montant]]/Tab_Compteur_6[[#This Row],[Delta Jour]],"")</f>
        <v/>
      </c>
      <c r="I225" s="188" t="str">
        <f>IF(SUM(Tab_Compteur_6[[#This Row],[Quantité]],Tab_Compteur_6[[#This Row],[Index]])&lt;=0,"",G225)</f>
        <v/>
      </c>
      <c r="J225" s="185"/>
      <c r="K225" s="36"/>
      <c r="L225" s="36"/>
      <c r="M225" s="36"/>
    </row>
    <row r="226" spans="1:13">
      <c r="A226" s="53">
        <f t="shared" si="7"/>
        <v>1</v>
      </c>
      <c r="B226" s="501"/>
      <c r="C226" s="503"/>
      <c r="D226" s="491"/>
      <c r="E226" s="502"/>
      <c r="F226" s="177">
        <f t="shared" si="6"/>
        <v>0</v>
      </c>
      <c r="G226" s="177" t="str">
        <f>IF(IFERROR(IF(Str_TypeDonneesCpt6=Cpt_Index,Tab_Compteur_6[[#This Row],[Index]]-E225,Tab_Compteur_6[[#This Row],[Quantité]])/Tab_Compteur_6[[#This Row],[Delta Jour]],"")&lt;0,"",IFERROR(IF(Str_TypeDonneesCpt6=Cpt_Index,Tab_Compteur_6[[#This Row],[Index]]-E225,Tab_Compteur_6[[#This Row],[Quantité]])/Tab_Compteur_6[[#This Row],[Delta Jour]],""))</f>
        <v/>
      </c>
      <c r="H226" s="177" t="str">
        <f>IFERROR(Tab_Compteur_6[[#This Row],[Montant]]/Tab_Compteur_6[[#This Row],[Delta Jour]],"")</f>
        <v/>
      </c>
      <c r="I226" s="188" t="str">
        <f>IF(SUM(Tab_Compteur_6[[#This Row],[Quantité]],Tab_Compteur_6[[#This Row],[Index]])&lt;=0,"",G226)</f>
        <v/>
      </c>
      <c r="J226" s="185"/>
      <c r="K226" s="36"/>
      <c r="L226" s="36"/>
      <c r="M226" s="36"/>
    </row>
    <row r="227" spans="1:13">
      <c r="A227" s="53">
        <f t="shared" si="7"/>
        <v>1</v>
      </c>
      <c r="B227" s="501"/>
      <c r="C227" s="503"/>
      <c r="D227" s="491"/>
      <c r="E227" s="502"/>
      <c r="F227" s="177">
        <f t="shared" si="6"/>
        <v>0</v>
      </c>
      <c r="G227" s="177" t="str">
        <f>IF(IFERROR(IF(Str_TypeDonneesCpt6=Cpt_Index,Tab_Compteur_6[[#This Row],[Index]]-E226,Tab_Compteur_6[[#This Row],[Quantité]])/Tab_Compteur_6[[#This Row],[Delta Jour]],"")&lt;0,"",IFERROR(IF(Str_TypeDonneesCpt6=Cpt_Index,Tab_Compteur_6[[#This Row],[Index]]-E226,Tab_Compteur_6[[#This Row],[Quantité]])/Tab_Compteur_6[[#This Row],[Delta Jour]],""))</f>
        <v/>
      </c>
      <c r="H227" s="177" t="str">
        <f>IFERROR(Tab_Compteur_6[[#This Row],[Montant]]/Tab_Compteur_6[[#This Row],[Delta Jour]],"")</f>
        <v/>
      </c>
      <c r="I227" s="188" t="str">
        <f>IF(SUM(Tab_Compteur_6[[#This Row],[Quantité]],Tab_Compteur_6[[#This Row],[Index]])&lt;=0,"",G227)</f>
        <v/>
      </c>
      <c r="J227" s="185"/>
      <c r="K227" s="36"/>
      <c r="L227" s="36"/>
      <c r="M227" s="36"/>
    </row>
    <row r="228" spans="1:13">
      <c r="A228" s="53">
        <f t="shared" si="7"/>
        <v>1</v>
      </c>
      <c r="B228" s="501"/>
      <c r="C228" s="503"/>
      <c r="D228" s="491"/>
      <c r="E228" s="502"/>
      <c r="F228" s="177">
        <f t="shared" si="6"/>
        <v>0</v>
      </c>
      <c r="G228" s="177" t="str">
        <f>IF(IFERROR(IF(Str_TypeDonneesCpt6=Cpt_Index,Tab_Compteur_6[[#This Row],[Index]]-E227,Tab_Compteur_6[[#This Row],[Quantité]])/Tab_Compteur_6[[#This Row],[Delta Jour]],"")&lt;0,"",IFERROR(IF(Str_TypeDonneesCpt6=Cpt_Index,Tab_Compteur_6[[#This Row],[Index]]-E227,Tab_Compteur_6[[#This Row],[Quantité]])/Tab_Compteur_6[[#This Row],[Delta Jour]],""))</f>
        <v/>
      </c>
      <c r="H228" s="177" t="str">
        <f>IFERROR(Tab_Compteur_6[[#This Row],[Montant]]/Tab_Compteur_6[[#This Row],[Delta Jour]],"")</f>
        <v/>
      </c>
      <c r="I228" s="188" t="str">
        <f>IF(SUM(Tab_Compteur_6[[#This Row],[Quantité]],Tab_Compteur_6[[#This Row],[Index]])&lt;=0,"",G228)</f>
        <v/>
      </c>
      <c r="J228" s="185"/>
      <c r="K228" s="36"/>
      <c r="L228" s="36"/>
      <c r="M228" s="36"/>
    </row>
    <row r="229" spans="1:13">
      <c r="A229" s="53">
        <f t="shared" si="7"/>
        <v>1</v>
      </c>
      <c r="B229" s="501"/>
      <c r="C229" s="503"/>
      <c r="D229" s="491"/>
      <c r="E229" s="502"/>
      <c r="F229" s="177">
        <f t="shared" si="6"/>
        <v>0</v>
      </c>
      <c r="G229" s="177" t="str">
        <f>IF(IFERROR(IF(Str_TypeDonneesCpt6=Cpt_Index,Tab_Compteur_6[[#This Row],[Index]]-E228,Tab_Compteur_6[[#This Row],[Quantité]])/Tab_Compteur_6[[#This Row],[Delta Jour]],"")&lt;0,"",IFERROR(IF(Str_TypeDonneesCpt6=Cpt_Index,Tab_Compteur_6[[#This Row],[Index]]-E228,Tab_Compteur_6[[#This Row],[Quantité]])/Tab_Compteur_6[[#This Row],[Delta Jour]],""))</f>
        <v/>
      </c>
      <c r="H229" s="177" t="str">
        <f>IFERROR(Tab_Compteur_6[[#This Row],[Montant]]/Tab_Compteur_6[[#This Row],[Delta Jour]],"")</f>
        <v/>
      </c>
      <c r="I229" s="188" t="str">
        <f>IF(SUM(Tab_Compteur_6[[#This Row],[Quantité]],Tab_Compteur_6[[#This Row],[Index]])&lt;=0,"",G229)</f>
        <v/>
      </c>
      <c r="J229" s="185"/>
      <c r="K229" s="36"/>
      <c r="L229" s="36"/>
      <c r="M229" s="36"/>
    </row>
    <row r="230" spans="1:13">
      <c r="A230" s="53">
        <f t="shared" si="7"/>
        <v>1</v>
      </c>
      <c r="B230" s="501"/>
      <c r="C230" s="503"/>
      <c r="D230" s="491"/>
      <c r="E230" s="502"/>
      <c r="F230" s="177">
        <f t="shared" si="6"/>
        <v>0</v>
      </c>
      <c r="G230" s="177" t="str">
        <f>IF(IFERROR(IF(Str_TypeDonneesCpt6=Cpt_Index,Tab_Compteur_6[[#This Row],[Index]]-E229,Tab_Compteur_6[[#This Row],[Quantité]])/Tab_Compteur_6[[#This Row],[Delta Jour]],"")&lt;0,"",IFERROR(IF(Str_TypeDonneesCpt6=Cpt_Index,Tab_Compteur_6[[#This Row],[Index]]-E229,Tab_Compteur_6[[#This Row],[Quantité]])/Tab_Compteur_6[[#This Row],[Delta Jour]],""))</f>
        <v/>
      </c>
      <c r="H230" s="177" t="str">
        <f>IFERROR(Tab_Compteur_6[[#This Row],[Montant]]/Tab_Compteur_6[[#This Row],[Delta Jour]],"")</f>
        <v/>
      </c>
      <c r="I230" s="188" t="str">
        <f>IF(SUM(Tab_Compteur_6[[#This Row],[Quantité]],Tab_Compteur_6[[#This Row],[Index]])&lt;=0,"",G230)</f>
        <v/>
      </c>
      <c r="J230" s="185"/>
      <c r="K230" s="36"/>
      <c r="L230" s="36"/>
      <c r="M230" s="36"/>
    </row>
    <row r="231" spans="1:13">
      <c r="A231" s="53">
        <f t="shared" si="7"/>
        <v>1</v>
      </c>
      <c r="B231" s="501"/>
      <c r="C231" s="503"/>
      <c r="D231" s="491"/>
      <c r="E231" s="502"/>
      <c r="F231" s="177">
        <f t="shared" si="6"/>
        <v>0</v>
      </c>
      <c r="G231" s="177" t="str">
        <f>IF(IFERROR(IF(Str_TypeDonneesCpt6=Cpt_Index,Tab_Compteur_6[[#This Row],[Index]]-E230,Tab_Compteur_6[[#This Row],[Quantité]])/Tab_Compteur_6[[#This Row],[Delta Jour]],"")&lt;0,"",IFERROR(IF(Str_TypeDonneesCpt6=Cpt_Index,Tab_Compteur_6[[#This Row],[Index]]-E230,Tab_Compteur_6[[#This Row],[Quantité]])/Tab_Compteur_6[[#This Row],[Delta Jour]],""))</f>
        <v/>
      </c>
      <c r="H231" s="177" t="str">
        <f>IFERROR(Tab_Compteur_6[[#This Row],[Montant]]/Tab_Compteur_6[[#This Row],[Delta Jour]],"")</f>
        <v/>
      </c>
      <c r="I231" s="188" t="str">
        <f>IF(SUM(Tab_Compteur_6[[#This Row],[Quantité]],Tab_Compteur_6[[#This Row],[Index]])&lt;=0,"",G231)</f>
        <v/>
      </c>
      <c r="J231" s="185"/>
      <c r="K231" s="36"/>
      <c r="L231" s="36"/>
      <c r="M231" s="36"/>
    </row>
    <row r="232" spans="1:13">
      <c r="A232" s="53">
        <f t="shared" si="7"/>
        <v>1</v>
      </c>
      <c r="B232" s="501"/>
      <c r="C232" s="503"/>
      <c r="D232" s="491"/>
      <c r="E232" s="502"/>
      <c r="F232" s="177">
        <f t="shared" si="6"/>
        <v>0</v>
      </c>
      <c r="G232" s="177" t="str">
        <f>IF(IFERROR(IF(Str_TypeDonneesCpt6=Cpt_Index,Tab_Compteur_6[[#This Row],[Index]]-E231,Tab_Compteur_6[[#This Row],[Quantité]])/Tab_Compteur_6[[#This Row],[Delta Jour]],"")&lt;0,"",IFERROR(IF(Str_TypeDonneesCpt6=Cpt_Index,Tab_Compteur_6[[#This Row],[Index]]-E231,Tab_Compteur_6[[#This Row],[Quantité]])/Tab_Compteur_6[[#This Row],[Delta Jour]],""))</f>
        <v/>
      </c>
      <c r="H232" s="177" t="str">
        <f>IFERROR(Tab_Compteur_6[[#This Row],[Montant]]/Tab_Compteur_6[[#This Row],[Delta Jour]],"")</f>
        <v/>
      </c>
      <c r="I232" s="188" t="str">
        <f>IF(SUM(Tab_Compteur_6[[#This Row],[Quantité]],Tab_Compteur_6[[#This Row],[Index]])&lt;=0,"",G232)</f>
        <v/>
      </c>
      <c r="J232" s="185"/>
      <c r="K232" s="36"/>
      <c r="L232" s="36"/>
      <c r="M232" s="36"/>
    </row>
    <row r="233" spans="1:13">
      <c r="A233" s="53">
        <f t="shared" si="7"/>
        <v>1</v>
      </c>
      <c r="B233" s="501"/>
      <c r="C233" s="503"/>
      <c r="D233" s="491"/>
      <c r="E233" s="502"/>
      <c r="F233" s="177">
        <f t="shared" si="6"/>
        <v>0</v>
      </c>
      <c r="G233" s="177" t="str">
        <f>IF(IFERROR(IF(Str_TypeDonneesCpt6=Cpt_Index,Tab_Compteur_6[[#This Row],[Index]]-E232,Tab_Compteur_6[[#This Row],[Quantité]])/Tab_Compteur_6[[#This Row],[Delta Jour]],"")&lt;0,"",IFERROR(IF(Str_TypeDonneesCpt6=Cpt_Index,Tab_Compteur_6[[#This Row],[Index]]-E232,Tab_Compteur_6[[#This Row],[Quantité]])/Tab_Compteur_6[[#This Row],[Delta Jour]],""))</f>
        <v/>
      </c>
      <c r="H233" s="177" t="str">
        <f>IFERROR(Tab_Compteur_6[[#This Row],[Montant]]/Tab_Compteur_6[[#This Row],[Delta Jour]],"")</f>
        <v/>
      </c>
      <c r="I233" s="188" t="str">
        <f>IF(SUM(Tab_Compteur_6[[#This Row],[Quantité]],Tab_Compteur_6[[#This Row],[Index]])&lt;=0,"",G233)</f>
        <v/>
      </c>
      <c r="J233" s="185"/>
      <c r="K233" s="36"/>
      <c r="L233" s="36"/>
      <c r="M233" s="36"/>
    </row>
    <row r="234" spans="1:13">
      <c r="A234" s="53">
        <f t="shared" si="7"/>
        <v>1</v>
      </c>
      <c r="B234" s="501"/>
      <c r="C234" s="503"/>
      <c r="D234" s="491"/>
      <c r="E234" s="502"/>
      <c r="F234" s="177">
        <f t="shared" si="6"/>
        <v>0</v>
      </c>
      <c r="G234" s="177" t="str">
        <f>IF(IFERROR(IF(Str_TypeDonneesCpt6=Cpt_Index,Tab_Compteur_6[[#This Row],[Index]]-E233,Tab_Compteur_6[[#This Row],[Quantité]])/Tab_Compteur_6[[#This Row],[Delta Jour]],"")&lt;0,"",IFERROR(IF(Str_TypeDonneesCpt6=Cpt_Index,Tab_Compteur_6[[#This Row],[Index]]-E233,Tab_Compteur_6[[#This Row],[Quantité]])/Tab_Compteur_6[[#This Row],[Delta Jour]],""))</f>
        <v/>
      </c>
      <c r="H234" s="177" t="str">
        <f>IFERROR(Tab_Compteur_6[[#This Row],[Montant]]/Tab_Compteur_6[[#This Row],[Delta Jour]],"")</f>
        <v/>
      </c>
      <c r="I234" s="188" t="str">
        <f>IF(SUM(Tab_Compteur_6[[#This Row],[Quantité]],Tab_Compteur_6[[#This Row],[Index]])&lt;=0,"",G234)</f>
        <v/>
      </c>
      <c r="J234" s="185"/>
      <c r="K234" s="36"/>
      <c r="L234" s="36"/>
      <c r="M234" s="36"/>
    </row>
    <row r="235" spans="1:13">
      <c r="A235" s="53">
        <f t="shared" si="7"/>
        <v>1</v>
      </c>
      <c r="B235" s="501"/>
      <c r="C235" s="503"/>
      <c r="D235" s="491"/>
      <c r="E235" s="502"/>
      <c r="F235" s="177">
        <f t="shared" si="6"/>
        <v>0</v>
      </c>
      <c r="G235" s="177" t="str">
        <f>IF(IFERROR(IF(Str_TypeDonneesCpt6=Cpt_Index,Tab_Compteur_6[[#This Row],[Index]]-E234,Tab_Compteur_6[[#This Row],[Quantité]])/Tab_Compteur_6[[#This Row],[Delta Jour]],"")&lt;0,"",IFERROR(IF(Str_TypeDonneesCpt6=Cpt_Index,Tab_Compteur_6[[#This Row],[Index]]-E234,Tab_Compteur_6[[#This Row],[Quantité]])/Tab_Compteur_6[[#This Row],[Delta Jour]],""))</f>
        <v/>
      </c>
      <c r="H235" s="177" t="str">
        <f>IFERROR(Tab_Compteur_6[[#This Row],[Montant]]/Tab_Compteur_6[[#This Row],[Delta Jour]],"")</f>
        <v/>
      </c>
      <c r="I235" s="188" t="str">
        <f>IF(SUM(Tab_Compteur_6[[#This Row],[Quantité]],Tab_Compteur_6[[#This Row],[Index]])&lt;=0,"",G235)</f>
        <v/>
      </c>
      <c r="J235" s="185"/>
      <c r="K235" s="36"/>
      <c r="L235" s="36"/>
      <c r="M235" s="36"/>
    </row>
    <row r="236" spans="1:13">
      <c r="A236" s="53">
        <f t="shared" si="7"/>
        <v>1</v>
      </c>
      <c r="B236" s="501"/>
      <c r="C236" s="503"/>
      <c r="D236" s="491"/>
      <c r="E236" s="502"/>
      <c r="F236" s="177">
        <f t="shared" si="6"/>
        <v>0</v>
      </c>
      <c r="G236" s="177" t="str">
        <f>IF(IFERROR(IF(Str_TypeDonneesCpt6=Cpt_Index,Tab_Compteur_6[[#This Row],[Index]]-E235,Tab_Compteur_6[[#This Row],[Quantité]])/Tab_Compteur_6[[#This Row],[Delta Jour]],"")&lt;0,"",IFERROR(IF(Str_TypeDonneesCpt6=Cpt_Index,Tab_Compteur_6[[#This Row],[Index]]-E235,Tab_Compteur_6[[#This Row],[Quantité]])/Tab_Compteur_6[[#This Row],[Delta Jour]],""))</f>
        <v/>
      </c>
      <c r="H236" s="177" t="str">
        <f>IFERROR(Tab_Compteur_6[[#This Row],[Montant]]/Tab_Compteur_6[[#This Row],[Delta Jour]],"")</f>
        <v/>
      </c>
      <c r="I236" s="188" t="str">
        <f>IF(SUM(Tab_Compteur_6[[#This Row],[Quantité]],Tab_Compteur_6[[#This Row],[Index]])&lt;=0,"",G236)</f>
        <v/>
      </c>
      <c r="J236" s="185"/>
      <c r="K236" s="36"/>
      <c r="L236" s="36"/>
      <c r="M236" s="36"/>
    </row>
    <row r="237" spans="1:13">
      <c r="A237" s="53">
        <f t="shared" si="7"/>
        <v>1</v>
      </c>
      <c r="B237" s="501"/>
      <c r="C237" s="503"/>
      <c r="D237" s="491"/>
      <c r="E237" s="502"/>
      <c r="F237" s="177">
        <f t="shared" si="6"/>
        <v>0</v>
      </c>
      <c r="G237" s="177" t="str">
        <f>IF(IFERROR(IF(Str_TypeDonneesCpt6=Cpt_Index,Tab_Compteur_6[[#This Row],[Index]]-E236,Tab_Compteur_6[[#This Row],[Quantité]])/Tab_Compteur_6[[#This Row],[Delta Jour]],"")&lt;0,"",IFERROR(IF(Str_TypeDonneesCpt6=Cpt_Index,Tab_Compteur_6[[#This Row],[Index]]-E236,Tab_Compteur_6[[#This Row],[Quantité]])/Tab_Compteur_6[[#This Row],[Delta Jour]],""))</f>
        <v/>
      </c>
      <c r="H237" s="177" t="str">
        <f>IFERROR(Tab_Compteur_6[[#This Row],[Montant]]/Tab_Compteur_6[[#This Row],[Delta Jour]],"")</f>
        <v/>
      </c>
      <c r="I237" s="188" t="str">
        <f>IF(SUM(Tab_Compteur_6[[#This Row],[Quantité]],Tab_Compteur_6[[#This Row],[Index]])&lt;=0,"",G237)</f>
        <v/>
      </c>
      <c r="J237" s="185"/>
      <c r="K237" s="36"/>
      <c r="L237" s="36"/>
      <c r="M237" s="36"/>
    </row>
    <row r="238" spans="1:13">
      <c r="A238" s="53">
        <f t="shared" si="7"/>
        <v>1</v>
      </c>
      <c r="B238" s="501"/>
      <c r="C238" s="503"/>
      <c r="D238" s="491"/>
      <c r="E238" s="502"/>
      <c r="F238" s="177">
        <f t="shared" si="6"/>
        <v>0</v>
      </c>
      <c r="G238" s="177" t="str">
        <f>IF(IFERROR(IF(Str_TypeDonneesCpt6=Cpt_Index,Tab_Compteur_6[[#This Row],[Index]]-E237,Tab_Compteur_6[[#This Row],[Quantité]])/Tab_Compteur_6[[#This Row],[Delta Jour]],"")&lt;0,"",IFERROR(IF(Str_TypeDonneesCpt6=Cpt_Index,Tab_Compteur_6[[#This Row],[Index]]-E237,Tab_Compteur_6[[#This Row],[Quantité]])/Tab_Compteur_6[[#This Row],[Delta Jour]],""))</f>
        <v/>
      </c>
      <c r="H238" s="177" t="str">
        <f>IFERROR(Tab_Compteur_6[[#This Row],[Montant]]/Tab_Compteur_6[[#This Row],[Delta Jour]],"")</f>
        <v/>
      </c>
      <c r="I238" s="188" t="str">
        <f>IF(SUM(Tab_Compteur_6[[#This Row],[Quantité]],Tab_Compteur_6[[#This Row],[Index]])&lt;=0,"",G238)</f>
        <v/>
      </c>
      <c r="J238" s="185"/>
      <c r="K238" s="36"/>
      <c r="L238" s="36"/>
      <c r="M238" s="36"/>
    </row>
    <row r="239" spans="1:13">
      <c r="A239" s="53">
        <f t="shared" si="7"/>
        <v>1</v>
      </c>
      <c r="B239" s="501"/>
      <c r="C239" s="503"/>
      <c r="D239" s="491"/>
      <c r="E239" s="502"/>
      <c r="F239" s="177">
        <f t="shared" si="6"/>
        <v>0</v>
      </c>
      <c r="G239" s="177" t="str">
        <f>IF(IFERROR(IF(Str_TypeDonneesCpt6=Cpt_Index,Tab_Compteur_6[[#This Row],[Index]]-E238,Tab_Compteur_6[[#This Row],[Quantité]])/Tab_Compteur_6[[#This Row],[Delta Jour]],"")&lt;0,"",IFERROR(IF(Str_TypeDonneesCpt6=Cpt_Index,Tab_Compteur_6[[#This Row],[Index]]-E238,Tab_Compteur_6[[#This Row],[Quantité]])/Tab_Compteur_6[[#This Row],[Delta Jour]],""))</f>
        <v/>
      </c>
      <c r="H239" s="177" t="str">
        <f>IFERROR(Tab_Compteur_6[[#This Row],[Montant]]/Tab_Compteur_6[[#This Row],[Delta Jour]],"")</f>
        <v/>
      </c>
      <c r="I239" s="188" t="str">
        <f>IF(SUM(Tab_Compteur_6[[#This Row],[Quantité]],Tab_Compteur_6[[#This Row],[Index]])&lt;=0,"",G239)</f>
        <v/>
      </c>
      <c r="J239" s="185"/>
      <c r="K239" s="36"/>
      <c r="L239" s="36"/>
      <c r="M239" s="36"/>
    </row>
    <row r="240" spans="1:13">
      <c r="A240" s="53">
        <f t="shared" si="7"/>
        <v>1</v>
      </c>
      <c r="B240" s="501"/>
      <c r="C240" s="503"/>
      <c r="D240" s="491"/>
      <c r="E240" s="502"/>
      <c r="F240" s="177">
        <f t="shared" si="6"/>
        <v>0</v>
      </c>
      <c r="G240" s="177" t="str">
        <f>IF(IFERROR(IF(Str_TypeDonneesCpt6=Cpt_Index,Tab_Compteur_6[[#This Row],[Index]]-E239,Tab_Compteur_6[[#This Row],[Quantité]])/Tab_Compteur_6[[#This Row],[Delta Jour]],"")&lt;0,"",IFERROR(IF(Str_TypeDonneesCpt6=Cpt_Index,Tab_Compteur_6[[#This Row],[Index]]-E239,Tab_Compteur_6[[#This Row],[Quantité]])/Tab_Compteur_6[[#This Row],[Delta Jour]],""))</f>
        <v/>
      </c>
      <c r="H240" s="177" t="str">
        <f>IFERROR(Tab_Compteur_6[[#This Row],[Montant]]/Tab_Compteur_6[[#This Row],[Delta Jour]],"")</f>
        <v/>
      </c>
      <c r="I240" s="188" t="str">
        <f>IF(SUM(Tab_Compteur_6[[#This Row],[Quantité]],Tab_Compteur_6[[#This Row],[Index]])&lt;=0,"",G240)</f>
        <v/>
      </c>
      <c r="J240" s="185"/>
      <c r="K240" s="36"/>
      <c r="L240" s="36"/>
      <c r="M240" s="36"/>
    </row>
    <row r="241" spans="1:13">
      <c r="A241" s="53">
        <f t="shared" si="7"/>
        <v>1</v>
      </c>
      <c r="B241" s="501"/>
      <c r="C241" s="503"/>
      <c r="D241" s="491"/>
      <c r="E241" s="502"/>
      <c r="F241" s="177">
        <f t="shared" si="6"/>
        <v>0</v>
      </c>
      <c r="G241" s="177" t="str">
        <f>IF(IFERROR(IF(Str_TypeDonneesCpt6=Cpt_Index,Tab_Compteur_6[[#This Row],[Index]]-E240,Tab_Compteur_6[[#This Row],[Quantité]])/Tab_Compteur_6[[#This Row],[Delta Jour]],"")&lt;0,"",IFERROR(IF(Str_TypeDonneesCpt6=Cpt_Index,Tab_Compteur_6[[#This Row],[Index]]-E240,Tab_Compteur_6[[#This Row],[Quantité]])/Tab_Compteur_6[[#This Row],[Delta Jour]],""))</f>
        <v/>
      </c>
      <c r="H241" s="177" t="str">
        <f>IFERROR(Tab_Compteur_6[[#This Row],[Montant]]/Tab_Compteur_6[[#This Row],[Delta Jour]],"")</f>
        <v/>
      </c>
      <c r="I241" s="188" t="str">
        <f>IF(SUM(Tab_Compteur_6[[#This Row],[Quantité]],Tab_Compteur_6[[#This Row],[Index]])&lt;=0,"",G241)</f>
        <v/>
      </c>
      <c r="J241" s="185"/>
      <c r="K241" s="36"/>
      <c r="L241" s="36"/>
      <c r="M241" s="36"/>
    </row>
    <row r="242" spans="1:13">
      <c r="A242" s="53">
        <f t="shared" si="7"/>
        <v>1</v>
      </c>
      <c r="B242" s="501"/>
      <c r="C242" s="503"/>
      <c r="D242" s="491"/>
      <c r="E242" s="502"/>
      <c r="F242" s="177">
        <f t="shared" si="6"/>
        <v>0</v>
      </c>
      <c r="G242" s="177" t="str">
        <f>IF(IFERROR(IF(Str_TypeDonneesCpt6=Cpt_Index,Tab_Compteur_6[[#This Row],[Index]]-E241,Tab_Compteur_6[[#This Row],[Quantité]])/Tab_Compteur_6[[#This Row],[Delta Jour]],"")&lt;0,"",IFERROR(IF(Str_TypeDonneesCpt6=Cpt_Index,Tab_Compteur_6[[#This Row],[Index]]-E241,Tab_Compteur_6[[#This Row],[Quantité]])/Tab_Compteur_6[[#This Row],[Delta Jour]],""))</f>
        <v/>
      </c>
      <c r="H242" s="177" t="str">
        <f>IFERROR(Tab_Compteur_6[[#This Row],[Montant]]/Tab_Compteur_6[[#This Row],[Delta Jour]],"")</f>
        <v/>
      </c>
      <c r="I242" s="188" t="str">
        <f>IF(SUM(Tab_Compteur_6[[#This Row],[Quantité]],Tab_Compteur_6[[#This Row],[Index]])&lt;=0,"",G242)</f>
        <v/>
      </c>
      <c r="J242" s="185"/>
      <c r="K242" s="36"/>
      <c r="L242" s="36"/>
      <c r="M242" s="36"/>
    </row>
    <row r="243" spans="1:13">
      <c r="A243" s="53">
        <f t="shared" si="7"/>
        <v>1</v>
      </c>
      <c r="B243" s="501"/>
      <c r="C243" s="503"/>
      <c r="D243" s="491"/>
      <c r="E243" s="502"/>
      <c r="F243" s="177">
        <f t="shared" si="6"/>
        <v>0</v>
      </c>
      <c r="G243" s="177" t="str">
        <f>IF(IFERROR(IF(Str_TypeDonneesCpt6=Cpt_Index,Tab_Compteur_6[[#This Row],[Index]]-E242,Tab_Compteur_6[[#This Row],[Quantité]])/Tab_Compteur_6[[#This Row],[Delta Jour]],"")&lt;0,"",IFERROR(IF(Str_TypeDonneesCpt6=Cpt_Index,Tab_Compteur_6[[#This Row],[Index]]-E242,Tab_Compteur_6[[#This Row],[Quantité]])/Tab_Compteur_6[[#This Row],[Delta Jour]],""))</f>
        <v/>
      </c>
      <c r="H243" s="177" t="str">
        <f>IFERROR(Tab_Compteur_6[[#This Row],[Montant]]/Tab_Compteur_6[[#This Row],[Delta Jour]],"")</f>
        <v/>
      </c>
      <c r="I243" s="188" t="str">
        <f>IF(SUM(Tab_Compteur_6[[#This Row],[Quantité]],Tab_Compteur_6[[#This Row],[Index]])&lt;=0,"",G243)</f>
        <v/>
      </c>
      <c r="J243" s="185"/>
      <c r="K243" s="36"/>
      <c r="L243" s="36"/>
      <c r="M243" s="36"/>
    </row>
  </sheetData>
  <sheetProtection sheet="1" objects="1" scenarios="1" selectLockedCells="1"/>
  <protectedRanges>
    <protectedRange sqref="K5:M7 L2:M2 B177:D243 J34:M243 J8:M10 J2:J7 K3:M3 A244:D1048576 K244:N1048576" name="Données_compteur6"/>
    <protectedRange sqref="A4:A243" name="Données_compteur3_1"/>
    <protectedRange sqref="J11:M33" name="Données_compteur3_3_1"/>
    <protectedRange sqref="E2" name="Compteur_1_1"/>
    <protectedRange sqref="I2" name="Compteur_1_1_1"/>
    <protectedRange sqref="K4:L4" name="Compteur_1"/>
    <protectedRange sqref="L1 E1 I1" name="Compteur_1_2"/>
    <protectedRange sqref="C4:D15" name="Données_compteur2_1_2_1_1"/>
    <protectedRange sqref="C16:C47 D16:D143" name="Données_compteur2_1_2"/>
    <protectedRange sqref="C48:C143" name="Données_compteur2_3"/>
    <protectedRange sqref="D144:D147" name="Données_compteur2_1_1"/>
    <protectedRange sqref="C144:C147" name="Données_compteur2_2"/>
    <protectedRange sqref="D148:D171" name="Données_compteur2_1_2_1"/>
    <protectedRange sqref="C148:C171" name="Données_compteur2_3_1"/>
    <protectedRange sqref="B4:B176 D172:D176" name="Données_compteur2_1"/>
    <protectedRange sqref="C172:C176" name="Données_compteur2"/>
  </protectedRanges>
  <mergeCells count="2">
    <mergeCell ref="L2:M2"/>
    <mergeCell ref="K11:M33"/>
  </mergeCells>
  <conditionalFormatting sqref="B4:B243">
    <cfRule type="expression" dxfId="56" priority="1">
      <formula>$B4&lt;$A4</formula>
    </cfRule>
  </conditionalFormatting>
  <pageMargins left="0.7" right="0.7" top="0.75" bottom="0.75" header="0.3" footer="0.3"/>
  <pageSetup paperSize="9" orientation="portrait" r:id="rId1"/>
  <drawing r:id="rId2"/>
  <legacyDrawing r:id="rId3"/>
  <tableParts count="1">
    <tablePart r:id="rId4"/>
  </tablePart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30"/>
  <dimension ref="A1:O243"/>
  <sheetViews>
    <sheetView workbookViewId="0">
      <pane ySplit="3" topLeftCell="A4" activePane="bottomLeft" state="frozen"/>
      <selection pane="bottomLeft" activeCell="B4" sqref="B4"/>
    </sheetView>
  </sheetViews>
  <sheetFormatPr baseColWidth="10" defaultColWidth="0" defaultRowHeight="14.5" zeroHeight="1"/>
  <cols>
    <col min="1" max="1" width="18.36328125" customWidth="1"/>
    <col min="2" max="2" width="14.08984375" style="177" customWidth="1"/>
    <col min="3" max="3" width="13.81640625" style="219" customWidth="1"/>
    <col min="4" max="4" width="15.36328125" style="490" customWidth="1"/>
    <col min="5" max="5" width="11.36328125" style="219" customWidth="1"/>
    <col min="6" max="6" width="11.6328125" style="219" hidden="1" customWidth="1"/>
    <col min="7" max="8" width="11.36328125" style="219" hidden="1" customWidth="1"/>
    <col min="9" max="9" width="10.81640625" customWidth="1"/>
    <col min="10" max="10" width="13.7265625" style="184" customWidth="1"/>
    <col min="11" max="11" width="21.7265625" customWidth="1"/>
    <col min="12" max="13" width="11.36328125" customWidth="1"/>
    <col min="14" max="14" width="21.7265625" customWidth="1"/>
    <col min="15" max="15" width="0" hidden="1" customWidth="1"/>
    <col min="16" max="16384" width="11.36328125" hidden="1"/>
  </cols>
  <sheetData>
    <row r="1" spans="1:13" ht="31.15" customHeight="1">
      <c r="A1" s="55" t="s">
        <v>393</v>
      </c>
      <c r="B1" s="199" t="s">
        <v>394</v>
      </c>
      <c r="C1" s="229" t="s">
        <v>395</v>
      </c>
      <c r="D1" s="521" t="str">
        <f>CONCATENATE("Montant ",Controle_des_données!$A$40)</f>
        <v>Montant 0</v>
      </c>
      <c r="E1" s="231" t="s">
        <v>214</v>
      </c>
      <c r="F1" s="230" t="s">
        <v>396</v>
      </c>
      <c r="G1" s="231" t="s">
        <v>397</v>
      </c>
      <c r="H1" s="231" t="s">
        <v>398</v>
      </c>
      <c r="I1" s="231" t="s">
        <v>399</v>
      </c>
      <c r="J1" s="172" t="s">
        <v>400</v>
      </c>
      <c r="K1" s="164" t="s">
        <v>19</v>
      </c>
      <c r="L1" s="170" t="str">
        <f>IF(Site!C44="", "Compteur 7",Site!C44)</f>
        <v>Compteur 7</v>
      </c>
    </row>
    <row r="2" spans="1:13" ht="20.25" hidden="1" customHeight="1">
      <c r="A2" s="26" t="s">
        <v>393</v>
      </c>
      <c r="B2" s="82" t="s">
        <v>394</v>
      </c>
      <c r="C2" s="232" t="s">
        <v>395</v>
      </c>
      <c r="D2" s="522" t="s">
        <v>428</v>
      </c>
      <c r="E2" s="231" t="s">
        <v>214</v>
      </c>
      <c r="F2" s="230" t="s">
        <v>396</v>
      </c>
      <c r="G2" s="233" t="s">
        <v>397</v>
      </c>
      <c r="H2" s="234" t="s">
        <v>398</v>
      </c>
      <c r="I2" s="184" t="s">
        <v>399</v>
      </c>
      <c r="J2" s="41" t="s">
        <v>400</v>
      </c>
      <c r="K2" s="164"/>
      <c r="L2" s="824"/>
      <c r="M2" s="825"/>
    </row>
    <row r="3" spans="1:13" hidden="1">
      <c r="A3" s="2"/>
      <c r="B3" s="203">
        <f>A4-1</f>
        <v>-1</v>
      </c>
      <c r="C3" s="235">
        <v>0</v>
      </c>
      <c r="D3" s="490">
        <v>0</v>
      </c>
      <c r="F3" s="219">
        <f t="shared" ref="F3:F66" si="0">IFERROR(B3-A3+1,"")</f>
        <v>0</v>
      </c>
      <c r="G3" s="219" t="str">
        <f>IFERROR(IF(Str_TypeDonneesCpt7=Cpt_Index,Tab_Compteur_7[[#This Row],[Index]]-M6,Tab_Compteur_7[[#This Row],[Quantité]])/Tab_Compteur_7[[#This Row],[Delta Jour]],"")</f>
        <v/>
      </c>
      <c r="H3" s="219" t="str">
        <f>IFERROR(Tab_Compteur_7[[#This Row],[Montant]]/Tab_Compteur_7[[#This Row],[Delta Jour]],"")</f>
        <v/>
      </c>
      <c r="I3" s="184" t="str">
        <f>IF(SUM(Tab_Compteur_7[[#This Row],[Quantité]],Tab_Compteur_7[[#This Row],[Index]])&lt;=0,"",G3)</f>
        <v/>
      </c>
      <c r="J3" s="36"/>
      <c r="K3" s="36"/>
      <c r="L3" s="36"/>
      <c r="M3" s="36"/>
    </row>
    <row r="4" spans="1:13">
      <c r="A4" s="2">
        <f>Site!I44</f>
        <v>0</v>
      </c>
      <c r="B4" s="505"/>
      <c r="C4" s="503"/>
      <c r="D4" s="491"/>
      <c r="E4" s="509"/>
      <c r="F4" s="219">
        <f t="shared" si="0"/>
        <v>1</v>
      </c>
      <c r="G4" s="219">
        <f>IF(IFERROR(IF(Str_TypeDonneesCpt7=Cpt_Index,Tab_Compteur_7[[#This Row],[Index]]-L4,Tab_Compteur_7[[#This Row],[Quantité]])/Tab_Compteur_7[[#This Row],[Delta Jour]],"")&lt;0,"",IFERROR(IF(Str_TypeDonneesCpt7=Cpt_Index,Tab_Compteur_7[[#This Row],[Index]]-L4,Tab_Compteur_7[[#This Row],[Quantité]])/Tab_Compteur_7[[#This Row],[Delta Jour]],""))</f>
        <v>0</v>
      </c>
      <c r="H4" s="219">
        <f>IFERROR(Tab_Compteur_7[[#This Row],[Montant]]/Tab_Compteur_7[[#This Row],[Delta Jour]],"")</f>
        <v>0</v>
      </c>
      <c r="I4" s="184" t="str">
        <f>IF(SUM(Tab_Compteur_7[[#This Row],[Quantité]],Tab_Compteur_7[[#This Row],[Index]])&lt;=0,"",G4)</f>
        <v/>
      </c>
      <c r="J4" s="185"/>
      <c r="K4" s="192" t="s">
        <v>401</v>
      </c>
      <c r="L4" s="444">
        <v>0</v>
      </c>
    </row>
    <row r="5" spans="1:13">
      <c r="A5" s="2">
        <f>IFERROR(B4+1,0)</f>
        <v>1</v>
      </c>
      <c r="B5" s="505"/>
      <c r="C5" s="503"/>
      <c r="D5" s="491"/>
      <c r="E5" s="502"/>
      <c r="F5" s="219">
        <f t="shared" si="0"/>
        <v>0</v>
      </c>
      <c r="G5" s="219" t="str">
        <f>IF(IFERROR(IF(Str_TypeDonneesCpt7=Cpt_Index,Tab_Compteur_7[[#This Row],[Index]]-E4,Tab_Compteur_7[[#This Row],[Quantité]])/Tab_Compteur_7[[#This Row],[Delta Jour]],"")&lt;0,"",IFERROR(IF(Str_TypeDonneesCpt7=Cpt_Index,Tab_Compteur_7[[#This Row],[Index]]-E4,Tab_Compteur_7[[#This Row],[Quantité]])/Tab_Compteur_7[[#This Row],[Delta Jour]],""))</f>
        <v/>
      </c>
      <c r="H5" s="219" t="str">
        <f>IFERROR(Tab_Compteur_7[[#This Row],[Montant]]/Tab_Compteur_7[[#This Row],[Delta Jour]],"")</f>
        <v/>
      </c>
      <c r="I5" s="184" t="str">
        <f>IF(SUM(Tab_Compteur_7[[#This Row],[Quantité]],Tab_Compteur_7[[#This Row],[Index]])&lt;=0,"",G5)</f>
        <v/>
      </c>
      <c r="J5" s="185"/>
      <c r="K5" s="36"/>
      <c r="L5" s="36"/>
      <c r="M5" s="36"/>
    </row>
    <row r="6" spans="1:13">
      <c r="A6" s="2">
        <f t="shared" ref="A6:A69" si="1">IFERROR(B5+1,0)</f>
        <v>1</v>
      </c>
      <c r="B6" s="505"/>
      <c r="C6" s="503"/>
      <c r="D6" s="491"/>
      <c r="E6" s="502"/>
      <c r="F6" s="219">
        <f t="shared" si="0"/>
        <v>0</v>
      </c>
      <c r="G6" s="219" t="str">
        <f>IF(IFERROR(IF(Str_TypeDonneesCpt7=Cpt_Index,Tab_Compteur_7[[#This Row],[Index]]-E5,Tab_Compteur_7[[#This Row],[Quantité]])/Tab_Compteur_7[[#This Row],[Delta Jour]],"")&lt;0,"",IFERROR(IF(Str_TypeDonneesCpt7=Cpt_Index,Tab_Compteur_7[[#This Row],[Index]]-E5,Tab_Compteur_7[[#This Row],[Quantité]])/Tab_Compteur_7[[#This Row],[Delta Jour]],""))</f>
        <v/>
      </c>
      <c r="H6" s="219" t="str">
        <f>IFERROR(Tab_Compteur_7[[#This Row],[Montant]]/Tab_Compteur_7[[#This Row],[Delta Jour]],"")</f>
        <v/>
      </c>
      <c r="I6" s="184" t="str">
        <f>IF(SUM(Tab_Compteur_7[[#This Row],[Quantité]],Tab_Compteur_7[[#This Row],[Index]])&lt;=0,"",G6)</f>
        <v/>
      </c>
      <c r="J6" s="185"/>
      <c r="K6" s="36"/>
      <c r="L6" s="36"/>
      <c r="M6" s="36"/>
    </row>
    <row r="7" spans="1:13">
      <c r="A7" s="2">
        <f t="shared" si="1"/>
        <v>1</v>
      </c>
      <c r="B7" s="505"/>
      <c r="C7" s="503"/>
      <c r="D7" s="491"/>
      <c r="E7" s="502"/>
      <c r="F7" s="219">
        <f t="shared" si="0"/>
        <v>0</v>
      </c>
      <c r="G7" s="219" t="str">
        <f>IF(IFERROR(IF(Str_TypeDonneesCpt7=Cpt_Index,Tab_Compteur_7[[#This Row],[Index]]-E6,Tab_Compteur_7[[#This Row],[Quantité]])/Tab_Compteur_7[[#This Row],[Delta Jour]],"")&lt;0,"",IFERROR(IF(Str_TypeDonneesCpt7=Cpt_Index,Tab_Compteur_7[[#This Row],[Index]]-E6,Tab_Compteur_7[[#This Row],[Quantité]])/Tab_Compteur_7[[#This Row],[Delta Jour]],""))</f>
        <v/>
      </c>
      <c r="H7" s="219" t="str">
        <f>IFERROR(Tab_Compteur_7[[#This Row],[Montant]]/Tab_Compteur_7[[#This Row],[Delta Jour]],"")</f>
        <v/>
      </c>
      <c r="I7" s="184" t="str">
        <f>IF(SUM(Tab_Compteur_7[[#This Row],[Quantité]],Tab_Compteur_7[[#This Row],[Index]])&lt;=0,"",G7)</f>
        <v/>
      </c>
      <c r="J7" s="185"/>
      <c r="K7" s="36"/>
      <c r="L7" s="36"/>
      <c r="M7" s="36"/>
    </row>
    <row r="8" spans="1:13">
      <c r="A8" s="2">
        <f t="shared" si="1"/>
        <v>1</v>
      </c>
      <c r="B8" s="505"/>
      <c r="C8" s="503"/>
      <c r="D8" s="491"/>
      <c r="E8" s="502"/>
      <c r="F8" s="219">
        <f t="shared" si="0"/>
        <v>0</v>
      </c>
      <c r="G8" s="219" t="str">
        <f>IF(IFERROR(IF(Str_TypeDonneesCpt7=Cpt_Index,Tab_Compteur_7[[#This Row],[Index]]-E7,Tab_Compteur_7[[#This Row],[Quantité]])/Tab_Compteur_7[[#This Row],[Delta Jour]],"")&lt;0,"",IFERROR(IF(Str_TypeDonneesCpt7=Cpt_Index,Tab_Compteur_7[[#This Row],[Index]]-E7,Tab_Compteur_7[[#This Row],[Quantité]])/Tab_Compteur_7[[#This Row],[Delta Jour]],""))</f>
        <v/>
      </c>
      <c r="H8" s="219" t="str">
        <f>IFERROR(Tab_Compteur_7[[#This Row],[Montant]]/Tab_Compteur_7[[#This Row],[Delta Jour]],"")</f>
        <v/>
      </c>
      <c r="I8" s="184" t="str">
        <f>IF(SUM(Tab_Compteur_7[[#This Row],[Quantité]],Tab_Compteur_7[[#This Row],[Index]])&lt;=0,"",G8)</f>
        <v/>
      </c>
      <c r="J8" s="185"/>
      <c r="K8" s="165"/>
      <c r="L8" s="165"/>
      <c r="M8" s="165"/>
    </row>
    <row r="9" spans="1:13">
      <c r="A9" s="2">
        <f t="shared" si="1"/>
        <v>1</v>
      </c>
      <c r="B9" s="505"/>
      <c r="C9" s="503"/>
      <c r="D9" s="491"/>
      <c r="E9" s="502"/>
      <c r="F9" s="219">
        <f t="shared" si="0"/>
        <v>0</v>
      </c>
      <c r="G9" s="219" t="str">
        <f>IF(IFERROR(IF(Str_TypeDonneesCpt7=Cpt_Index,Tab_Compteur_7[[#This Row],[Index]]-E8,Tab_Compteur_7[[#This Row],[Quantité]])/Tab_Compteur_7[[#This Row],[Delta Jour]],"")&lt;0,"",IFERROR(IF(Str_TypeDonneesCpt7=Cpt_Index,Tab_Compteur_7[[#This Row],[Index]]-E8,Tab_Compteur_7[[#This Row],[Quantité]])/Tab_Compteur_7[[#This Row],[Delta Jour]],""))</f>
        <v/>
      </c>
      <c r="H9" s="219" t="str">
        <f>IFERROR(Tab_Compteur_7[[#This Row],[Montant]]/Tab_Compteur_7[[#This Row],[Delta Jour]],"")</f>
        <v/>
      </c>
      <c r="I9" s="184" t="str">
        <f>IF(SUM(Tab_Compteur_7[[#This Row],[Quantité]],Tab_Compteur_7[[#This Row],[Index]])&lt;=0,"",G9)</f>
        <v/>
      </c>
      <c r="J9" s="185"/>
      <c r="K9" s="165"/>
      <c r="L9" s="165"/>
      <c r="M9" s="165"/>
    </row>
    <row r="10" spans="1:13">
      <c r="A10" s="2">
        <f t="shared" si="1"/>
        <v>1</v>
      </c>
      <c r="B10" s="505"/>
      <c r="C10" s="503"/>
      <c r="D10" s="491"/>
      <c r="E10" s="502"/>
      <c r="F10" s="219">
        <f t="shared" si="0"/>
        <v>0</v>
      </c>
      <c r="G10" s="219" t="str">
        <f>IF(IFERROR(IF(Str_TypeDonneesCpt7=Cpt_Index,Tab_Compteur_7[[#This Row],[Index]]-E9,Tab_Compteur_7[[#This Row],[Quantité]])/Tab_Compteur_7[[#This Row],[Delta Jour]],"")&lt;0,"",IFERROR(IF(Str_TypeDonneesCpt7=Cpt_Index,Tab_Compteur_7[[#This Row],[Index]]-E9,Tab_Compteur_7[[#This Row],[Quantité]])/Tab_Compteur_7[[#This Row],[Delta Jour]],""))</f>
        <v/>
      </c>
      <c r="H10" s="219" t="str">
        <f>IFERROR(Tab_Compteur_7[[#This Row],[Montant]]/Tab_Compteur_7[[#This Row],[Delta Jour]],"")</f>
        <v/>
      </c>
      <c r="I10" s="184" t="str">
        <f>IF(SUM(Tab_Compteur_7[[#This Row],[Quantité]],Tab_Compteur_7[[#This Row],[Index]])&lt;=0,"",G10)</f>
        <v/>
      </c>
      <c r="J10" s="185"/>
      <c r="K10" s="165"/>
      <c r="L10" s="165"/>
      <c r="M10" s="165"/>
    </row>
    <row r="11" spans="1:13">
      <c r="A11" s="2">
        <f t="shared" si="1"/>
        <v>1</v>
      </c>
      <c r="B11" s="505"/>
      <c r="C11" s="503"/>
      <c r="D11" s="491"/>
      <c r="E11" s="502"/>
      <c r="F11" s="219">
        <f t="shared" si="0"/>
        <v>0</v>
      </c>
      <c r="G11" s="219" t="str">
        <f>IF(IFERROR(IF(Str_TypeDonneesCpt7=Cpt_Index,Tab_Compteur_7[[#This Row],[Index]]-E10,Tab_Compteur_7[[#This Row],[Quantité]])/Tab_Compteur_7[[#This Row],[Delta Jour]],"")&lt;0,"",IFERROR(IF(Str_TypeDonneesCpt7=Cpt_Index,Tab_Compteur_7[[#This Row],[Index]]-E10,Tab_Compteur_7[[#This Row],[Quantité]])/Tab_Compteur_7[[#This Row],[Delta Jour]],""))</f>
        <v/>
      </c>
      <c r="H11" s="219" t="str">
        <f>IFERROR(Tab_Compteur_7[[#This Row],[Montant]]/Tab_Compteur_7[[#This Row],[Delta Jour]],"")</f>
        <v/>
      </c>
      <c r="I11" s="184" t="str">
        <f>IF(SUM(Tab_Compteur_7[[#This Row],[Quantité]],Tab_Compteur_7[[#This Row],[Index]])&lt;=0,"",G11)</f>
        <v/>
      </c>
      <c r="J11" s="185"/>
      <c r="K11" s="823" t="str">
        <f>Compteur_1!$K$34</f>
        <v>Pour le bon fonctionnement des calculs, il est nécessaire de respecter l'ordre chonologique des données 
Dans le cas des consommations, la quantité doit correspondre à l'unité indiquée dans "Site". Pour les données de production l'unité par défaut est le kWh et pour l'eau, le m3.  
Dans le cas d'un manque de donnée sur une période donnée, indiquez les dates de début et de fin de cette période en laissant les cellules de Quantité et Montant vide
En cas de multiples factures/livraisons pour un même mois, merci d'additionner les quantités et les montants et de mettre la dernière date. 
Une fois toutes vos données de comptage complétées, Cliquez sur le bouton "Actualiser tout" la barre d'outils "Données" ou avec  le raccourcis clavier Ctrl+alt+F5</v>
      </c>
      <c r="L11" s="823"/>
      <c r="M11" s="823"/>
    </row>
    <row r="12" spans="1:13">
      <c r="A12" s="2">
        <f t="shared" si="1"/>
        <v>1</v>
      </c>
      <c r="B12" s="505"/>
      <c r="C12" s="503"/>
      <c r="D12" s="491"/>
      <c r="E12" s="502"/>
      <c r="F12" s="219">
        <f t="shared" si="0"/>
        <v>0</v>
      </c>
      <c r="G12" s="219" t="str">
        <f>IF(IFERROR(IF(Str_TypeDonneesCpt7=Cpt_Index,Tab_Compteur_7[[#This Row],[Index]]-E11,Tab_Compteur_7[[#This Row],[Quantité]])/Tab_Compteur_7[[#This Row],[Delta Jour]],"")&lt;0,"",IFERROR(IF(Str_TypeDonneesCpt7=Cpt_Index,Tab_Compteur_7[[#This Row],[Index]]-E11,Tab_Compteur_7[[#This Row],[Quantité]])/Tab_Compteur_7[[#This Row],[Delta Jour]],""))</f>
        <v/>
      </c>
      <c r="H12" s="219" t="str">
        <f>IFERROR(Tab_Compteur_7[[#This Row],[Montant]]/Tab_Compteur_7[[#This Row],[Delta Jour]],"")</f>
        <v/>
      </c>
      <c r="I12" s="184" t="str">
        <f>IF(SUM(Tab_Compteur_7[[#This Row],[Quantité]],Tab_Compteur_7[[#This Row],[Index]])&lt;=0,"",G12)</f>
        <v/>
      </c>
      <c r="J12" s="185"/>
      <c r="K12" s="823"/>
      <c r="L12" s="823"/>
      <c r="M12" s="823"/>
    </row>
    <row r="13" spans="1:13">
      <c r="A13" s="2">
        <f t="shared" si="1"/>
        <v>1</v>
      </c>
      <c r="B13" s="505"/>
      <c r="C13" s="503"/>
      <c r="D13" s="491"/>
      <c r="E13" s="502"/>
      <c r="F13" s="219">
        <f t="shared" si="0"/>
        <v>0</v>
      </c>
      <c r="G13" s="219" t="str">
        <f>IF(IFERROR(IF(Str_TypeDonneesCpt7=Cpt_Index,Tab_Compteur_7[[#This Row],[Index]]-E12,Tab_Compteur_7[[#This Row],[Quantité]])/Tab_Compteur_7[[#This Row],[Delta Jour]],"")&lt;0,"",IFERROR(IF(Str_TypeDonneesCpt7=Cpt_Index,Tab_Compteur_7[[#This Row],[Index]]-E12,Tab_Compteur_7[[#This Row],[Quantité]])/Tab_Compteur_7[[#This Row],[Delta Jour]],""))</f>
        <v/>
      </c>
      <c r="H13" s="219" t="str">
        <f>IFERROR(Tab_Compteur_7[[#This Row],[Montant]]/Tab_Compteur_7[[#This Row],[Delta Jour]],"")</f>
        <v/>
      </c>
      <c r="I13" s="184" t="str">
        <f>IF(SUM(Tab_Compteur_7[[#This Row],[Quantité]],Tab_Compteur_7[[#This Row],[Index]])&lt;=0,"",G13)</f>
        <v/>
      </c>
      <c r="J13" s="185"/>
      <c r="K13" s="823"/>
      <c r="L13" s="823"/>
      <c r="M13" s="823"/>
    </row>
    <row r="14" spans="1:13">
      <c r="A14" s="2">
        <f t="shared" si="1"/>
        <v>1</v>
      </c>
      <c r="B14" s="505"/>
      <c r="C14" s="503"/>
      <c r="D14" s="491"/>
      <c r="E14" s="502"/>
      <c r="F14" s="219">
        <f t="shared" si="0"/>
        <v>0</v>
      </c>
      <c r="G14" s="219" t="str">
        <f>IF(IFERROR(IF(Str_TypeDonneesCpt7=Cpt_Index,Tab_Compteur_7[[#This Row],[Index]]-E13,Tab_Compteur_7[[#This Row],[Quantité]])/Tab_Compteur_7[[#This Row],[Delta Jour]],"")&lt;0,"",IFERROR(IF(Str_TypeDonneesCpt7=Cpt_Index,Tab_Compteur_7[[#This Row],[Index]]-E13,Tab_Compteur_7[[#This Row],[Quantité]])/Tab_Compteur_7[[#This Row],[Delta Jour]],""))</f>
        <v/>
      </c>
      <c r="H14" s="219" t="str">
        <f>IFERROR(Tab_Compteur_7[[#This Row],[Montant]]/Tab_Compteur_7[[#This Row],[Delta Jour]],"")</f>
        <v/>
      </c>
      <c r="I14" s="184" t="str">
        <f>IF(SUM(Tab_Compteur_7[[#This Row],[Quantité]],Tab_Compteur_7[[#This Row],[Index]])&lt;=0,"",G14)</f>
        <v/>
      </c>
      <c r="J14" s="185"/>
      <c r="K14" s="823"/>
      <c r="L14" s="823"/>
      <c r="M14" s="823"/>
    </row>
    <row r="15" spans="1:13">
      <c r="A15" s="2">
        <f t="shared" si="1"/>
        <v>1</v>
      </c>
      <c r="B15" s="505"/>
      <c r="C15" s="503"/>
      <c r="D15" s="491"/>
      <c r="E15" s="502"/>
      <c r="F15" s="219">
        <f t="shared" si="0"/>
        <v>0</v>
      </c>
      <c r="G15" s="219" t="str">
        <f>IF(IFERROR(IF(Str_TypeDonneesCpt7=Cpt_Index,Tab_Compteur_7[[#This Row],[Index]]-E14,Tab_Compteur_7[[#This Row],[Quantité]])/Tab_Compteur_7[[#This Row],[Delta Jour]],"")&lt;0,"",IFERROR(IF(Str_TypeDonneesCpt7=Cpt_Index,Tab_Compteur_7[[#This Row],[Index]]-E14,Tab_Compteur_7[[#This Row],[Quantité]])/Tab_Compteur_7[[#This Row],[Delta Jour]],""))</f>
        <v/>
      </c>
      <c r="H15" s="219" t="str">
        <f>IFERROR(Tab_Compteur_7[[#This Row],[Montant]]/Tab_Compteur_7[[#This Row],[Delta Jour]],"")</f>
        <v/>
      </c>
      <c r="I15" s="184" t="str">
        <f>IF(SUM(Tab_Compteur_7[[#This Row],[Quantité]],Tab_Compteur_7[[#This Row],[Index]])&lt;=0,"",G15)</f>
        <v/>
      </c>
      <c r="J15" s="185"/>
      <c r="K15" s="823"/>
      <c r="L15" s="823"/>
      <c r="M15" s="823"/>
    </row>
    <row r="16" spans="1:13">
      <c r="A16" s="2">
        <f t="shared" si="1"/>
        <v>1</v>
      </c>
      <c r="B16" s="505"/>
      <c r="C16" s="503"/>
      <c r="D16" s="491"/>
      <c r="E16" s="502"/>
      <c r="F16" s="219">
        <f t="shared" si="0"/>
        <v>0</v>
      </c>
      <c r="G16" s="219" t="str">
        <f>IF(IFERROR(IF(Str_TypeDonneesCpt7=Cpt_Index,Tab_Compteur_7[[#This Row],[Index]]-E15,Tab_Compteur_7[[#This Row],[Quantité]])/Tab_Compteur_7[[#This Row],[Delta Jour]],"")&lt;0,"",IFERROR(IF(Str_TypeDonneesCpt7=Cpt_Index,Tab_Compteur_7[[#This Row],[Index]]-E15,Tab_Compteur_7[[#This Row],[Quantité]])/Tab_Compteur_7[[#This Row],[Delta Jour]],""))</f>
        <v/>
      </c>
      <c r="H16" s="219" t="str">
        <f>IFERROR(Tab_Compteur_7[[#This Row],[Montant]]/Tab_Compteur_7[[#This Row],[Delta Jour]],"")</f>
        <v/>
      </c>
      <c r="I16" s="184" t="str">
        <f>IF(SUM(Tab_Compteur_7[[#This Row],[Quantité]],Tab_Compteur_7[[#This Row],[Index]])&lt;=0,"",G16)</f>
        <v/>
      </c>
      <c r="J16" s="185"/>
      <c r="K16" s="823"/>
      <c r="L16" s="823"/>
      <c r="M16" s="823"/>
    </row>
    <row r="17" spans="1:13">
      <c r="A17" s="2">
        <f t="shared" si="1"/>
        <v>1</v>
      </c>
      <c r="B17" s="505"/>
      <c r="C17" s="503"/>
      <c r="D17" s="491"/>
      <c r="E17" s="502"/>
      <c r="F17" s="219">
        <f t="shared" si="0"/>
        <v>0</v>
      </c>
      <c r="G17" s="219" t="str">
        <f>IF(IFERROR(IF(Str_TypeDonneesCpt7=Cpt_Index,Tab_Compteur_7[[#This Row],[Index]]-E16,Tab_Compteur_7[[#This Row],[Quantité]])/Tab_Compteur_7[[#This Row],[Delta Jour]],"")&lt;0,"",IFERROR(IF(Str_TypeDonneesCpt7=Cpt_Index,Tab_Compteur_7[[#This Row],[Index]]-E16,Tab_Compteur_7[[#This Row],[Quantité]])/Tab_Compteur_7[[#This Row],[Delta Jour]],""))</f>
        <v/>
      </c>
      <c r="H17" s="219" t="str">
        <f>IFERROR(Tab_Compteur_7[[#This Row],[Montant]]/Tab_Compteur_7[[#This Row],[Delta Jour]],"")</f>
        <v/>
      </c>
      <c r="I17" s="184" t="str">
        <f>IF(SUM(Tab_Compteur_7[[#This Row],[Quantité]],Tab_Compteur_7[[#This Row],[Index]])&lt;=0,"",G17)</f>
        <v/>
      </c>
      <c r="J17" s="185"/>
      <c r="K17" s="823"/>
      <c r="L17" s="823"/>
      <c r="M17" s="823"/>
    </row>
    <row r="18" spans="1:13">
      <c r="A18" s="2">
        <f t="shared" si="1"/>
        <v>1</v>
      </c>
      <c r="B18" s="505"/>
      <c r="C18" s="503"/>
      <c r="D18" s="491"/>
      <c r="E18" s="502"/>
      <c r="F18" s="219">
        <f t="shared" si="0"/>
        <v>0</v>
      </c>
      <c r="G18" s="219" t="str">
        <f>IF(IFERROR(IF(Str_TypeDonneesCpt7=Cpt_Index,Tab_Compteur_7[[#This Row],[Index]]-E17,Tab_Compteur_7[[#This Row],[Quantité]])/Tab_Compteur_7[[#This Row],[Delta Jour]],"")&lt;0,"",IFERROR(IF(Str_TypeDonneesCpt7=Cpt_Index,Tab_Compteur_7[[#This Row],[Index]]-E17,Tab_Compteur_7[[#This Row],[Quantité]])/Tab_Compteur_7[[#This Row],[Delta Jour]],""))</f>
        <v/>
      </c>
      <c r="H18" s="219" t="str">
        <f>IFERROR(Tab_Compteur_7[[#This Row],[Montant]]/Tab_Compteur_7[[#This Row],[Delta Jour]],"")</f>
        <v/>
      </c>
      <c r="I18" s="184" t="str">
        <f>IF(SUM(Tab_Compteur_7[[#This Row],[Quantité]],Tab_Compteur_7[[#This Row],[Index]])&lt;=0,"",G18)</f>
        <v/>
      </c>
      <c r="J18" s="185"/>
      <c r="K18" s="823"/>
      <c r="L18" s="823"/>
      <c r="M18" s="823"/>
    </row>
    <row r="19" spans="1:13">
      <c r="A19" s="2">
        <f t="shared" si="1"/>
        <v>1</v>
      </c>
      <c r="B19" s="505"/>
      <c r="C19" s="503"/>
      <c r="D19" s="495"/>
      <c r="E19" s="502"/>
      <c r="F19" s="219">
        <f t="shared" si="0"/>
        <v>0</v>
      </c>
      <c r="G19" s="219" t="str">
        <f>IF(IFERROR(IF(Str_TypeDonneesCpt7=Cpt_Index,Tab_Compteur_7[[#This Row],[Index]]-E18,Tab_Compteur_7[[#This Row],[Quantité]])/Tab_Compteur_7[[#This Row],[Delta Jour]],"")&lt;0,"",IFERROR(IF(Str_TypeDonneesCpt7=Cpt_Index,Tab_Compteur_7[[#This Row],[Index]]-E18,Tab_Compteur_7[[#This Row],[Quantité]])/Tab_Compteur_7[[#This Row],[Delta Jour]],""))</f>
        <v/>
      </c>
      <c r="H19" s="219" t="str">
        <f>IFERROR(Tab_Compteur_7[[#This Row],[Montant]]/Tab_Compteur_7[[#This Row],[Delta Jour]],"")</f>
        <v/>
      </c>
      <c r="I19" s="184" t="str">
        <f>IF(SUM(Tab_Compteur_7[[#This Row],[Quantité]],Tab_Compteur_7[[#This Row],[Index]])&lt;=0,"",G19)</f>
        <v/>
      </c>
      <c r="J19" s="185"/>
      <c r="K19" s="823"/>
      <c r="L19" s="823"/>
      <c r="M19" s="823"/>
    </row>
    <row r="20" spans="1:13">
      <c r="A20" s="2">
        <f t="shared" si="1"/>
        <v>1</v>
      </c>
      <c r="B20" s="505"/>
      <c r="C20" s="503"/>
      <c r="D20" s="495"/>
      <c r="E20" s="502"/>
      <c r="F20" s="219">
        <f t="shared" si="0"/>
        <v>0</v>
      </c>
      <c r="G20" s="219" t="str">
        <f>IF(IFERROR(IF(Str_TypeDonneesCpt7=Cpt_Index,Tab_Compteur_7[[#This Row],[Index]]-E19,Tab_Compteur_7[[#This Row],[Quantité]])/Tab_Compteur_7[[#This Row],[Delta Jour]],"")&lt;0,"",IFERROR(IF(Str_TypeDonneesCpt7=Cpt_Index,Tab_Compteur_7[[#This Row],[Index]]-E19,Tab_Compteur_7[[#This Row],[Quantité]])/Tab_Compteur_7[[#This Row],[Delta Jour]],""))</f>
        <v/>
      </c>
      <c r="H20" s="219" t="str">
        <f>IFERROR(Tab_Compteur_7[[#This Row],[Montant]]/Tab_Compteur_7[[#This Row],[Delta Jour]],"")</f>
        <v/>
      </c>
      <c r="I20" s="184" t="str">
        <f>IF(SUM(Tab_Compteur_7[[#This Row],[Quantité]],Tab_Compteur_7[[#This Row],[Index]])&lt;=0,"",G20)</f>
        <v/>
      </c>
      <c r="J20" s="185"/>
      <c r="K20" s="823"/>
      <c r="L20" s="823"/>
      <c r="M20" s="823"/>
    </row>
    <row r="21" spans="1:13">
      <c r="A21" s="2">
        <f t="shared" si="1"/>
        <v>1</v>
      </c>
      <c r="B21" s="505"/>
      <c r="C21" s="503"/>
      <c r="D21" s="495"/>
      <c r="E21" s="502"/>
      <c r="F21" s="219">
        <f t="shared" si="0"/>
        <v>0</v>
      </c>
      <c r="G21" s="219" t="str">
        <f>IF(IFERROR(IF(Str_TypeDonneesCpt7=Cpt_Index,Tab_Compteur_7[[#This Row],[Index]]-E20,Tab_Compteur_7[[#This Row],[Quantité]])/Tab_Compteur_7[[#This Row],[Delta Jour]],"")&lt;0,"",IFERROR(IF(Str_TypeDonneesCpt7=Cpt_Index,Tab_Compteur_7[[#This Row],[Index]]-E20,Tab_Compteur_7[[#This Row],[Quantité]])/Tab_Compteur_7[[#This Row],[Delta Jour]],""))</f>
        <v/>
      </c>
      <c r="H21" s="219" t="str">
        <f>IFERROR(Tab_Compteur_7[[#This Row],[Montant]]/Tab_Compteur_7[[#This Row],[Delta Jour]],"")</f>
        <v/>
      </c>
      <c r="I21" s="184" t="str">
        <f>IF(SUM(Tab_Compteur_7[[#This Row],[Quantité]],Tab_Compteur_7[[#This Row],[Index]])&lt;=0,"",G21)</f>
        <v/>
      </c>
      <c r="J21" s="185"/>
      <c r="K21" s="823"/>
      <c r="L21" s="823"/>
      <c r="M21" s="823"/>
    </row>
    <row r="22" spans="1:13">
      <c r="A22" s="2">
        <f t="shared" si="1"/>
        <v>1</v>
      </c>
      <c r="B22" s="505"/>
      <c r="C22" s="503"/>
      <c r="D22" s="495"/>
      <c r="E22" s="502"/>
      <c r="F22" s="219">
        <f t="shared" si="0"/>
        <v>0</v>
      </c>
      <c r="G22" s="219" t="str">
        <f>IF(IFERROR(IF(Str_TypeDonneesCpt7=Cpt_Index,Tab_Compteur_7[[#This Row],[Index]]-E21,Tab_Compteur_7[[#This Row],[Quantité]])/Tab_Compteur_7[[#This Row],[Delta Jour]],"")&lt;0,"",IFERROR(IF(Str_TypeDonneesCpt7=Cpt_Index,Tab_Compteur_7[[#This Row],[Index]]-E21,Tab_Compteur_7[[#This Row],[Quantité]])/Tab_Compteur_7[[#This Row],[Delta Jour]],""))</f>
        <v/>
      </c>
      <c r="H22" s="219" t="str">
        <f>IFERROR(Tab_Compteur_7[[#This Row],[Montant]]/Tab_Compteur_7[[#This Row],[Delta Jour]],"")</f>
        <v/>
      </c>
      <c r="I22" s="184" t="str">
        <f>IF(SUM(Tab_Compteur_7[[#This Row],[Quantité]],Tab_Compteur_7[[#This Row],[Index]])&lt;=0,"",G22)</f>
        <v/>
      </c>
      <c r="J22" s="185"/>
      <c r="K22" s="823"/>
      <c r="L22" s="823"/>
      <c r="M22" s="823"/>
    </row>
    <row r="23" spans="1:13">
      <c r="A23" s="2">
        <f t="shared" si="1"/>
        <v>1</v>
      </c>
      <c r="B23" s="505"/>
      <c r="C23" s="503"/>
      <c r="D23" s="495"/>
      <c r="E23" s="502"/>
      <c r="F23" s="219">
        <f t="shared" si="0"/>
        <v>0</v>
      </c>
      <c r="G23" s="219" t="str">
        <f>IF(IFERROR(IF(Str_TypeDonneesCpt7=Cpt_Index,Tab_Compteur_7[[#This Row],[Index]]-E22,Tab_Compteur_7[[#This Row],[Quantité]])/Tab_Compteur_7[[#This Row],[Delta Jour]],"")&lt;0,"",IFERROR(IF(Str_TypeDonneesCpt7=Cpt_Index,Tab_Compteur_7[[#This Row],[Index]]-E22,Tab_Compteur_7[[#This Row],[Quantité]])/Tab_Compteur_7[[#This Row],[Delta Jour]],""))</f>
        <v/>
      </c>
      <c r="H23" s="219" t="str">
        <f>IFERROR(Tab_Compteur_7[[#This Row],[Montant]]/Tab_Compteur_7[[#This Row],[Delta Jour]],"")</f>
        <v/>
      </c>
      <c r="I23" s="184" t="str">
        <f>IF(SUM(Tab_Compteur_7[[#This Row],[Quantité]],Tab_Compteur_7[[#This Row],[Index]])&lt;=0,"",G23)</f>
        <v/>
      </c>
      <c r="J23" s="185"/>
      <c r="K23" s="823"/>
      <c r="L23" s="823"/>
      <c r="M23" s="823"/>
    </row>
    <row r="24" spans="1:13">
      <c r="A24" s="2">
        <f t="shared" si="1"/>
        <v>1</v>
      </c>
      <c r="B24" s="505"/>
      <c r="C24" s="503"/>
      <c r="D24" s="495"/>
      <c r="E24" s="502"/>
      <c r="F24" s="219">
        <f t="shared" si="0"/>
        <v>0</v>
      </c>
      <c r="G24" s="219" t="str">
        <f>IF(IFERROR(IF(Str_TypeDonneesCpt7=Cpt_Index,Tab_Compteur_7[[#This Row],[Index]]-E23,Tab_Compteur_7[[#This Row],[Quantité]])/Tab_Compteur_7[[#This Row],[Delta Jour]],"")&lt;0,"",IFERROR(IF(Str_TypeDonneesCpt7=Cpt_Index,Tab_Compteur_7[[#This Row],[Index]]-E23,Tab_Compteur_7[[#This Row],[Quantité]])/Tab_Compteur_7[[#This Row],[Delta Jour]],""))</f>
        <v/>
      </c>
      <c r="H24" s="219" t="str">
        <f>IFERROR(Tab_Compteur_7[[#This Row],[Montant]]/Tab_Compteur_7[[#This Row],[Delta Jour]],"")</f>
        <v/>
      </c>
      <c r="I24" s="184" t="str">
        <f>IF(SUM(Tab_Compteur_7[[#This Row],[Quantité]],Tab_Compteur_7[[#This Row],[Index]])&lt;=0,"",G24)</f>
        <v/>
      </c>
      <c r="J24" s="185"/>
      <c r="K24" s="823"/>
      <c r="L24" s="823"/>
      <c r="M24" s="823"/>
    </row>
    <row r="25" spans="1:13">
      <c r="A25" s="2">
        <f t="shared" si="1"/>
        <v>1</v>
      </c>
      <c r="B25" s="505"/>
      <c r="C25" s="503"/>
      <c r="D25" s="495"/>
      <c r="E25" s="502"/>
      <c r="F25" s="219">
        <f t="shared" si="0"/>
        <v>0</v>
      </c>
      <c r="G25" s="219" t="str">
        <f>IF(IFERROR(IF(Str_TypeDonneesCpt7=Cpt_Index,Tab_Compteur_7[[#This Row],[Index]]-E24,Tab_Compteur_7[[#This Row],[Quantité]])/Tab_Compteur_7[[#This Row],[Delta Jour]],"")&lt;0,"",IFERROR(IF(Str_TypeDonneesCpt7=Cpt_Index,Tab_Compteur_7[[#This Row],[Index]]-E24,Tab_Compteur_7[[#This Row],[Quantité]])/Tab_Compteur_7[[#This Row],[Delta Jour]],""))</f>
        <v/>
      </c>
      <c r="H25" s="219" t="str">
        <f>IFERROR(Tab_Compteur_7[[#This Row],[Montant]]/Tab_Compteur_7[[#This Row],[Delta Jour]],"")</f>
        <v/>
      </c>
      <c r="I25" s="184" t="str">
        <f>IF(SUM(Tab_Compteur_7[[#This Row],[Quantité]],Tab_Compteur_7[[#This Row],[Index]])&lt;=0,"",G25)</f>
        <v/>
      </c>
      <c r="J25" s="185"/>
      <c r="K25" s="823"/>
      <c r="L25" s="823"/>
      <c r="M25" s="823"/>
    </row>
    <row r="26" spans="1:13">
      <c r="A26" s="2">
        <f t="shared" si="1"/>
        <v>1</v>
      </c>
      <c r="B26" s="505"/>
      <c r="C26" s="503"/>
      <c r="D26" s="495"/>
      <c r="E26" s="502"/>
      <c r="F26" s="219">
        <f t="shared" si="0"/>
        <v>0</v>
      </c>
      <c r="G26" s="219" t="str">
        <f>IF(IFERROR(IF(Str_TypeDonneesCpt7=Cpt_Index,Tab_Compteur_7[[#This Row],[Index]]-E25,Tab_Compteur_7[[#This Row],[Quantité]])/Tab_Compteur_7[[#This Row],[Delta Jour]],"")&lt;0,"",IFERROR(IF(Str_TypeDonneesCpt7=Cpt_Index,Tab_Compteur_7[[#This Row],[Index]]-E25,Tab_Compteur_7[[#This Row],[Quantité]])/Tab_Compteur_7[[#This Row],[Delta Jour]],""))</f>
        <v/>
      </c>
      <c r="H26" s="219" t="str">
        <f>IFERROR(Tab_Compteur_7[[#This Row],[Montant]]/Tab_Compteur_7[[#This Row],[Delta Jour]],"")</f>
        <v/>
      </c>
      <c r="I26" s="184" t="str">
        <f>IF(SUM(Tab_Compteur_7[[#This Row],[Quantité]],Tab_Compteur_7[[#This Row],[Index]])&lt;=0,"",G26)</f>
        <v/>
      </c>
      <c r="J26" s="185"/>
      <c r="K26" s="823"/>
      <c r="L26" s="823"/>
      <c r="M26" s="823"/>
    </row>
    <row r="27" spans="1:13">
      <c r="A27" s="2">
        <f t="shared" si="1"/>
        <v>1</v>
      </c>
      <c r="B27" s="505"/>
      <c r="C27" s="503"/>
      <c r="D27" s="495"/>
      <c r="E27" s="502"/>
      <c r="F27" s="219">
        <f t="shared" si="0"/>
        <v>0</v>
      </c>
      <c r="G27" s="219" t="str">
        <f>IF(IFERROR(IF(Str_TypeDonneesCpt7=Cpt_Index,Tab_Compteur_7[[#This Row],[Index]]-E26,Tab_Compteur_7[[#This Row],[Quantité]])/Tab_Compteur_7[[#This Row],[Delta Jour]],"")&lt;0,"",IFERROR(IF(Str_TypeDonneesCpt7=Cpt_Index,Tab_Compteur_7[[#This Row],[Index]]-E26,Tab_Compteur_7[[#This Row],[Quantité]])/Tab_Compteur_7[[#This Row],[Delta Jour]],""))</f>
        <v/>
      </c>
      <c r="H27" s="219" t="str">
        <f>IFERROR(Tab_Compteur_7[[#This Row],[Montant]]/Tab_Compteur_7[[#This Row],[Delta Jour]],"")</f>
        <v/>
      </c>
      <c r="I27" s="184" t="str">
        <f>IF(SUM(Tab_Compteur_7[[#This Row],[Quantité]],Tab_Compteur_7[[#This Row],[Index]])&lt;=0,"",G27)</f>
        <v/>
      </c>
      <c r="J27" s="185"/>
      <c r="K27" s="823"/>
      <c r="L27" s="823"/>
      <c r="M27" s="823"/>
    </row>
    <row r="28" spans="1:13">
      <c r="A28" s="2">
        <f t="shared" si="1"/>
        <v>1</v>
      </c>
      <c r="B28" s="505"/>
      <c r="C28" s="503"/>
      <c r="D28" s="495"/>
      <c r="E28" s="502"/>
      <c r="F28" s="219">
        <f t="shared" si="0"/>
        <v>0</v>
      </c>
      <c r="G28" s="219" t="str">
        <f>IF(IFERROR(IF(Str_TypeDonneesCpt7=Cpt_Index,Tab_Compteur_7[[#This Row],[Index]]-E27,Tab_Compteur_7[[#This Row],[Quantité]])/Tab_Compteur_7[[#This Row],[Delta Jour]],"")&lt;0,"",IFERROR(IF(Str_TypeDonneesCpt7=Cpt_Index,Tab_Compteur_7[[#This Row],[Index]]-E27,Tab_Compteur_7[[#This Row],[Quantité]])/Tab_Compteur_7[[#This Row],[Delta Jour]],""))</f>
        <v/>
      </c>
      <c r="H28" s="219" t="str">
        <f>IFERROR(Tab_Compteur_7[[#This Row],[Montant]]/Tab_Compteur_7[[#This Row],[Delta Jour]],"")</f>
        <v/>
      </c>
      <c r="I28" s="184" t="str">
        <f>IF(SUM(Tab_Compteur_7[[#This Row],[Quantité]],Tab_Compteur_7[[#This Row],[Index]])&lt;=0,"",G28)</f>
        <v/>
      </c>
      <c r="J28" s="185"/>
      <c r="K28" s="823"/>
      <c r="L28" s="823"/>
      <c r="M28" s="823"/>
    </row>
    <row r="29" spans="1:13">
      <c r="A29" s="2">
        <f t="shared" si="1"/>
        <v>1</v>
      </c>
      <c r="B29" s="505"/>
      <c r="C29" s="503"/>
      <c r="D29" s="495"/>
      <c r="E29" s="502"/>
      <c r="F29" s="219">
        <f t="shared" si="0"/>
        <v>0</v>
      </c>
      <c r="G29" s="219" t="str">
        <f>IF(IFERROR(IF(Str_TypeDonneesCpt7=Cpt_Index,Tab_Compteur_7[[#This Row],[Index]]-E28,Tab_Compteur_7[[#This Row],[Quantité]])/Tab_Compteur_7[[#This Row],[Delta Jour]],"")&lt;0,"",IFERROR(IF(Str_TypeDonneesCpt7=Cpt_Index,Tab_Compteur_7[[#This Row],[Index]]-E28,Tab_Compteur_7[[#This Row],[Quantité]])/Tab_Compteur_7[[#This Row],[Delta Jour]],""))</f>
        <v/>
      </c>
      <c r="H29" s="219" t="str">
        <f>IFERROR(Tab_Compteur_7[[#This Row],[Montant]]/Tab_Compteur_7[[#This Row],[Delta Jour]],"")</f>
        <v/>
      </c>
      <c r="I29" s="184" t="str">
        <f>IF(SUM(Tab_Compteur_7[[#This Row],[Quantité]],Tab_Compteur_7[[#This Row],[Index]])&lt;=0,"",G29)</f>
        <v/>
      </c>
      <c r="J29" s="185"/>
      <c r="K29" s="823"/>
      <c r="L29" s="823"/>
      <c r="M29" s="823"/>
    </row>
    <row r="30" spans="1:13">
      <c r="A30" s="2">
        <f t="shared" si="1"/>
        <v>1</v>
      </c>
      <c r="B30" s="505"/>
      <c r="C30" s="503"/>
      <c r="D30" s="495"/>
      <c r="E30" s="502"/>
      <c r="F30" s="219">
        <f t="shared" si="0"/>
        <v>0</v>
      </c>
      <c r="G30" s="219" t="str">
        <f>IF(IFERROR(IF(Str_TypeDonneesCpt7=Cpt_Index,Tab_Compteur_7[[#This Row],[Index]]-E29,Tab_Compteur_7[[#This Row],[Quantité]])/Tab_Compteur_7[[#This Row],[Delta Jour]],"")&lt;0,"",IFERROR(IF(Str_TypeDonneesCpt7=Cpt_Index,Tab_Compteur_7[[#This Row],[Index]]-E29,Tab_Compteur_7[[#This Row],[Quantité]])/Tab_Compteur_7[[#This Row],[Delta Jour]],""))</f>
        <v/>
      </c>
      <c r="H30" s="219" t="str">
        <f>IFERROR(Tab_Compteur_7[[#This Row],[Montant]]/Tab_Compteur_7[[#This Row],[Delta Jour]],"")</f>
        <v/>
      </c>
      <c r="I30" s="184" t="str">
        <f>IF(SUM(Tab_Compteur_7[[#This Row],[Quantité]],Tab_Compteur_7[[#This Row],[Index]])&lt;=0,"",G30)</f>
        <v/>
      </c>
      <c r="J30" s="185"/>
      <c r="K30" s="823"/>
      <c r="L30" s="823"/>
      <c r="M30" s="823"/>
    </row>
    <row r="31" spans="1:13">
      <c r="A31" s="2">
        <f t="shared" si="1"/>
        <v>1</v>
      </c>
      <c r="B31" s="505"/>
      <c r="C31" s="503"/>
      <c r="D31" s="495"/>
      <c r="E31" s="502"/>
      <c r="F31" s="219">
        <f t="shared" si="0"/>
        <v>0</v>
      </c>
      <c r="G31" s="219" t="str">
        <f>IF(IFERROR(IF(Str_TypeDonneesCpt7=Cpt_Index,Tab_Compteur_7[[#This Row],[Index]]-E30,Tab_Compteur_7[[#This Row],[Quantité]])/Tab_Compteur_7[[#This Row],[Delta Jour]],"")&lt;0,"",IFERROR(IF(Str_TypeDonneesCpt7=Cpt_Index,Tab_Compteur_7[[#This Row],[Index]]-E30,Tab_Compteur_7[[#This Row],[Quantité]])/Tab_Compteur_7[[#This Row],[Delta Jour]],""))</f>
        <v/>
      </c>
      <c r="H31" s="219" t="str">
        <f>IFERROR(Tab_Compteur_7[[#This Row],[Montant]]/Tab_Compteur_7[[#This Row],[Delta Jour]],"")</f>
        <v/>
      </c>
      <c r="I31" s="184" t="str">
        <f>IF(SUM(Tab_Compteur_7[[#This Row],[Quantité]],Tab_Compteur_7[[#This Row],[Index]])&lt;=0,"",G31)</f>
        <v/>
      </c>
      <c r="J31" s="185"/>
      <c r="K31" s="823"/>
      <c r="L31" s="823"/>
      <c r="M31" s="823"/>
    </row>
    <row r="32" spans="1:13">
      <c r="A32" s="2">
        <f t="shared" si="1"/>
        <v>1</v>
      </c>
      <c r="B32" s="505"/>
      <c r="C32" s="503"/>
      <c r="D32" s="495"/>
      <c r="E32" s="502"/>
      <c r="F32" s="219">
        <f t="shared" si="0"/>
        <v>0</v>
      </c>
      <c r="G32" s="219" t="str">
        <f>IF(IFERROR(IF(Str_TypeDonneesCpt7=Cpt_Index,Tab_Compteur_7[[#This Row],[Index]]-E31,Tab_Compteur_7[[#This Row],[Quantité]])/Tab_Compteur_7[[#This Row],[Delta Jour]],"")&lt;0,"",IFERROR(IF(Str_TypeDonneesCpt7=Cpt_Index,Tab_Compteur_7[[#This Row],[Index]]-E31,Tab_Compteur_7[[#This Row],[Quantité]])/Tab_Compteur_7[[#This Row],[Delta Jour]],""))</f>
        <v/>
      </c>
      <c r="H32" s="219" t="str">
        <f>IFERROR(Tab_Compteur_7[[#This Row],[Montant]]/Tab_Compteur_7[[#This Row],[Delta Jour]],"")</f>
        <v/>
      </c>
      <c r="I32" s="184" t="str">
        <f>IF(SUM(Tab_Compteur_7[[#This Row],[Quantité]],Tab_Compteur_7[[#This Row],[Index]])&lt;=0,"",G32)</f>
        <v/>
      </c>
      <c r="J32" s="185"/>
      <c r="K32" s="823"/>
      <c r="L32" s="823"/>
      <c r="M32" s="823"/>
    </row>
    <row r="33" spans="1:13">
      <c r="A33" s="2">
        <f t="shared" si="1"/>
        <v>1</v>
      </c>
      <c r="B33" s="505"/>
      <c r="C33" s="503"/>
      <c r="D33" s="495"/>
      <c r="E33" s="502"/>
      <c r="F33" s="219">
        <f t="shared" si="0"/>
        <v>0</v>
      </c>
      <c r="G33" s="219" t="str">
        <f>IF(IFERROR(IF(Str_TypeDonneesCpt7=Cpt_Index,Tab_Compteur_7[[#This Row],[Index]]-E32,Tab_Compteur_7[[#This Row],[Quantité]])/Tab_Compteur_7[[#This Row],[Delta Jour]],"")&lt;0,"",IFERROR(IF(Str_TypeDonneesCpt7=Cpt_Index,Tab_Compteur_7[[#This Row],[Index]]-E32,Tab_Compteur_7[[#This Row],[Quantité]])/Tab_Compteur_7[[#This Row],[Delta Jour]],""))</f>
        <v/>
      </c>
      <c r="H33" s="219" t="str">
        <f>IFERROR(Tab_Compteur_7[[#This Row],[Montant]]/Tab_Compteur_7[[#This Row],[Delta Jour]],"")</f>
        <v/>
      </c>
      <c r="I33" s="184" t="str">
        <f>IF(SUM(Tab_Compteur_7[[#This Row],[Quantité]],Tab_Compteur_7[[#This Row],[Index]])&lt;=0,"",G33)</f>
        <v/>
      </c>
      <c r="J33" s="185"/>
      <c r="K33" s="823"/>
      <c r="L33" s="823"/>
      <c r="M33" s="823"/>
    </row>
    <row r="34" spans="1:13">
      <c r="A34" s="2">
        <f t="shared" si="1"/>
        <v>1</v>
      </c>
      <c r="B34" s="505"/>
      <c r="C34" s="503"/>
      <c r="D34" s="495"/>
      <c r="E34" s="502"/>
      <c r="F34" s="219">
        <f t="shared" si="0"/>
        <v>0</v>
      </c>
      <c r="G34" s="219" t="str">
        <f>IF(IFERROR(IF(Str_TypeDonneesCpt7=Cpt_Index,Tab_Compteur_7[[#This Row],[Index]]-E33,Tab_Compteur_7[[#This Row],[Quantité]])/Tab_Compteur_7[[#This Row],[Delta Jour]],"")&lt;0,"",IFERROR(IF(Str_TypeDonneesCpt7=Cpt_Index,Tab_Compteur_7[[#This Row],[Index]]-E33,Tab_Compteur_7[[#This Row],[Quantité]])/Tab_Compteur_7[[#This Row],[Delta Jour]],""))</f>
        <v/>
      </c>
      <c r="H34" s="219" t="str">
        <f>IFERROR(Tab_Compteur_7[[#This Row],[Montant]]/Tab_Compteur_7[[#This Row],[Delta Jour]],"")</f>
        <v/>
      </c>
      <c r="I34" s="184" t="str">
        <f>IF(SUM(Tab_Compteur_7[[#This Row],[Quantité]],Tab_Compteur_7[[#This Row],[Index]])&lt;=0,"",G34)</f>
        <v/>
      </c>
      <c r="J34" s="185"/>
      <c r="K34" s="36"/>
      <c r="L34" s="36"/>
      <c r="M34" s="36"/>
    </row>
    <row r="35" spans="1:13">
      <c r="A35" s="2">
        <f t="shared" si="1"/>
        <v>1</v>
      </c>
      <c r="B35" s="505"/>
      <c r="C35" s="503"/>
      <c r="D35" s="495"/>
      <c r="E35" s="502"/>
      <c r="F35" s="219">
        <f t="shared" si="0"/>
        <v>0</v>
      </c>
      <c r="G35" s="219" t="str">
        <f>IF(IFERROR(IF(Str_TypeDonneesCpt7=Cpt_Index,Tab_Compteur_7[[#This Row],[Index]]-E34,Tab_Compteur_7[[#This Row],[Quantité]])/Tab_Compteur_7[[#This Row],[Delta Jour]],"")&lt;0,"",IFERROR(IF(Str_TypeDonneesCpt7=Cpt_Index,Tab_Compteur_7[[#This Row],[Index]]-E34,Tab_Compteur_7[[#This Row],[Quantité]])/Tab_Compteur_7[[#This Row],[Delta Jour]],""))</f>
        <v/>
      </c>
      <c r="H35" s="219" t="str">
        <f>IFERROR(Tab_Compteur_7[[#This Row],[Montant]]/Tab_Compteur_7[[#This Row],[Delta Jour]],"")</f>
        <v/>
      </c>
      <c r="I35" s="184" t="str">
        <f>IF(SUM(Tab_Compteur_7[[#This Row],[Quantité]],Tab_Compteur_7[[#This Row],[Index]])&lt;=0,"",G35)</f>
        <v/>
      </c>
      <c r="J35" s="185"/>
      <c r="K35" s="36"/>
      <c r="L35" s="36"/>
      <c r="M35" s="36"/>
    </row>
    <row r="36" spans="1:13">
      <c r="A36" s="2">
        <f t="shared" si="1"/>
        <v>1</v>
      </c>
      <c r="B36" s="505"/>
      <c r="C36" s="503"/>
      <c r="D36" s="495"/>
      <c r="E36" s="502"/>
      <c r="F36" s="219">
        <f t="shared" si="0"/>
        <v>0</v>
      </c>
      <c r="G36" s="219" t="str">
        <f>IF(IFERROR(IF(Str_TypeDonneesCpt7=Cpt_Index,Tab_Compteur_7[[#This Row],[Index]]-E35,Tab_Compteur_7[[#This Row],[Quantité]])/Tab_Compteur_7[[#This Row],[Delta Jour]],"")&lt;0,"",IFERROR(IF(Str_TypeDonneesCpt7=Cpt_Index,Tab_Compteur_7[[#This Row],[Index]]-E35,Tab_Compteur_7[[#This Row],[Quantité]])/Tab_Compteur_7[[#This Row],[Delta Jour]],""))</f>
        <v/>
      </c>
      <c r="H36" s="219" t="str">
        <f>IFERROR(Tab_Compteur_7[[#This Row],[Montant]]/Tab_Compteur_7[[#This Row],[Delta Jour]],"")</f>
        <v/>
      </c>
      <c r="I36" s="184" t="str">
        <f>IF(SUM(Tab_Compteur_7[[#This Row],[Quantité]],Tab_Compteur_7[[#This Row],[Index]])&lt;=0,"",G36)</f>
        <v/>
      </c>
      <c r="J36" s="185"/>
      <c r="K36" s="36"/>
      <c r="L36" s="36"/>
      <c r="M36" s="36"/>
    </row>
    <row r="37" spans="1:13">
      <c r="A37" s="2">
        <f t="shared" si="1"/>
        <v>1</v>
      </c>
      <c r="B37" s="505"/>
      <c r="C37" s="503"/>
      <c r="D37" s="495"/>
      <c r="E37" s="502"/>
      <c r="F37" s="219">
        <f t="shared" si="0"/>
        <v>0</v>
      </c>
      <c r="G37" s="219" t="str">
        <f>IF(IFERROR(IF(Str_TypeDonneesCpt7=Cpt_Index,Tab_Compteur_7[[#This Row],[Index]]-E36,Tab_Compteur_7[[#This Row],[Quantité]])/Tab_Compteur_7[[#This Row],[Delta Jour]],"")&lt;0,"",IFERROR(IF(Str_TypeDonneesCpt7=Cpt_Index,Tab_Compteur_7[[#This Row],[Index]]-E36,Tab_Compteur_7[[#This Row],[Quantité]])/Tab_Compteur_7[[#This Row],[Delta Jour]],""))</f>
        <v/>
      </c>
      <c r="H37" s="219" t="str">
        <f>IFERROR(Tab_Compteur_7[[#This Row],[Montant]]/Tab_Compteur_7[[#This Row],[Delta Jour]],"")</f>
        <v/>
      </c>
      <c r="I37" s="184" t="str">
        <f>IF(SUM(Tab_Compteur_7[[#This Row],[Quantité]],Tab_Compteur_7[[#This Row],[Index]])&lt;=0,"",G37)</f>
        <v/>
      </c>
      <c r="J37" s="185"/>
      <c r="K37" s="36"/>
      <c r="L37" s="36"/>
      <c r="M37" s="36"/>
    </row>
    <row r="38" spans="1:13">
      <c r="A38" s="2">
        <f t="shared" si="1"/>
        <v>1</v>
      </c>
      <c r="B38" s="505"/>
      <c r="C38" s="503"/>
      <c r="D38" s="495"/>
      <c r="E38" s="502"/>
      <c r="F38" s="219">
        <f t="shared" si="0"/>
        <v>0</v>
      </c>
      <c r="G38" s="219" t="str">
        <f>IF(IFERROR(IF(Str_TypeDonneesCpt7=Cpt_Index,Tab_Compteur_7[[#This Row],[Index]]-E37,Tab_Compteur_7[[#This Row],[Quantité]])/Tab_Compteur_7[[#This Row],[Delta Jour]],"")&lt;0,"",IFERROR(IF(Str_TypeDonneesCpt7=Cpt_Index,Tab_Compteur_7[[#This Row],[Index]]-E37,Tab_Compteur_7[[#This Row],[Quantité]])/Tab_Compteur_7[[#This Row],[Delta Jour]],""))</f>
        <v/>
      </c>
      <c r="H38" s="219" t="str">
        <f>IFERROR(Tab_Compteur_7[[#This Row],[Montant]]/Tab_Compteur_7[[#This Row],[Delta Jour]],"")</f>
        <v/>
      </c>
      <c r="I38" s="184" t="str">
        <f>IF(SUM(Tab_Compteur_7[[#This Row],[Quantité]],Tab_Compteur_7[[#This Row],[Index]])&lt;=0,"",G38)</f>
        <v/>
      </c>
      <c r="J38" s="185"/>
      <c r="K38" s="36"/>
      <c r="L38" s="36"/>
      <c r="M38" s="36"/>
    </row>
    <row r="39" spans="1:13">
      <c r="A39" s="2">
        <f t="shared" si="1"/>
        <v>1</v>
      </c>
      <c r="B39" s="505"/>
      <c r="C39" s="503"/>
      <c r="D39" s="512"/>
      <c r="E39" s="502"/>
      <c r="F39" s="219">
        <f t="shared" si="0"/>
        <v>0</v>
      </c>
      <c r="G39" s="219" t="str">
        <f>IF(IFERROR(IF(Str_TypeDonneesCpt7=Cpt_Index,Tab_Compteur_7[[#This Row],[Index]]-E38,Tab_Compteur_7[[#This Row],[Quantité]])/Tab_Compteur_7[[#This Row],[Delta Jour]],"")&lt;0,"",IFERROR(IF(Str_TypeDonneesCpt7=Cpt_Index,Tab_Compteur_7[[#This Row],[Index]]-E38,Tab_Compteur_7[[#This Row],[Quantité]])/Tab_Compteur_7[[#This Row],[Delta Jour]],""))</f>
        <v/>
      </c>
      <c r="H39" s="219" t="str">
        <f>IFERROR(Tab_Compteur_7[[#This Row],[Montant]]/Tab_Compteur_7[[#This Row],[Delta Jour]],"")</f>
        <v/>
      </c>
      <c r="I39" s="184" t="str">
        <f>IF(SUM(Tab_Compteur_7[[#This Row],[Quantité]],Tab_Compteur_7[[#This Row],[Index]])&lt;=0,"",G39)</f>
        <v/>
      </c>
      <c r="J39" s="185"/>
      <c r="K39" s="36"/>
      <c r="L39" s="36"/>
      <c r="M39" s="36"/>
    </row>
    <row r="40" spans="1:13">
      <c r="A40" s="2">
        <f t="shared" si="1"/>
        <v>1</v>
      </c>
      <c r="B40" s="505"/>
      <c r="C40" s="503"/>
      <c r="D40" s="512"/>
      <c r="E40" s="502"/>
      <c r="F40" s="219">
        <f t="shared" si="0"/>
        <v>0</v>
      </c>
      <c r="G40" s="219" t="str">
        <f>IF(IFERROR(IF(Str_TypeDonneesCpt7=Cpt_Index,Tab_Compteur_7[[#This Row],[Index]]-E39,Tab_Compteur_7[[#This Row],[Quantité]])/Tab_Compteur_7[[#This Row],[Delta Jour]],"")&lt;0,"",IFERROR(IF(Str_TypeDonneesCpt7=Cpt_Index,Tab_Compteur_7[[#This Row],[Index]]-E39,Tab_Compteur_7[[#This Row],[Quantité]])/Tab_Compteur_7[[#This Row],[Delta Jour]],""))</f>
        <v/>
      </c>
      <c r="H40" s="219" t="str">
        <f>IFERROR(Tab_Compteur_7[[#This Row],[Montant]]/Tab_Compteur_7[[#This Row],[Delta Jour]],"")</f>
        <v/>
      </c>
      <c r="I40" s="184" t="str">
        <f>IF(SUM(Tab_Compteur_7[[#This Row],[Quantité]],Tab_Compteur_7[[#This Row],[Index]])&lt;=0,"",G40)</f>
        <v/>
      </c>
      <c r="J40" s="185"/>
      <c r="K40" s="36"/>
      <c r="L40" s="36"/>
      <c r="M40" s="36"/>
    </row>
    <row r="41" spans="1:13">
      <c r="A41" s="2">
        <f t="shared" si="1"/>
        <v>1</v>
      </c>
      <c r="B41" s="505"/>
      <c r="C41" s="503"/>
      <c r="D41" s="512"/>
      <c r="E41" s="502"/>
      <c r="F41" s="219">
        <f t="shared" si="0"/>
        <v>0</v>
      </c>
      <c r="G41" s="219" t="str">
        <f>IF(IFERROR(IF(Str_TypeDonneesCpt7=Cpt_Index,Tab_Compteur_7[[#This Row],[Index]]-E40,Tab_Compteur_7[[#This Row],[Quantité]])/Tab_Compteur_7[[#This Row],[Delta Jour]],"")&lt;0,"",IFERROR(IF(Str_TypeDonneesCpt7=Cpt_Index,Tab_Compteur_7[[#This Row],[Index]]-E40,Tab_Compteur_7[[#This Row],[Quantité]])/Tab_Compteur_7[[#This Row],[Delta Jour]],""))</f>
        <v/>
      </c>
      <c r="H41" s="219" t="str">
        <f>IFERROR(Tab_Compteur_7[[#This Row],[Montant]]/Tab_Compteur_7[[#This Row],[Delta Jour]],"")</f>
        <v/>
      </c>
      <c r="I41" s="184" t="str">
        <f>IF(SUM(Tab_Compteur_7[[#This Row],[Quantité]],Tab_Compteur_7[[#This Row],[Index]])&lt;=0,"",G41)</f>
        <v/>
      </c>
      <c r="J41" s="185"/>
      <c r="K41" s="36"/>
      <c r="L41" s="36"/>
      <c r="M41" s="36"/>
    </row>
    <row r="42" spans="1:13">
      <c r="A42" s="2">
        <f t="shared" si="1"/>
        <v>1</v>
      </c>
      <c r="B42" s="505"/>
      <c r="C42" s="503"/>
      <c r="D42" s="512"/>
      <c r="E42" s="502"/>
      <c r="F42" s="219">
        <f t="shared" si="0"/>
        <v>0</v>
      </c>
      <c r="G42" s="219" t="str">
        <f>IF(IFERROR(IF(Str_TypeDonneesCpt7=Cpt_Index,Tab_Compteur_7[[#This Row],[Index]]-E41,Tab_Compteur_7[[#This Row],[Quantité]])/Tab_Compteur_7[[#This Row],[Delta Jour]],"")&lt;0,"",IFERROR(IF(Str_TypeDonneesCpt7=Cpt_Index,Tab_Compteur_7[[#This Row],[Index]]-E41,Tab_Compteur_7[[#This Row],[Quantité]])/Tab_Compteur_7[[#This Row],[Delta Jour]],""))</f>
        <v/>
      </c>
      <c r="H42" s="219" t="str">
        <f>IFERROR(Tab_Compteur_7[[#This Row],[Montant]]/Tab_Compteur_7[[#This Row],[Delta Jour]],"")</f>
        <v/>
      </c>
      <c r="I42" s="184" t="str">
        <f>IF(SUM(Tab_Compteur_7[[#This Row],[Quantité]],Tab_Compteur_7[[#This Row],[Index]])&lt;=0,"",G42)</f>
        <v/>
      </c>
      <c r="J42" s="185"/>
      <c r="K42" s="36"/>
      <c r="L42" s="36"/>
      <c r="M42" s="36"/>
    </row>
    <row r="43" spans="1:13">
      <c r="A43" s="2">
        <f t="shared" si="1"/>
        <v>1</v>
      </c>
      <c r="B43" s="505"/>
      <c r="C43" s="503"/>
      <c r="D43" s="512"/>
      <c r="E43" s="502"/>
      <c r="F43" s="219">
        <f t="shared" si="0"/>
        <v>0</v>
      </c>
      <c r="G43" s="219" t="str">
        <f>IF(IFERROR(IF(Str_TypeDonneesCpt7=Cpt_Index,Tab_Compteur_7[[#This Row],[Index]]-E42,Tab_Compteur_7[[#This Row],[Quantité]])/Tab_Compteur_7[[#This Row],[Delta Jour]],"")&lt;0,"",IFERROR(IF(Str_TypeDonneesCpt7=Cpt_Index,Tab_Compteur_7[[#This Row],[Index]]-E42,Tab_Compteur_7[[#This Row],[Quantité]])/Tab_Compteur_7[[#This Row],[Delta Jour]],""))</f>
        <v/>
      </c>
      <c r="H43" s="219" t="str">
        <f>IFERROR(Tab_Compteur_7[[#This Row],[Montant]]/Tab_Compteur_7[[#This Row],[Delta Jour]],"")</f>
        <v/>
      </c>
      <c r="I43" s="184" t="str">
        <f>IF(SUM(Tab_Compteur_7[[#This Row],[Quantité]],Tab_Compteur_7[[#This Row],[Index]])&lt;=0,"",G43)</f>
        <v/>
      </c>
      <c r="J43" s="185"/>
      <c r="K43" s="36"/>
      <c r="L43" s="36"/>
      <c r="M43" s="36"/>
    </row>
    <row r="44" spans="1:13">
      <c r="A44" s="2">
        <f t="shared" si="1"/>
        <v>1</v>
      </c>
      <c r="B44" s="505"/>
      <c r="C44" s="503"/>
      <c r="D44" s="512"/>
      <c r="E44" s="502"/>
      <c r="F44" s="219">
        <f t="shared" si="0"/>
        <v>0</v>
      </c>
      <c r="G44" s="219" t="str">
        <f>IF(IFERROR(IF(Str_TypeDonneesCpt7=Cpt_Index,Tab_Compteur_7[[#This Row],[Index]]-E43,Tab_Compteur_7[[#This Row],[Quantité]])/Tab_Compteur_7[[#This Row],[Delta Jour]],"")&lt;0,"",IFERROR(IF(Str_TypeDonneesCpt7=Cpt_Index,Tab_Compteur_7[[#This Row],[Index]]-E43,Tab_Compteur_7[[#This Row],[Quantité]])/Tab_Compteur_7[[#This Row],[Delta Jour]],""))</f>
        <v/>
      </c>
      <c r="H44" s="219" t="str">
        <f>IFERROR(Tab_Compteur_7[[#This Row],[Montant]]/Tab_Compteur_7[[#This Row],[Delta Jour]],"")</f>
        <v/>
      </c>
      <c r="I44" s="184" t="str">
        <f>IF(SUM(Tab_Compteur_7[[#This Row],[Quantité]],Tab_Compteur_7[[#This Row],[Index]])&lt;=0,"",G44)</f>
        <v/>
      </c>
      <c r="J44" s="185"/>
      <c r="K44" s="36"/>
      <c r="L44" s="36"/>
      <c r="M44" s="36"/>
    </row>
    <row r="45" spans="1:13">
      <c r="A45" s="2">
        <f t="shared" si="1"/>
        <v>1</v>
      </c>
      <c r="B45" s="505"/>
      <c r="C45" s="503"/>
      <c r="D45" s="512"/>
      <c r="E45" s="502"/>
      <c r="F45" s="219">
        <f t="shared" si="0"/>
        <v>0</v>
      </c>
      <c r="G45" s="219" t="str">
        <f>IF(IFERROR(IF(Str_TypeDonneesCpt7=Cpt_Index,Tab_Compteur_7[[#This Row],[Index]]-E44,Tab_Compteur_7[[#This Row],[Quantité]])/Tab_Compteur_7[[#This Row],[Delta Jour]],"")&lt;0,"",IFERROR(IF(Str_TypeDonneesCpt7=Cpt_Index,Tab_Compteur_7[[#This Row],[Index]]-E44,Tab_Compteur_7[[#This Row],[Quantité]])/Tab_Compteur_7[[#This Row],[Delta Jour]],""))</f>
        <v/>
      </c>
      <c r="H45" s="219" t="str">
        <f>IFERROR(Tab_Compteur_7[[#This Row],[Montant]]/Tab_Compteur_7[[#This Row],[Delta Jour]],"")</f>
        <v/>
      </c>
      <c r="I45" s="184" t="str">
        <f>IF(SUM(Tab_Compteur_7[[#This Row],[Quantité]],Tab_Compteur_7[[#This Row],[Index]])&lt;=0,"",G45)</f>
        <v/>
      </c>
      <c r="J45" s="185"/>
      <c r="K45" s="36"/>
      <c r="L45" s="36"/>
      <c r="M45" s="36"/>
    </row>
    <row r="46" spans="1:13">
      <c r="A46" s="2">
        <f t="shared" si="1"/>
        <v>1</v>
      </c>
      <c r="B46" s="505"/>
      <c r="C46" s="503"/>
      <c r="D46" s="512"/>
      <c r="E46" s="502"/>
      <c r="F46" s="219">
        <f t="shared" si="0"/>
        <v>0</v>
      </c>
      <c r="G46" s="219" t="str">
        <f>IF(IFERROR(IF(Str_TypeDonneesCpt7=Cpt_Index,Tab_Compteur_7[[#This Row],[Index]]-E45,Tab_Compteur_7[[#This Row],[Quantité]])/Tab_Compteur_7[[#This Row],[Delta Jour]],"")&lt;0,"",IFERROR(IF(Str_TypeDonneesCpt7=Cpt_Index,Tab_Compteur_7[[#This Row],[Index]]-E45,Tab_Compteur_7[[#This Row],[Quantité]])/Tab_Compteur_7[[#This Row],[Delta Jour]],""))</f>
        <v/>
      </c>
      <c r="H46" s="219" t="str">
        <f>IFERROR(Tab_Compteur_7[[#This Row],[Montant]]/Tab_Compteur_7[[#This Row],[Delta Jour]],"")</f>
        <v/>
      </c>
      <c r="I46" s="184" t="str">
        <f>IF(SUM(Tab_Compteur_7[[#This Row],[Quantité]],Tab_Compteur_7[[#This Row],[Index]])&lt;=0,"",G46)</f>
        <v/>
      </c>
      <c r="J46" s="185"/>
      <c r="K46" s="36"/>
      <c r="L46" s="36"/>
      <c r="M46" s="36"/>
    </row>
    <row r="47" spans="1:13">
      <c r="A47" s="2">
        <f t="shared" si="1"/>
        <v>1</v>
      </c>
      <c r="B47" s="505"/>
      <c r="C47" s="503"/>
      <c r="D47" s="512"/>
      <c r="E47" s="502"/>
      <c r="F47" s="219">
        <f t="shared" si="0"/>
        <v>0</v>
      </c>
      <c r="G47" s="219" t="str">
        <f>IF(IFERROR(IF(Str_TypeDonneesCpt7=Cpt_Index,Tab_Compteur_7[[#This Row],[Index]]-E46,Tab_Compteur_7[[#This Row],[Quantité]])/Tab_Compteur_7[[#This Row],[Delta Jour]],"")&lt;0,"",IFERROR(IF(Str_TypeDonneesCpt7=Cpt_Index,Tab_Compteur_7[[#This Row],[Index]]-E46,Tab_Compteur_7[[#This Row],[Quantité]])/Tab_Compteur_7[[#This Row],[Delta Jour]],""))</f>
        <v/>
      </c>
      <c r="H47" s="219" t="str">
        <f>IFERROR(Tab_Compteur_7[[#This Row],[Montant]]/Tab_Compteur_7[[#This Row],[Delta Jour]],"")</f>
        <v/>
      </c>
      <c r="I47" s="184" t="str">
        <f>IF(SUM(Tab_Compteur_7[[#This Row],[Quantité]],Tab_Compteur_7[[#This Row],[Index]])&lt;=0,"",G47)</f>
        <v/>
      </c>
      <c r="J47" s="185"/>
      <c r="K47" s="36"/>
      <c r="L47" s="36"/>
      <c r="M47" s="36"/>
    </row>
    <row r="48" spans="1:13">
      <c r="A48" s="2">
        <f t="shared" si="1"/>
        <v>1</v>
      </c>
      <c r="B48" s="505"/>
      <c r="C48" s="503"/>
      <c r="D48" s="512"/>
      <c r="E48" s="502"/>
      <c r="F48" s="219">
        <f t="shared" si="0"/>
        <v>0</v>
      </c>
      <c r="G48" s="219" t="str">
        <f>IF(IFERROR(IF(Str_TypeDonneesCpt7=Cpt_Index,Tab_Compteur_7[[#This Row],[Index]]-E47,Tab_Compteur_7[[#This Row],[Quantité]])/Tab_Compteur_7[[#This Row],[Delta Jour]],"")&lt;0,"",IFERROR(IF(Str_TypeDonneesCpt7=Cpt_Index,Tab_Compteur_7[[#This Row],[Index]]-E47,Tab_Compteur_7[[#This Row],[Quantité]])/Tab_Compteur_7[[#This Row],[Delta Jour]],""))</f>
        <v/>
      </c>
      <c r="H48" s="219" t="str">
        <f>IFERROR(Tab_Compteur_7[[#This Row],[Montant]]/Tab_Compteur_7[[#This Row],[Delta Jour]],"")</f>
        <v/>
      </c>
      <c r="I48" s="184" t="str">
        <f>IF(SUM(Tab_Compteur_7[[#This Row],[Quantité]],Tab_Compteur_7[[#This Row],[Index]])&lt;=0,"",G48)</f>
        <v/>
      </c>
      <c r="J48" s="185"/>
      <c r="K48" s="36"/>
      <c r="L48" s="36"/>
      <c r="M48" s="36"/>
    </row>
    <row r="49" spans="1:13">
      <c r="A49" s="2">
        <f t="shared" si="1"/>
        <v>1</v>
      </c>
      <c r="B49" s="505"/>
      <c r="C49" s="503"/>
      <c r="D49" s="512"/>
      <c r="E49" s="502"/>
      <c r="F49" s="219">
        <f t="shared" si="0"/>
        <v>0</v>
      </c>
      <c r="G49" s="219" t="str">
        <f>IF(IFERROR(IF(Str_TypeDonneesCpt7=Cpt_Index,Tab_Compteur_7[[#This Row],[Index]]-E48,Tab_Compteur_7[[#This Row],[Quantité]])/Tab_Compteur_7[[#This Row],[Delta Jour]],"")&lt;0,"",IFERROR(IF(Str_TypeDonneesCpt7=Cpt_Index,Tab_Compteur_7[[#This Row],[Index]]-E48,Tab_Compteur_7[[#This Row],[Quantité]])/Tab_Compteur_7[[#This Row],[Delta Jour]],""))</f>
        <v/>
      </c>
      <c r="H49" s="219" t="str">
        <f>IFERROR(Tab_Compteur_7[[#This Row],[Montant]]/Tab_Compteur_7[[#This Row],[Delta Jour]],"")</f>
        <v/>
      </c>
      <c r="I49" s="184" t="str">
        <f>IF(SUM(Tab_Compteur_7[[#This Row],[Quantité]],Tab_Compteur_7[[#This Row],[Index]])&lt;=0,"",G49)</f>
        <v/>
      </c>
      <c r="J49" s="185"/>
      <c r="K49" s="36"/>
      <c r="L49" s="36"/>
      <c r="M49" s="36"/>
    </row>
    <row r="50" spans="1:13">
      <c r="A50" s="2">
        <f t="shared" si="1"/>
        <v>1</v>
      </c>
      <c r="B50" s="505"/>
      <c r="C50" s="503"/>
      <c r="D50" s="512"/>
      <c r="E50" s="502"/>
      <c r="F50" s="219">
        <f t="shared" si="0"/>
        <v>0</v>
      </c>
      <c r="G50" s="219" t="str">
        <f>IF(IFERROR(IF(Str_TypeDonneesCpt7=Cpt_Index,Tab_Compteur_7[[#This Row],[Index]]-E49,Tab_Compteur_7[[#This Row],[Quantité]])/Tab_Compteur_7[[#This Row],[Delta Jour]],"")&lt;0,"",IFERROR(IF(Str_TypeDonneesCpt7=Cpt_Index,Tab_Compteur_7[[#This Row],[Index]]-E49,Tab_Compteur_7[[#This Row],[Quantité]])/Tab_Compteur_7[[#This Row],[Delta Jour]],""))</f>
        <v/>
      </c>
      <c r="H50" s="219" t="str">
        <f>IFERROR(Tab_Compteur_7[[#This Row],[Montant]]/Tab_Compteur_7[[#This Row],[Delta Jour]],"")</f>
        <v/>
      </c>
      <c r="I50" s="184" t="str">
        <f>IF(SUM(Tab_Compteur_7[[#This Row],[Quantité]],Tab_Compteur_7[[#This Row],[Index]])&lt;=0,"",G50)</f>
        <v/>
      </c>
      <c r="J50" s="185"/>
      <c r="K50" s="36"/>
      <c r="L50" s="36"/>
      <c r="M50" s="36"/>
    </row>
    <row r="51" spans="1:13">
      <c r="A51" s="2">
        <f t="shared" si="1"/>
        <v>1</v>
      </c>
      <c r="B51" s="505"/>
      <c r="C51" s="503"/>
      <c r="D51" s="512"/>
      <c r="E51" s="502"/>
      <c r="F51" s="219">
        <f t="shared" si="0"/>
        <v>0</v>
      </c>
      <c r="G51" s="219" t="str">
        <f>IF(IFERROR(IF(Str_TypeDonneesCpt7=Cpt_Index,Tab_Compteur_7[[#This Row],[Index]]-E50,Tab_Compteur_7[[#This Row],[Quantité]])/Tab_Compteur_7[[#This Row],[Delta Jour]],"")&lt;0,"",IFERROR(IF(Str_TypeDonneesCpt7=Cpt_Index,Tab_Compteur_7[[#This Row],[Index]]-E50,Tab_Compteur_7[[#This Row],[Quantité]])/Tab_Compteur_7[[#This Row],[Delta Jour]],""))</f>
        <v/>
      </c>
      <c r="H51" s="219" t="str">
        <f>IFERROR(Tab_Compteur_7[[#This Row],[Montant]]/Tab_Compteur_7[[#This Row],[Delta Jour]],"")</f>
        <v/>
      </c>
      <c r="I51" s="184" t="str">
        <f>IF(SUM(Tab_Compteur_7[[#This Row],[Quantité]],Tab_Compteur_7[[#This Row],[Index]])&lt;=0,"",G51)</f>
        <v/>
      </c>
      <c r="J51" s="185"/>
      <c r="K51" s="36"/>
      <c r="L51" s="36"/>
      <c r="M51" s="36"/>
    </row>
    <row r="52" spans="1:13">
      <c r="A52" s="2">
        <f t="shared" si="1"/>
        <v>1</v>
      </c>
      <c r="B52" s="505"/>
      <c r="C52" s="503"/>
      <c r="D52" s="512"/>
      <c r="E52" s="502"/>
      <c r="F52" s="219">
        <f t="shared" si="0"/>
        <v>0</v>
      </c>
      <c r="G52" s="219" t="str">
        <f>IF(IFERROR(IF(Str_TypeDonneesCpt7=Cpt_Index,Tab_Compteur_7[[#This Row],[Index]]-E51,Tab_Compteur_7[[#This Row],[Quantité]])/Tab_Compteur_7[[#This Row],[Delta Jour]],"")&lt;0,"",IFERROR(IF(Str_TypeDonneesCpt7=Cpt_Index,Tab_Compteur_7[[#This Row],[Index]]-E51,Tab_Compteur_7[[#This Row],[Quantité]])/Tab_Compteur_7[[#This Row],[Delta Jour]],""))</f>
        <v/>
      </c>
      <c r="H52" s="219" t="str">
        <f>IFERROR(Tab_Compteur_7[[#This Row],[Montant]]/Tab_Compteur_7[[#This Row],[Delta Jour]],"")</f>
        <v/>
      </c>
      <c r="I52" s="184" t="str">
        <f>IF(SUM(Tab_Compteur_7[[#This Row],[Quantité]],Tab_Compteur_7[[#This Row],[Index]])&lt;=0,"",G52)</f>
        <v/>
      </c>
      <c r="J52" s="185"/>
      <c r="K52" s="36"/>
      <c r="L52" s="36"/>
      <c r="M52" s="36"/>
    </row>
    <row r="53" spans="1:13">
      <c r="A53" s="2">
        <f t="shared" si="1"/>
        <v>1</v>
      </c>
      <c r="B53" s="505"/>
      <c r="C53" s="503"/>
      <c r="D53" s="512"/>
      <c r="E53" s="502"/>
      <c r="F53" s="219">
        <f t="shared" si="0"/>
        <v>0</v>
      </c>
      <c r="G53" s="219" t="str">
        <f>IF(IFERROR(IF(Str_TypeDonneesCpt7=Cpt_Index,Tab_Compteur_7[[#This Row],[Index]]-E52,Tab_Compteur_7[[#This Row],[Quantité]])/Tab_Compteur_7[[#This Row],[Delta Jour]],"")&lt;0,"",IFERROR(IF(Str_TypeDonneesCpt7=Cpt_Index,Tab_Compteur_7[[#This Row],[Index]]-E52,Tab_Compteur_7[[#This Row],[Quantité]])/Tab_Compteur_7[[#This Row],[Delta Jour]],""))</f>
        <v/>
      </c>
      <c r="H53" s="219" t="str">
        <f>IFERROR(Tab_Compteur_7[[#This Row],[Montant]]/Tab_Compteur_7[[#This Row],[Delta Jour]],"")</f>
        <v/>
      </c>
      <c r="I53" s="184" t="str">
        <f>IF(SUM(Tab_Compteur_7[[#This Row],[Quantité]],Tab_Compteur_7[[#This Row],[Index]])&lt;=0,"",G53)</f>
        <v/>
      </c>
      <c r="J53" s="185"/>
      <c r="K53" s="36"/>
      <c r="L53" s="36"/>
      <c r="M53" s="36"/>
    </row>
    <row r="54" spans="1:13">
      <c r="A54" s="2">
        <f t="shared" si="1"/>
        <v>1</v>
      </c>
      <c r="B54" s="505"/>
      <c r="C54" s="503"/>
      <c r="D54" s="512"/>
      <c r="E54" s="502"/>
      <c r="F54" s="219">
        <f t="shared" si="0"/>
        <v>0</v>
      </c>
      <c r="G54" s="219" t="str">
        <f>IF(IFERROR(IF(Str_TypeDonneesCpt7=Cpt_Index,Tab_Compteur_7[[#This Row],[Index]]-E53,Tab_Compteur_7[[#This Row],[Quantité]])/Tab_Compteur_7[[#This Row],[Delta Jour]],"")&lt;0,"",IFERROR(IF(Str_TypeDonneesCpt7=Cpt_Index,Tab_Compteur_7[[#This Row],[Index]]-E53,Tab_Compteur_7[[#This Row],[Quantité]])/Tab_Compteur_7[[#This Row],[Delta Jour]],""))</f>
        <v/>
      </c>
      <c r="H54" s="219" t="str">
        <f>IFERROR(Tab_Compteur_7[[#This Row],[Montant]]/Tab_Compteur_7[[#This Row],[Delta Jour]],"")</f>
        <v/>
      </c>
      <c r="I54" s="184" t="str">
        <f>IF(SUM(Tab_Compteur_7[[#This Row],[Quantité]],Tab_Compteur_7[[#This Row],[Index]])&lt;=0,"",G54)</f>
        <v/>
      </c>
      <c r="J54" s="185"/>
      <c r="K54" s="36"/>
      <c r="L54" s="36"/>
      <c r="M54" s="36"/>
    </row>
    <row r="55" spans="1:13">
      <c r="A55" s="2">
        <f t="shared" si="1"/>
        <v>1</v>
      </c>
      <c r="B55" s="505"/>
      <c r="C55" s="503"/>
      <c r="D55" s="512"/>
      <c r="E55" s="502"/>
      <c r="F55" s="219">
        <f t="shared" si="0"/>
        <v>0</v>
      </c>
      <c r="G55" s="219" t="str">
        <f>IF(IFERROR(IF(Str_TypeDonneesCpt7=Cpt_Index,Tab_Compteur_7[[#This Row],[Index]]-E54,Tab_Compteur_7[[#This Row],[Quantité]])/Tab_Compteur_7[[#This Row],[Delta Jour]],"")&lt;0,"",IFERROR(IF(Str_TypeDonneesCpt7=Cpt_Index,Tab_Compteur_7[[#This Row],[Index]]-E54,Tab_Compteur_7[[#This Row],[Quantité]])/Tab_Compteur_7[[#This Row],[Delta Jour]],""))</f>
        <v/>
      </c>
      <c r="H55" s="219" t="str">
        <f>IFERROR(Tab_Compteur_7[[#This Row],[Montant]]/Tab_Compteur_7[[#This Row],[Delta Jour]],"")</f>
        <v/>
      </c>
      <c r="I55" s="184" t="str">
        <f>IF(SUM(Tab_Compteur_7[[#This Row],[Quantité]],Tab_Compteur_7[[#This Row],[Index]])&lt;=0,"",G55)</f>
        <v/>
      </c>
      <c r="J55" s="185"/>
      <c r="K55" s="36"/>
      <c r="L55" s="36"/>
      <c r="M55" s="36"/>
    </row>
    <row r="56" spans="1:13">
      <c r="A56" s="2">
        <f t="shared" si="1"/>
        <v>1</v>
      </c>
      <c r="B56" s="505"/>
      <c r="C56" s="503"/>
      <c r="D56" s="512"/>
      <c r="E56" s="502"/>
      <c r="F56" s="219">
        <f t="shared" si="0"/>
        <v>0</v>
      </c>
      <c r="G56" s="219" t="str">
        <f>IF(IFERROR(IF(Str_TypeDonneesCpt7=Cpt_Index,Tab_Compteur_7[[#This Row],[Index]]-E55,Tab_Compteur_7[[#This Row],[Quantité]])/Tab_Compteur_7[[#This Row],[Delta Jour]],"")&lt;0,"",IFERROR(IF(Str_TypeDonneesCpt7=Cpt_Index,Tab_Compteur_7[[#This Row],[Index]]-E55,Tab_Compteur_7[[#This Row],[Quantité]])/Tab_Compteur_7[[#This Row],[Delta Jour]],""))</f>
        <v/>
      </c>
      <c r="H56" s="219" t="str">
        <f>IFERROR(Tab_Compteur_7[[#This Row],[Montant]]/Tab_Compteur_7[[#This Row],[Delta Jour]],"")</f>
        <v/>
      </c>
      <c r="I56" s="184" t="str">
        <f>IF(SUM(Tab_Compteur_7[[#This Row],[Quantité]],Tab_Compteur_7[[#This Row],[Index]])&lt;=0,"",G56)</f>
        <v/>
      </c>
      <c r="J56" s="185"/>
      <c r="K56" s="36"/>
      <c r="L56" s="36"/>
      <c r="M56" s="36"/>
    </row>
    <row r="57" spans="1:13">
      <c r="A57" s="2">
        <f t="shared" si="1"/>
        <v>1</v>
      </c>
      <c r="B57" s="505"/>
      <c r="C57" s="503"/>
      <c r="D57" s="512"/>
      <c r="E57" s="502"/>
      <c r="F57" s="219">
        <f t="shared" si="0"/>
        <v>0</v>
      </c>
      <c r="G57" s="219" t="str">
        <f>IF(IFERROR(IF(Str_TypeDonneesCpt7=Cpt_Index,Tab_Compteur_7[[#This Row],[Index]]-E56,Tab_Compteur_7[[#This Row],[Quantité]])/Tab_Compteur_7[[#This Row],[Delta Jour]],"")&lt;0,"",IFERROR(IF(Str_TypeDonneesCpt7=Cpt_Index,Tab_Compteur_7[[#This Row],[Index]]-E56,Tab_Compteur_7[[#This Row],[Quantité]])/Tab_Compteur_7[[#This Row],[Delta Jour]],""))</f>
        <v/>
      </c>
      <c r="H57" s="219" t="str">
        <f>IFERROR(Tab_Compteur_7[[#This Row],[Montant]]/Tab_Compteur_7[[#This Row],[Delta Jour]],"")</f>
        <v/>
      </c>
      <c r="I57" s="184" t="str">
        <f>IF(SUM(Tab_Compteur_7[[#This Row],[Quantité]],Tab_Compteur_7[[#This Row],[Index]])&lt;=0,"",G57)</f>
        <v/>
      </c>
      <c r="J57" s="185"/>
      <c r="K57" s="36"/>
      <c r="L57" s="36"/>
      <c r="M57" s="36"/>
    </row>
    <row r="58" spans="1:13">
      <c r="A58" s="2">
        <f t="shared" si="1"/>
        <v>1</v>
      </c>
      <c r="B58" s="505"/>
      <c r="C58" s="503"/>
      <c r="D58" s="512"/>
      <c r="E58" s="502"/>
      <c r="F58" s="219">
        <f t="shared" si="0"/>
        <v>0</v>
      </c>
      <c r="G58" s="219" t="str">
        <f>IF(IFERROR(IF(Str_TypeDonneesCpt7=Cpt_Index,Tab_Compteur_7[[#This Row],[Index]]-E57,Tab_Compteur_7[[#This Row],[Quantité]])/Tab_Compteur_7[[#This Row],[Delta Jour]],"")&lt;0,"",IFERROR(IF(Str_TypeDonneesCpt7=Cpt_Index,Tab_Compteur_7[[#This Row],[Index]]-E57,Tab_Compteur_7[[#This Row],[Quantité]])/Tab_Compteur_7[[#This Row],[Delta Jour]],""))</f>
        <v/>
      </c>
      <c r="H58" s="219" t="str">
        <f>IFERROR(Tab_Compteur_7[[#This Row],[Montant]]/Tab_Compteur_7[[#This Row],[Delta Jour]],"")</f>
        <v/>
      </c>
      <c r="I58" s="184" t="str">
        <f>IF(SUM(Tab_Compteur_7[[#This Row],[Quantité]],Tab_Compteur_7[[#This Row],[Index]])&lt;=0,"",G58)</f>
        <v/>
      </c>
      <c r="J58" s="185"/>
      <c r="K58" s="36"/>
      <c r="L58" s="36"/>
      <c r="M58" s="36"/>
    </row>
    <row r="59" spans="1:13">
      <c r="A59" s="2">
        <f t="shared" si="1"/>
        <v>1</v>
      </c>
      <c r="B59" s="505"/>
      <c r="C59" s="503"/>
      <c r="D59" s="512"/>
      <c r="E59" s="502"/>
      <c r="F59" s="219">
        <f t="shared" si="0"/>
        <v>0</v>
      </c>
      <c r="G59" s="219" t="str">
        <f>IF(IFERROR(IF(Str_TypeDonneesCpt7=Cpt_Index,Tab_Compteur_7[[#This Row],[Index]]-E58,Tab_Compteur_7[[#This Row],[Quantité]])/Tab_Compteur_7[[#This Row],[Delta Jour]],"")&lt;0,"",IFERROR(IF(Str_TypeDonneesCpt7=Cpt_Index,Tab_Compteur_7[[#This Row],[Index]]-E58,Tab_Compteur_7[[#This Row],[Quantité]])/Tab_Compteur_7[[#This Row],[Delta Jour]],""))</f>
        <v/>
      </c>
      <c r="H59" s="219" t="str">
        <f>IFERROR(Tab_Compteur_7[[#This Row],[Montant]]/Tab_Compteur_7[[#This Row],[Delta Jour]],"")</f>
        <v/>
      </c>
      <c r="I59" s="184" t="str">
        <f>IF(SUM(Tab_Compteur_7[[#This Row],[Quantité]],Tab_Compteur_7[[#This Row],[Index]])&lt;=0,"",G59)</f>
        <v/>
      </c>
      <c r="J59" s="185"/>
      <c r="K59" s="36"/>
      <c r="L59" s="36"/>
      <c r="M59" s="36"/>
    </row>
    <row r="60" spans="1:13">
      <c r="A60" s="2">
        <f t="shared" si="1"/>
        <v>1</v>
      </c>
      <c r="B60" s="505"/>
      <c r="C60" s="503"/>
      <c r="D60" s="491"/>
      <c r="E60" s="502"/>
      <c r="F60" s="219">
        <f t="shared" si="0"/>
        <v>0</v>
      </c>
      <c r="G60" s="219" t="str">
        <f>IF(IFERROR(IF(Str_TypeDonneesCpt7=Cpt_Index,Tab_Compteur_7[[#This Row],[Index]]-E59,Tab_Compteur_7[[#This Row],[Quantité]])/Tab_Compteur_7[[#This Row],[Delta Jour]],"")&lt;0,"",IFERROR(IF(Str_TypeDonneesCpt7=Cpt_Index,Tab_Compteur_7[[#This Row],[Index]]-E59,Tab_Compteur_7[[#This Row],[Quantité]])/Tab_Compteur_7[[#This Row],[Delta Jour]],""))</f>
        <v/>
      </c>
      <c r="H60" s="219" t="str">
        <f>IFERROR(Tab_Compteur_7[[#This Row],[Montant]]/Tab_Compteur_7[[#This Row],[Delta Jour]],"")</f>
        <v/>
      </c>
      <c r="I60" s="184" t="str">
        <f>IF(SUM(Tab_Compteur_7[[#This Row],[Quantité]],Tab_Compteur_7[[#This Row],[Index]])&lt;=0,"",G60)</f>
        <v/>
      </c>
      <c r="J60" s="185"/>
      <c r="K60" s="36"/>
      <c r="L60" s="36"/>
      <c r="M60" s="36"/>
    </row>
    <row r="61" spans="1:13">
      <c r="A61" s="2">
        <f t="shared" si="1"/>
        <v>1</v>
      </c>
      <c r="B61" s="505"/>
      <c r="C61" s="503"/>
      <c r="D61" s="491"/>
      <c r="E61" s="502"/>
      <c r="F61" s="219">
        <f t="shared" si="0"/>
        <v>0</v>
      </c>
      <c r="G61" s="219" t="str">
        <f>IF(IFERROR(IF(Str_TypeDonneesCpt7=Cpt_Index,Tab_Compteur_7[[#This Row],[Index]]-E60,Tab_Compteur_7[[#This Row],[Quantité]])/Tab_Compteur_7[[#This Row],[Delta Jour]],"")&lt;0,"",IFERROR(IF(Str_TypeDonneesCpt7=Cpt_Index,Tab_Compteur_7[[#This Row],[Index]]-E60,Tab_Compteur_7[[#This Row],[Quantité]])/Tab_Compteur_7[[#This Row],[Delta Jour]],""))</f>
        <v/>
      </c>
      <c r="H61" s="219" t="str">
        <f>IFERROR(Tab_Compteur_7[[#This Row],[Montant]]/Tab_Compteur_7[[#This Row],[Delta Jour]],"")</f>
        <v/>
      </c>
      <c r="I61" s="184" t="str">
        <f>IF(SUM(Tab_Compteur_7[[#This Row],[Quantité]],Tab_Compteur_7[[#This Row],[Index]])&lt;=0,"",G61)</f>
        <v/>
      </c>
      <c r="J61" s="185"/>
      <c r="K61" s="36"/>
      <c r="L61" s="36"/>
      <c r="M61" s="36"/>
    </row>
    <row r="62" spans="1:13">
      <c r="A62" s="2">
        <f t="shared" si="1"/>
        <v>1</v>
      </c>
      <c r="B62" s="505"/>
      <c r="C62" s="503"/>
      <c r="D62" s="491"/>
      <c r="E62" s="502"/>
      <c r="F62" s="219">
        <f t="shared" si="0"/>
        <v>0</v>
      </c>
      <c r="G62" s="219" t="str">
        <f>IF(IFERROR(IF(Str_TypeDonneesCpt7=Cpt_Index,Tab_Compteur_7[[#This Row],[Index]]-E61,Tab_Compteur_7[[#This Row],[Quantité]])/Tab_Compteur_7[[#This Row],[Delta Jour]],"")&lt;0,"",IFERROR(IF(Str_TypeDonneesCpt7=Cpt_Index,Tab_Compteur_7[[#This Row],[Index]]-E61,Tab_Compteur_7[[#This Row],[Quantité]])/Tab_Compteur_7[[#This Row],[Delta Jour]],""))</f>
        <v/>
      </c>
      <c r="H62" s="219" t="str">
        <f>IFERROR(Tab_Compteur_7[[#This Row],[Montant]]/Tab_Compteur_7[[#This Row],[Delta Jour]],"")</f>
        <v/>
      </c>
      <c r="I62" s="184" t="str">
        <f>IF(SUM(Tab_Compteur_7[[#This Row],[Quantité]],Tab_Compteur_7[[#This Row],[Index]])&lt;=0,"",G62)</f>
        <v/>
      </c>
      <c r="J62" s="185"/>
      <c r="K62" s="36"/>
      <c r="L62" s="36"/>
      <c r="M62" s="36"/>
    </row>
    <row r="63" spans="1:13">
      <c r="A63" s="2">
        <f t="shared" si="1"/>
        <v>1</v>
      </c>
      <c r="B63" s="505"/>
      <c r="C63" s="503"/>
      <c r="D63" s="491"/>
      <c r="E63" s="502"/>
      <c r="F63" s="219">
        <f t="shared" si="0"/>
        <v>0</v>
      </c>
      <c r="G63" s="219" t="str">
        <f>IF(IFERROR(IF(Str_TypeDonneesCpt7=Cpt_Index,Tab_Compteur_7[[#This Row],[Index]]-E62,Tab_Compteur_7[[#This Row],[Quantité]])/Tab_Compteur_7[[#This Row],[Delta Jour]],"")&lt;0,"",IFERROR(IF(Str_TypeDonneesCpt7=Cpt_Index,Tab_Compteur_7[[#This Row],[Index]]-E62,Tab_Compteur_7[[#This Row],[Quantité]])/Tab_Compteur_7[[#This Row],[Delta Jour]],""))</f>
        <v/>
      </c>
      <c r="H63" s="219" t="str">
        <f>IFERROR(Tab_Compteur_7[[#This Row],[Montant]]/Tab_Compteur_7[[#This Row],[Delta Jour]],"")</f>
        <v/>
      </c>
      <c r="I63" s="184" t="str">
        <f>IF(SUM(Tab_Compteur_7[[#This Row],[Quantité]],Tab_Compteur_7[[#This Row],[Index]])&lt;=0,"",G63)</f>
        <v/>
      </c>
      <c r="J63" s="185"/>
      <c r="K63" s="36"/>
      <c r="L63" s="36"/>
      <c r="M63" s="36"/>
    </row>
    <row r="64" spans="1:13">
      <c r="A64" s="2">
        <f t="shared" si="1"/>
        <v>1</v>
      </c>
      <c r="B64" s="505"/>
      <c r="C64" s="503"/>
      <c r="D64" s="491"/>
      <c r="E64" s="502"/>
      <c r="F64" s="219">
        <f t="shared" si="0"/>
        <v>0</v>
      </c>
      <c r="G64" s="219" t="str">
        <f>IF(IFERROR(IF(Str_TypeDonneesCpt7=Cpt_Index,Tab_Compteur_7[[#This Row],[Index]]-E63,Tab_Compteur_7[[#This Row],[Quantité]])/Tab_Compteur_7[[#This Row],[Delta Jour]],"")&lt;0,"",IFERROR(IF(Str_TypeDonneesCpt7=Cpt_Index,Tab_Compteur_7[[#This Row],[Index]]-E63,Tab_Compteur_7[[#This Row],[Quantité]])/Tab_Compteur_7[[#This Row],[Delta Jour]],""))</f>
        <v/>
      </c>
      <c r="H64" s="219" t="str">
        <f>IFERROR(Tab_Compteur_7[[#This Row],[Montant]]/Tab_Compteur_7[[#This Row],[Delta Jour]],"")</f>
        <v/>
      </c>
      <c r="I64" s="184" t="str">
        <f>IF(SUM(Tab_Compteur_7[[#This Row],[Quantité]],Tab_Compteur_7[[#This Row],[Index]])&lt;=0,"",G64)</f>
        <v/>
      </c>
      <c r="J64" s="185"/>
      <c r="K64" s="36"/>
      <c r="L64" s="36"/>
      <c r="M64" s="36"/>
    </row>
    <row r="65" spans="1:13">
      <c r="A65" s="2">
        <f t="shared" si="1"/>
        <v>1</v>
      </c>
      <c r="B65" s="505"/>
      <c r="C65" s="503"/>
      <c r="D65" s="491"/>
      <c r="E65" s="502"/>
      <c r="F65" s="219">
        <f t="shared" si="0"/>
        <v>0</v>
      </c>
      <c r="G65" s="219" t="str">
        <f>IF(IFERROR(IF(Str_TypeDonneesCpt7=Cpt_Index,Tab_Compteur_7[[#This Row],[Index]]-E64,Tab_Compteur_7[[#This Row],[Quantité]])/Tab_Compteur_7[[#This Row],[Delta Jour]],"")&lt;0,"",IFERROR(IF(Str_TypeDonneesCpt7=Cpt_Index,Tab_Compteur_7[[#This Row],[Index]]-E64,Tab_Compteur_7[[#This Row],[Quantité]])/Tab_Compteur_7[[#This Row],[Delta Jour]],""))</f>
        <v/>
      </c>
      <c r="H65" s="219" t="str">
        <f>IFERROR(Tab_Compteur_7[[#This Row],[Montant]]/Tab_Compteur_7[[#This Row],[Delta Jour]],"")</f>
        <v/>
      </c>
      <c r="I65" s="184" t="str">
        <f>IF(SUM(Tab_Compteur_7[[#This Row],[Quantité]],Tab_Compteur_7[[#This Row],[Index]])&lt;=0,"",G65)</f>
        <v/>
      </c>
      <c r="J65" s="185"/>
      <c r="K65" s="36"/>
      <c r="L65" s="36"/>
      <c r="M65" s="36"/>
    </row>
    <row r="66" spans="1:13">
      <c r="A66" s="2">
        <f t="shared" si="1"/>
        <v>1</v>
      </c>
      <c r="B66" s="505"/>
      <c r="C66" s="503"/>
      <c r="D66" s="491"/>
      <c r="E66" s="502"/>
      <c r="F66" s="219">
        <f t="shared" si="0"/>
        <v>0</v>
      </c>
      <c r="G66" s="219" t="str">
        <f>IF(IFERROR(IF(Str_TypeDonneesCpt7=Cpt_Index,Tab_Compteur_7[[#This Row],[Index]]-E65,Tab_Compteur_7[[#This Row],[Quantité]])/Tab_Compteur_7[[#This Row],[Delta Jour]],"")&lt;0,"",IFERROR(IF(Str_TypeDonneesCpt7=Cpt_Index,Tab_Compteur_7[[#This Row],[Index]]-E65,Tab_Compteur_7[[#This Row],[Quantité]])/Tab_Compteur_7[[#This Row],[Delta Jour]],""))</f>
        <v/>
      </c>
      <c r="H66" s="219" t="str">
        <f>IFERROR(Tab_Compteur_7[[#This Row],[Montant]]/Tab_Compteur_7[[#This Row],[Delta Jour]],"")</f>
        <v/>
      </c>
      <c r="I66" s="184" t="str">
        <f>IF(SUM(Tab_Compteur_7[[#This Row],[Quantité]],Tab_Compteur_7[[#This Row],[Index]])&lt;=0,"",G66)</f>
        <v/>
      </c>
      <c r="J66" s="185"/>
      <c r="K66" s="36"/>
      <c r="L66" s="36"/>
      <c r="M66" s="36"/>
    </row>
    <row r="67" spans="1:13">
      <c r="A67" s="2">
        <f t="shared" si="1"/>
        <v>1</v>
      </c>
      <c r="B67" s="505"/>
      <c r="C67" s="503"/>
      <c r="D67" s="491"/>
      <c r="E67" s="502"/>
      <c r="F67" s="219">
        <f t="shared" ref="F67:F130" si="2">IFERROR(B67-A67+1,"")</f>
        <v>0</v>
      </c>
      <c r="G67" s="219" t="str">
        <f>IF(IFERROR(IF(Str_TypeDonneesCpt7=Cpt_Index,Tab_Compteur_7[[#This Row],[Index]]-E66,Tab_Compteur_7[[#This Row],[Quantité]])/Tab_Compteur_7[[#This Row],[Delta Jour]],"")&lt;0,"",IFERROR(IF(Str_TypeDonneesCpt7=Cpt_Index,Tab_Compteur_7[[#This Row],[Index]]-E66,Tab_Compteur_7[[#This Row],[Quantité]])/Tab_Compteur_7[[#This Row],[Delta Jour]],""))</f>
        <v/>
      </c>
      <c r="H67" s="219" t="str">
        <f>IFERROR(Tab_Compteur_7[[#This Row],[Montant]]/Tab_Compteur_7[[#This Row],[Delta Jour]],"")</f>
        <v/>
      </c>
      <c r="I67" s="184" t="str">
        <f>IF(SUM(Tab_Compteur_7[[#This Row],[Quantité]],Tab_Compteur_7[[#This Row],[Index]])&lt;=0,"",G67)</f>
        <v/>
      </c>
      <c r="J67" s="185"/>
      <c r="K67" s="36"/>
      <c r="L67" s="36"/>
      <c r="M67" s="36"/>
    </row>
    <row r="68" spans="1:13">
      <c r="A68" s="2">
        <f t="shared" si="1"/>
        <v>1</v>
      </c>
      <c r="B68" s="505"/>
      <c r="C68" s="503"/>
      <c r="D68" s="491"/>
      <c r="E68" s="502"/>
      <c r="F68" s="219">
        <f t="shared" si="2"/>
        <v>0</v>
      </c>
      <c r="G68" s="219" t="str">
        <f>IF(IFERROR(IF(Str_TypeDonneesCpt7=Cpt_Index,Tab_Compteur_7[[#This Row],[Index]]-E67,Tab_Compteur_7[[#This Row],[Quantité]])/Tab_Compteur_7[[#This Row],[Delta Jour]],"")&lt;0,"",IFERROR(IF(Str_TypeDonneesCpt7=Cpt_Index,Tab_Compteur_7[[#This Row],[Index]]-E67,Tab_Compteur_7[[#This Row],[Quantité]])/Tab_Compteur_7[[#This Row],[Delta Jour]],""))</f>
        <v/>
      </c>
      <c r="H68" s="219" t="str">
        <f>IFERROR(Tab_Compteur_7[[#This Row],[Montant]]/Tab_Compteur_7[[#This Row],[Delta Jour]],"")</f>
        <v/>
      </c>
      <c r="I68" s="184" t="str">
        <f>IF(SUM(Tab_Compteur_7[[#This Row],[Quantité]],Tab_Compteur_7[[#This Row],[Index]])&lt;=0,"",G68)</f>
        <v/>
      </c>
      <c r="J68" s="185"/>
      <c r="K68" s="36"/>
      <c r="L68" s="36"/>
      <c r="M68" s="36"/>
    </row>
    <row r="69" spans="1:13">
      <c r="A69" s="2">
        <f t="shared" si="1"/>
        <v>1</v>
      </c>
      <c r="B69" s="505"/>
      <c r="C69" s="503"/>
      <c r="D69" s="491"/>
      <c r="E69" s="502"/>
      <c r="F69" s="219">
        <f t="shared" si="2"/>
        <v>0</v>
      </c>
      <c r="G69" s="219" t="str">
        <f>IF(IFERROR(IF(Str_TypeDonneesCpt7=Cpt_Index,Tab_Compteur_7[[#This Row],[Index]]-E68,Tab_Compteur_7[[#This Row],[Quantité]])/Tab_Compteur_7[[#This Row],[Delta Jour]],"")&lt;0,"",IFERROR(IF(Str_TypeDonneesCpt7=Cpt_Index,Tab_Compteur_7[[#This Row],[Index]]-E68,Tab_Compteur_7[[#This Row],[Quantité]])/Tab_Compteur_7[[#This Row],[Delta Jour]],""))</f>
        <v/>
      </c>
      <c r="H69" s="219" t="str">
        <f>IFERROR(Tab_Compteur_7[[#This Row],[Montant]]/Tab_Compteur_7[[#This Row],[Delta Jour]],"")</f>
        <v/>
      </c>
      <c r="I69" s="184" t="str">
        <f>IF(SUM(Tab_Compteur_7[[#This Row],[Quantité]],Tab_Compteur_7[[#This Row],[Index]])&lt;=0,"",G69)</f>
        <v/>
      </c>
      <c r="J69" s="185"/>
      <c r="K69" s="36"/>
      <c r="L69" s="36"/>
      <c r="M69" s="36"/>
    </row>
    <row r="70" spans="1:13">
      <c r="A70" s="2">
        <f t="shared" ref="A70:A133" si="3">IFERROR(B69+1,0)</f>
        <v>1</v>
      </c>
      <c r="B70" s="505"/>
      <c r="C70" s="503"/>
      <c r="D70" s="491"/>
      <c r="E70" s="502"/>
      <c r="F70" s="219">
        <f t="shared" si="2"/>
        <v>0</v>
      </c>
      <c r="G70" s="219" t="str">
        <f>IF(IFERROR(IF(Str_TypeDonneesCpt7=Cpt_Index,Tab_Compteur_7[[#This Row],[Index]]-E69,Tab_Compteur_7[[#This Row],[Quantité]])/Tab_Compteur_7[[#This Row],[Delta Jour]],"")&lt;0,"",IFERROR(IF(Str_TypeDonneesCpt7=Cpt_Index,Tab_Compteur_7[[#This Row],[Index]]-E69,Tab_Compteur_7[[#This Row],[Quantité]])/Tab_Compteur_7[[#This Row],[Delta Jour]],""))</f>
        <v/>
      </c>
      <c r="H70" s="219" t="str">
        <f>IFERROR(Tab_Compteur_7[[#This Row],[Montant]]/Tab_Compteur_7[[#This Row],[Delta Jour]],"")</f>
        <v/>
      </c>
      <c r="I70" s="184" t="str">
        <f>IF(SUM(Tab_Compteur_7[[#This Row],[Quantité]],Tab_Compteur_7[[#This Row],[Index]])&lt;=0,"",G70)</f>
        <v/>
      </c>
      <c r="J70" s="185"/>
      <c r="K70" s="36"/>
      <c r="L70" s="36"/>
      <c r="M70" s="36"/>
    </row>
    <row r="71" spans="1:13">
      <c r="A71" s="2">
        <f t="shared" si="3"/>
        <v>1</v>
      </c>
      <c r="B71" s="505"/>
      <c r="C71" s="503"/>
      <c r="D71" s="491"/>
      <c r="E71" s="502"/>
      <c r="F71" s="219">
        <f t="shared" si="2"/>
        <v>0</v>
      </c>
      <c r="G71" s="219" t="str">
        <f>IF(IFERROR(IF(Str_TypeDonneesCpt7=Cpt_Index,Tab_Compteur_7[[#This Row],[Index]]-E70,Tab_Compteur_7[[#This Row],[Quantité]])/Tab_Compteur_7[[#This Row],[Delta Jour]],"")&lt;0,"",IFERROR(IF(Str_TypeDonneesCpt7=Cpt_Index,Tab_Compteur_7[[#This Row],[Index]]-E70,Tab_Compteur_7[[#This Row],[Quantité]])/Tab_Compteur_7[[#This Row],[Delta Jour]],""))</f>
        <v/>
      </c>
      <c r="H71" s="219" t="str">
        <f>IFERROR(Tab_Compteur_7[[#This Row],[Montant]]/Tab_Compteur_7[[#This Row],[Delta Jour]],"")</f>
        <v/>
      </c>
      <c r="I71" s="184" t="str">
        <f>IF(SUM(Tab_Compteur_7[[#This Row],[Quantité]],Tab_Compteur_7[[#This Row],[Index]])&lt;=0,"",G71)</f>
        <v/>
      </c>
      <c r="J71" s="185"/>
      <c r="K71" s="36"/>
      <c r="L71" s="36"/>
      <c r="M71" s="36"/>
    </row>
    <row r="72" spans="1:13">
      <c r="A72" s="2">
        <f t="shared" si="3"/>
        <v>1</v>
      </c>
      <c r="B72" s="505"/>
      <c r="C72" s="503"/>
      <c r="D72" s="491"/>
      <c r="E72" s="502"/>
      <c r="F72" s="219">
        <f t="shared" si="2"/>
        <v>0</v>
      </c>
      <c r="G72" s="219" t="str">
        <f>IF(IFERROR(IF(Str_TypeDonneesCpt7=Cpt_Index,Tab_Compteur_7[[#This Row],[Index]]-E71,Tab_Compteur_7[[#This Row],[Quantité]])/Tab_Compteur_7[[#This Row],[Delta Jour]],"")&lt;0,"",IFERROR(IF(Str_TypeDonneesCpt7=Cpt_Index,Tab_Compteur_7[[#This Row],[Index]]-E71,Tab_Compteur_7[[#This Row],[Quantité]])/Tab_Compteur_7[[#This Row],[Delta Jour]],""))</f>
        <v/>
      </c>
      <c r="H72" s="219" t="str">
        <f>IFERROR(Tab_Compteur_7[[#This Row],[Montant]]/Tab_Compteur_7[[#This Row],[Delta Jour]],"")</f>
        <v/>
      </c>
      <c r="I72" s="184" t="str">
        <f>IF(SUM(Tab_Compteur_7[[#This Row],[Quantité]],Tab_Compteur_7[[#This Row],[Index]])&lt;=0,"",G72)</f>
        <v/>
      </c>
      <c r="J72" s="185"/>
      <c r="K72" s="36"/>
      <c r="L72" s="36"/>
      <c r="M72" s="36"/>
    </row>
    <row r="73" spans="1:13">
      <c r="A73" s="2">
        <f t="shared" si="3"/>
        <v>1</v>
      </c>
      <c r="B73" s="505"/>
      <c r="C73" s="503"/>
      <c r="D73" s="491"/>
      <c r="E73" s="502"/>
      <c r="F73" s="219">
        <f t="shared" si="2"/>
        <v>0</v>
      </c>
      <c r="G73" s="219" t="str">
        <f>IF(IFERROR(IF(Str_TypeDonneesCpt7=Cpt_Index,Tab_Compteur_7[[#This Row],[Index]]-E72,Tab_Compteur_7[[#This Row],[Quantité]])/Tab_Compteur_7[[#This Row],[Delta Jour]],"")&lt;0,"",IFERROR(IF(Str_TypeDonneesCpt7=Cpt_Index,Tab_Compteur_7[[#This Row],[Index]]-E72,Tab_Compteur_7[[#This Row],[Quantité]])/Tab_Compteur_7[[#This Row],[Delta Jour]],""))</f>
        <v/>
      </c>
      <c r="H73" s="219" t="str">
        <f>IFERROR(Tab_Compteur_7[[#This Row],[Montant]]/Tab_Compteur_7[[#This Row],[Delta Jour]],"")</f>
        <v/>
      </c>
      <c r="I73" s="184" t="str">
        <f>IF(SUM(Tab_Compteur_7[[#This Row],[Quantité]],Tab_Compteur_7[[#This Row],[Index]])&lt;=0,"",G73)</f>
        <v/>
      </c>
      <c r="J73" s="185"/>
      <c r="K73" s="36"/>
      <c r="L73" s="36"/>
      <c r="M73" s="36"/>
    </row>
    <row r="74" spans="1:13">
      <c r="A74" s="2">
        <f t="shared" si="3"/>
        <v>1</v>
      </c>
      <c r="B74" s="505"/>
      <c r="C74" s="503"/>
      <c r="D74" s="491"/>
      <c r="E74" s="502"/>
      <c r="F74" s="219">
        <f t="shared" si="2"/>
        <v>0</v>
      </c>
      <c r="G74" s="219" t="str">
        <f>IF(IFERROR(IF(Str_TypeDonneesCpt7=Cpt_Index,Tab_Compteur_7[[#This Row],[Index]]-E73,Tab_Compteur_7[[#This Row],[Quantité]])/Tab_Compteur_7[[#This Row],[Delta Jour]],"")&lt;0,"",IFERROR(IF(Str_TypeDonneesCpt7=Cpt_Index,Tab_Compteur_7[[#This Row],[Index]]-E73,Tab_Compteur_7[[#This Row],[Quantité]])/Tab_Compteur_7[[#This Row],[Delta Jour]],""))</f>
        <v/>
      </c>
      <c r="H74" s="219" t="str">
        <f>IFERROR(Tab_Compteur_7[[#This Row],[Montant]]/Tab_Compteur_7[[#This Row],[Delta Jour]],"")</f>
        <v/>
      </c>
      <c r="I74" s="184" t="str">
        <f>IF(SUM(Tab_Compteur_7[[#This Row],[Quantité]],Tab_Compteur_7[[#This Row],[Index]])&lt;=0,"",G74)</f>
        <v/>
      </c>
      <c r="J74" s="185"/>
      <c r="K74" s="36"/>
      <c r="L74" s="36"/>
      <c r="M74" s="36"/>
    </row>
    <row r="75" spans="1:13">
      <c r="A75" s="2">
        <f t="shared" si="3"/>
        <v>1</v>
      </c>
      <c r="B75" s="505"/>
      <c r="C75" s="503"/>
      <c r="D75" s="491"/>
      <c r="E75" s="502"/>
      <c r="F75" s="219">
        <f t="shared" si="2"/>
        <v>0</v>
      </c>
      <c r="G75" s="219" t="str">
        <f>IF(IFERROR(IF(Str_TypeDonneesCpt7=Cpt_Index,Tab_Compteur_7[[#This Row],[Index]]-E74,Tab_Compteur_7[[#This Row],[Quantité]])/Tab_Compteur_7[[#This Row],[Delta Jour]],"")&lt;0,"",IFERROR(IF(Str_TypeDonneesCpt7=Cpt_Index,Tab_Compteur_7[[#This Row],[Index]]-E74,Tab_Compteur_7[[#This Row],[Quantité]])/Tab_Compteur_7[[#This Row],[Delta Jour]],""))</f>
        <v/>
      </c>
      <c r="H75" s="219" t="str">
        <f>IFERROR(Tab_Compteur_7[[#This Row],[Montant]]/Tab_Compteur_7[[#This Row],[Delta Jour]],"")</f>
        <v/>
      </c>
      <c r="I75" s="184" t="str">
        <f>IF(SUM(Tab_Compteur_7[[#This Row],[Quantité]],Tab_Compteur_7[[#This Row],[Index]])&lt;=0,"",G75)</f>
        <v/>
      </c>
      <c r="J75" s="185"/>
      <c r="K75" s="36"/>
      <c r="L75" s="36"/>
      <c r="M75" s="36"/>
    </row>
    <row r="76" spans="1:13">
      <c r="A76" s="2">
        <f t="shared" si="3"/>
        <v>1</v>
      </c>
      <c r="B76" s="505"/>
      <c r="C76" s="503"/>
      <c r="D76" s="491"/>
      <c r="E76" s="502"/>
      <c r="F76" s="219">
        <f t="shared" si="2"/>
        <v>0</v>
      </c>
      <c r="G76" s="219" t="str">
        <f>IF(IFERROR(IF(Str_TypeDonneesCpt7=Cpt_Index,Tab_Compteur_7[[#This Row],[Index]]-E75,Tab_Compteur_7[[#This Row],[Quantité]])/Tab_Compteur_7[[#This Row],[Delta Jour]],"")&lt;0,"",IFERROR(IF(Str_TypeDonneesCpt7=Cpt_Index,Tab_Compteur_7[[#This Row],[Index]]-E75,Tab_Compteur_7[[#This Row],[Quantité]])/Tab_Compteur_7[[#This Row],[Delta Jour]],""))</f>
        <v/>
      </c>
      <c r="H76" s="219" t="str">
        <f>IFERROR(Tab_Compteur_7[[#This Row],[Montant]]/Tab_Compteur_7[[#This Row],[Delta Jour]],"")</f>
        <v/>
      </c>
      <c r="I76" s="184" t="str">
        <f>IF(SUM(Tab_Compteur_7[[#This Row],[Quantité]],Tab_Compteur_7[[#This Row],[Index]])&lt;=0,"",G76)</f>
        <v/>
      </c>
      <c r="J76" s="185"/>
      <c r="K76" s="36"/>
      <c r="L76" s="36"/>
      <c r="M76" s="36"/>
    </row>
    <row r="77" spans="1:13">
      <c r="A77" s="2">
        <f t="shared" si="3"/>
        <v>1</v>
      </c>
      <c r="B77" s="505"/>
      <c r="C77" s="503"/>
      <c r="D77" s="491"/>
      <c r="E77" s="502"/>
      <c r="F77" s="219">
        <f t="shared" si="2"/>
        <v>0</v>
      </c>
      <c r="G77" s="219" t="str">
        <f>IF(IFERROR(IF(Str_TypeDonneesCpt7=Cpt_Index,Tab_Compteur_7[[#This Row],[Index]]-E76,Tab_Compteur_7[[#This Row],[Quantité]])/Tab_Compteur_7[[#This Row],[Delta Jour]],"")&lt;0,"",IFERROR(IF(Str_TypeDonneesCpt7=Cpt_Index,Tab_Compteur_7[[#This Row],[Index]]-E76,Tab_Compteur_7[[#This Row],[Quantité]])/Tab_Compteur_7[[#This Row],[Delta Jour]],""))</f>
        <v/>
      </c>
      <c r="H77" s="219" t="str">
        <f>IFERROR(Tab_Compteur_7[[#This Row],[Montant]]/Tab_Compteur_7[[#This Row],[Delta Jour]],"")</f>
        <v/>
      </c>
      <c r="I77" s="184" t="str">
        <f>IF(SUM(Tab_Compteur_7[[#This Row],[Quantité]],Tab_Compteur_7[[#This Row],[Index]])&lt;=0,"",G77)</f>
        <v/>
      </c>
      <c r="J77" s="185"/>
      <c r="K77" s="36"/>
      <c r="L77" s="36"/>
      <c r="M77" s="36"/>
    </row>
    <row r="78" spans="1:13">
      <c r="A78" s="2">
        <f t="shared" si="3"/>
        <v>1</v>
      </c>
      <c r="B78" s="505"/>
      <c r="C78" s="503"/>
      <c r="D78" s="491"/>
      <c r="E78" s="502"/>
      <c r="F78" s="219">
        <f t="shared" si="2"/>
        <v>0</v>
      </c>
      <c r="G78" s="219" t="str">
        <f>IF(IFERROR(IF(Str_TypeDonneesCpt7=Cpt_Index,Tab_Compteur_7[[#This Row],[Index]]-E77,Tab_Compteur_7[[#This Row],[Quantité]])/Tab_Compteur_7[[#This Row],[Delta Jour]],"")&lt;0,"",IFERROR(IF(Str_TypeDonneesCpt7=Cpt_Index,Tab_Compteur_7[[#This Row],[Index]]-E77,Tab_Compteur_7[[#This Row],[Quantité]])/Tab_Compteur_7[[#This Row],[Delta Jour]],""))</f>
        <v/>
      </c>
      <c r="H78" s="219" t="str">
        <f>IFERROR(Tab_Compteur_7[[#This Row],[Montant]]/Tab_Compteur_7[[#This Row],[Delta Jour]],"")</f>
        <v/>
      </c>
      <c r="I78" s="184" t="str">
        <f>IF(SUM(Tab_Compteur_7[[#This Row],[Quantité]],Tab_Compteur_7[[#This Row],[Index]])&lt;=0,"",G78)</f>
        <v/>
      </c>
      <c r="J78" s="185"/>
      <c r="K78" s="36"/>
      <c r="L78" s="36"/>
      <c r="M78" s="36"/>
    </row>
    <row r="79" spans="1:13">
      <c r="A79" s="2">
        <f t="shared" si="3"/>
        <v>1</v>
      </c>
      <c r="B79" s="505"/>
      <c r="C79" s="503"/>
      <c r="D79" s="491"/>
      <c r="E79" s="502"/>
      <c r="F79" s="219">
        <f t="shared" si="2"/>
        <v>0</v>
      </c>
      <c r="G79" s="219" t="str">
        <f>IF(IFERROR(IF(Str_TypeDonneesCpt7=Cpt_Index,Tab_Compteur_7[[#This Row],[Index]]-E78,Tab_Compteur_7[[#This Row],[Quantité]])/Tab_Compteur_7[[#This Row],[Delta Jour]],"")&lt;0,"",IFERROR(IF(Str_TypeDonneesCpt7=Cpt_Index,Tab_Compteur_7[[#This Row],[Index]]-E78,Tab_Compteur_7[[#This Row],[Quantité]])/Tab_Compteur_7[[#This Row],[Delta Jour]],""))</f>
        <v/>
      </c>
      <c r="H79" s="219" t="str">
        <f>IFERROR(Tab_Compteur_7[[#This Row],[Montant]]/Tab_Compteur_7[[#This Row],[Delta Jour]],"")</f>
        <v/>
      </c>
      <c r="I79" s="184" t="str">
        <f>IF(SUM(Tab_Compteur_7[[#This Row],[Quantité]],Tab_Compteur_7[[#This Row],[Index]])&lt;=0,"",G79)</f>
        <v/>
      </c>
      <c r="J79" s="185"/>
      <c r="K79" s="36"/>
      <c r="L79" s="36"/>
      <c r="M79" s="36"/>
    </row>
    <row r="80" spans="1:13">
      <c r="A80" s="2">
        <f t="shared" si="3"/>
        <v>1</v>
      </c>
      <c r="B80" s="505"/>
      <c r="C80" s="503"/>
      <c r="D80" s="491"/>
      <c r="E80" s="502"/>
      <c r="F80" s="219">
        <f t="shared" si="2"/>
        <v>0</v>
      </c>
      <c r="G80" s="219" t="str">
        <f>IF(IFERROR(IF(Str_TypeDonneesCpt7=Cpt_Index,Tab_Compteur_7[[#This Row],[Index]]-E79,Tab_Compteur_7[[#This Row],[Quantité]])/Tab_Compteur_7[[#This Row],[Delta Jour]],"")&lt;0,"",IFERROR(IF(Str_TypeDonneesCpt7=Cpt_Index,Tab_Compteur_7[[#This Row],[Index]]-E79,Tab_Compteur_7[[#This Row],[Quantité]])/Tab_Compteur_7[[#This Row],[Delta Jour]],""))</f>
        <v/>
      </c>
      <c r="H80" s="219" t="str">
        <f>IFERROR(Tab_Compteur_7[[#This Row],[Montant]]/Tab_Compteur_7[[#This Row],[Delta Jour]],"")</f>
        <v/>
      </c>
      <c r="I80" s="184" t="str">
        <f>IF(SUM(Tab_Compteur_7[[#This Row],[Quantité]],Tab_Compteur_7[[#This Row],[Index]])&lt;=0,"",G80)</f>
        <v/>
      </c>
      <c r="J80" s="185"/>
      <c r="K80" s="36"/>
      <c r="L80" s="36"/>
      <c r="M80" s="36"/>
    </row>
    <row r="81" spans="1:13">
      <c r="A81" s="2">
        <f t="shared" si="3"/>
        <v>1</v>
      </c>
      <c r="B81" s="505"/>
      <c r="C81" s="503"/>
      <c r="D81" s="491"/>
      <c r="E81" s="502"/>
      <c r="F81" s="219">
        <f t="shared" si="2"/>
        <v>0</v>
      </c>
      <c r="G81" s="219" t="str">
        <f>IF(IFERROR(IF(Str_TypeDonneesCpt7=Cpt_Index,Tab_Compteur_7[[#This Row],[Index]]-E80,Tab_Compteur_7[[#This Row],[Quantité]])/Tab_Compteur_7[[#This Row],[Delta Jour]],"")&lt;0,"",IFERROR(IF(Str_TypeDonneesCpt7=Cpt_Index,Tab_Compteur_7[[#This Row],[Index]]-E80,Tab_Compteur_7[[#This Row],[Quantité]])/Tab_Compteur_7[[#This Row],[Delta Jour]],""))</f>
        <v/>
      </c>
      <c r="H81" s="219" t="str">
        <f>IFERROR(Tab_Compteur_7[[#This Row],[Montant]]/Tab_Compteur_7[[#This Row],[Delta Jour]],"")</f>
        <v/>
      </c>
      <c r="I81" s="184" t="str">
        <f>IF(SUM(Tab_Compteur_7[[#This Row],[Quantité]],Tab_Compteur_7[[#This Row],[Index]])&lt;=0,"",G81)</f>
        <v/>
      </c>
      <c r="J81" s="185"/>
      <c r="K81" s="36"/>
      <c r="L81" s="36"/>
      <c r="M81" s="36"/>
    </row>
    <row r="82" spans="1:13">
      <c r="A82" s="2">
        <f t="shared" si="3"/>
        <v>1</v>
      </c>
      <c r="B82" s="505"/>
      <c r="C82" s="503"/>
      <c r="D82" s="491"/>
      <c r="E82" s="502"/>
      <c r="F82" s="219">
        <f t="shared" si="2"/>
        <v>0</v>
      </c>
      <c r="G82" s="219" t="str">
        <f>IF(IFERROR(IF(Str_TypeDonneesCpt7=Cpt_Index,Tab_Compteur_7[[#This Row],[Index]]-E81,Tab_Compteur_7[[#This Row],[Quantité]])/Tab_Compteur_7[[#This Row],[Delta Jour]],"")&lt;0,"",IFERROR(IF(Str_TypeDonneesCpt7=Cpt_Index,Tab_Compteur_7[[#This Row],[Index]]-E81,Tab_Compteur_7[[#This Row],[Quantité]])/Tab_Compteur_7[[#This Row],[Delta Jour]],""))</f>
        <v/>
      </c>
      <c r="H82" s="219" t="str">
        <f>IFERROR(Tab_Compteur_7[[#This Row],[Montant]]/Tab_Compteur_7[[#This Row],[Delta Jour]],"")</f>
        <v/>
      </c>
      <c r="I82" s="184" t="str">
        <f>IF(SUM(Tab_Compteur_7[[#This Row],[Quantité]],Tab_Compteur_7[[#This Row],[Index]])&lt;=0,"",G82)</f>
        <v/>
      </c>
      <c r="J82" s="185"/>
      <c r="K82" s="36"/>
      <c r="L82" s="36"/>
      <c r="M82" s="36"/>
    </row>
    <row r="83" spans="1:13">
      <c r="A83" s="2">
        <f t="shared" si="3"/>
        <v>1</v>
      </c>
      <c r="B83" s="505"/>
      <c r="C83" s="503"/>
      <c r="D83" s="491"/>
      <c r="E83" s="502"/>
      <c r="F83" s="219">
        <f t="shared" si="2"/>
        <v>0</v>
      </c>
      <c r="G83" s="219" t="str">
        <f>IF(IFERROR(IF(Str_TypeDonneesCpt7=Cpt_Index,Tab_Compteur_7[[#This Row],[Index]]-E82,Tab_Compteur_7[[#This Row],[Quantité]])/Tab_Compteur_7[[#This Row],[Delta Jour]],"")&lt;0,"",IFERROR(IF(Str_TypeDonneesCpt7=Cpt_Index,Tab_Compteur_7[[#This Row],[Index]]-E82,Tab_Compteur_7[[#This Row],[Quantité]])/Tab_Compteur_7[[#This Row],[Delta Jour]],""))</f>
        <v/>
      </c>
      <c r="H83" s="219" t="str">
        <f>IFERROR(Tab_Compteur_7[[#This Row],[Montant]]/Tab_Compteur_7[[#This Row],[Delta Jour]],"")</f>
        <v/>
      </c>
      <c r="I83" s="184" t="str">
        <f>IF(SUM(Tab_Compteur_7[[#This Row],[Quantité]],Tab_Compteur_7[[#This Row],[Index]])&lt;=0,"",G83)</f>
        <v/>
      </c>
      <c r="J83" s="185"/>
      <c r="K83" s="36"/>
      <c r="L83" s="36"/>
      <c r="M83" s="36"/>
    </row>
    <row r="84" spans="1:13">
      <c r="A84" s="2">
        <f t="shared" si="3"/>
        <v>1</v>
      </c>
      <c r="B84" s="505"/>
      <c r="C84" s="503"/>
      <c r="D84" s="491"/>
      <c r="E84" s="502"/>
      <c r="F84" s="219">
        <f t="shared" si="2"/>
        <v>0</v>
      </c>
      <c r="G84" s="219" t="str">
        <f>IF(IFERROR(IF(Str_TypeDonneesCpt7=Cpt_Index,Tab_Compteur_7[[#This Row],[Index]]-E83,Tab_Compteur_7[[#This Row],[Quantité]])/Tab_Compteur_7[[#This Row],[Delta Jour]],"")&lt;0,"",IFERROR(IF(Str_TypeDonneesCpt7=Cpt_Index,Tab_Compteur_7[[#This Row],[Index]]-E83,Tab_Compteur_7[[#This Row],[Quantité]])/Tab_Compteur_7[[#This Row],[Delta Jour]],""))</f>
        <v/>
      </c>
      <c r="H84" s="219" t="str">
        <f>IFERROR(Tab_Compteur_7[[#This Row],[Montant]]/Tab_Compteur_7[[#This Row],[Delta Jour]],"")</f>
        <v/>
      </c>
      <c r="I84" s="184" t="str">
        <f>IF(SUM(Tab_Compteur_7[[#This Row],[Quantité]],Tab_Compteur_7[[#This Row],[Index]])&lt;=0,"",G84)</f>
        <v/>
      </c>
      <c r="J84" s="185"/>
      <c r="K84" s="36"/>
      <c r="L84" s="36"/>
      <c r="M84" s="36"/>
    </row>
    <row r="85" spans="1:13">
      <c r="A85" s="2">
        <f t="shared" si="3"/>
        <v>1</v>
      </c>
      <c r="B85" s="505"/>
      <c r="C85" s="503"/>
      <c r="D85" s="491"/>
      <c r="E85" s="502"/>
      <c r="F85" s="219">
        <f t="shared" si="2"/>
        <v>0</v>
      </c>
      <c r="G85" s="219" t="str">
        <f>IF(IFERROR(IF(Str_TypeDonneesCpt7=Cpt_Index,Tab_Compteur_7[[#This Row],[Index]]-E84,Tab_Compteur_7[[#This Row],[Quantité]])/Tab_Compteur_7[[#This Row],[Delta Jour]],"")&lt;0,"",IFERROR(IF(Str_TypeDonneesCpt7=Cpt_Index,Tab_Compteur_7[[#This Row],[Index]]-E84,Tab_Compteur_7[[#This Row],[Quantité]])/Tab_Compteur_7[[#This Row],[Delta Jour]],""))</f>
        <v/>
      </c>
      <c r="H85" s="219" t="str">
        <f>IFERROR(Tab_Compteur_7[[#This Row],[Montant]]/Tab_Compteur_7[[#This Row],[Delta Jour]],"")</f>
        <v/>
      </c>
      <c r="I85" s="184" t="str">
        <f>IF(SUM(Tab_Compteur_7[[#This Row],[Quantité]],Tab_Compteur_7[[#This Row],[Index]])&lt;=0,"",G85)</f>
        <v/>
      </c>
      <c r="J85" s="185"/>
      <c r="K85" s="36"/>
      <c r="L85" s="36"/>
      <c r="M85" s="36"/>
    </row>
    <row r="86" spans="1:13">
      <c r="A86" s="2">
        <f t="shared" si="3"/>
        <v>1</v>
      </c>
      <c r="B86" s="505"/>
      <c r="C86" s="503"/>
      <c r="D86" s="491"/>
      <c r="E86" s="502"/>
      <c r="F86" s="219">
        <f t="shared" si="2"/>
        <v>0</v>
      </c>
      <c r="G86" s="219" t="str">
        <f>IF(IFERROR(IF(Str_TypeDonneesCpt7=Cpt_Index,Tab_Compteur_7[[#This Row],[Index]]-E85,Tab_Compteur_7[[#This Row],[Quantité]])/Tab_Compteur_7[[#This Row],[Delta Jour]],"")&lt;0,"",IFERROR(IF(Str_TypeDonneesCpt7=Cpt_Index,Tab_Compteur_7[[#This Row],[Index]]-E85,Tab_Compteur_7[[#This Row],[Quantité]])/Tab_Compteur_7[[#This Row],[Delta Jour]],""))</f>
        <v/>
      </c>
      <c r="H86" s="219" t="str">
        <f>IFERROR(Tab_Compteur_7[[#This Row],[Montant]]/Tab_Compteur_7[[#This Row],[Delta Jour]],"")</f>
        <v/>
      </c>
      <c r="I86" s="184" t="str">
        <f>IF(SUM(Tab_Compteur_7[[#This Row],[Quantité]],Tab_Compteur_7[[#This Row],[Index]])&lt;=0,"",G86)</f>
        <v/>
      </c>
      <c r="J86" s="185"/>
      <c r="K86" s="36"/>
      <c r="L86" s="36"/>
      <c r="M86" s="36"/>
    </row>
    <row r="87" spans="1:13">
      <c r="A87" s="2">
        <f t="shared" si="3"/>
        <v>1</v>
      </c>
      <c r="B87" s="505"/>
      <c r="C87" s="503"/>
      <c r="D87" s="491"/>
      <c r="E87" s="502"/>
      <c r="F87" s="219">
        <f t="shared" si="2"/>
        <v>0</v>
      </c>
      <c r="G87" s="219" t="str">
        <f>IF(IFERROR(IF(Str_TypeDonneesCpt7=Cpt_Index,Tab_Compteur_7[[#This Row],[Index]]-E86,Tab_Compteur_7[[#This Row],[Quantité]])/Tab_Compteur_7[[#This Row],[Delta Jour]],"")&lt;0,"",IFERROR(IF(Str_TypeDonneesCpt7=Cpt_Index,Tab_Compteur_7[[#This Row],[Index]]-E86,Tab_Compteur_7[[#This Row],[Quantité]])/Tab_Compteur_7[[#This Row],[Delta Jour]],""))</f>
        <v/>
      </c>
      <c r="H87" s="219" t="str">
        <f>IFERROR(Tab_Compteur_7[[#This Row],[Montant]]/Tab_Compteur_7[[#This Row],[Delta Jour]],"")</f>
        <v/>
      </c>
      <c r="I87" s="184" t="str">
        <f>IF(SUM(Tab_Compteur_7[[#This Row],[Quantité]],Tab_Compteur_7[[#This Row],[Index]])&lt;=0,"",G87)</f>
        <v/>
      </c>
      <c r="J87" s="185"/>
      <c r="K87" s="36"/>
      <c r="L87" s="36"/>
      <c r="M87" s="36"/>
    </row>
    <row r="88" spans="1:13">
      <c r="A88" s="2">
        <f t="shared" si="3"/>
        <v>1</v>
      </c>
      <c r="B88" s="505"/>
      <c r="C88" s="503"/>
      <c r="D88" s="491"/>
      <c r="E88" s="502"/>
      <c r="F88" s="219">
        <f t="shared" si="2"/>
        <v>0</v>
      </c>
      <c r="G88" s="219" t="str">
        <f>IF(IFERROR(IF(Str_TypeDonneesCpt7=Cpt_Index,Tab_Compteur_7[[#This Row],[Index]]-E87,Tab_Compteur_7[[#This Row],[Quantité]])/Tab_Compteur_7[[#This Row],[Delta Jour]],"")&lt;0,"",IFERROR(IF(Str_TypeDonneesCpt7=Cpt_Index,Tab_Compteur_7[[#This Row],[Index]]-E87,Tab_Compteur_7[[#This Row],[Quantité]])/Tab_Compteur_7[[#This Row],[Delta Jour]],""))</f>
        <v/>
      </c>
      <c r="H88" s="219" t="str">
        <f>IFERROR(Tab_Compteur_7[[#This Row],[Montant]]/Tab_Compteur_7[[#This Row],[Delta Jour]],"")</f>
        <v/>
      </c>
      <c r="I88" s="184" t="str">
        <f>IF(SUM(Tab_Compteur_7[[#This Row],[Quantité]],Tab_Compteur_7[[#This Row],[Index]])&lt;=0,"",G88)</f>
        <v/>
      </c>
      <c r="J88" s="185"/>
      <c r="K88" s="36"/>
      <c r="L88" s="36"/>
      <c r="M88" s="36"/>
    </row>
    <row r="89" spans="1:13">
      <c r="A89" s="2">
        <f t="shared" si="3"/>
        <v>1</v>
      </c>
      <c r="B89" s="505"/>
      <c r="C89" s="503"/>
      <c r="D89" s="491"/>
      <c r="E89" s="502"/>
      <c r="F89" s="219">
        <f t="shared" si="2"/>
        <v>0</v>
      </c>
      <c r="G89" s="219" t="str">
        <f>IF(IFERROR(IF(Str_TypeDonneesCpt7=Cpt_Index,Tab_Compteur_7[[#This Row],[Index]]-E88,Tab_Compteur_7[[#This Row],[Quantité]])/Tab_Compteur_7[[#This Row],[Delta Jour]],"")&lt;0,"",IFERROR(IF(Str_TypeDonneesCpt7=Cpt_Index,Tab_Compteur_7[[#This Row],[Index]]-E88,Tab_Compteur_7[[#This Row],[Quantité]])/Tab_Compteur_7[[#This Row],[Delta Jour]],""))</f>
        <v/>
      </c>
      <c r="H89" s="219" t="str">
        <f>IFERROR(Tab_Compteur_7[[#This Row],[Montant]]/Tab_Compteur_7[[#This Row],[Delta Jour]],"")</f>
        <v/>
      </c>
      <c r="I89" s="184" t="str">
        <f>IF(SUM(Tab_Compteur_7[[#This Row],[Quantité]],Tab_Compteur_7[[#This Row],[Index]])&lt;=0,"",G89)</f>
        <v/>
      </c>
      <c r="J89" s="185"/>
      <c r="K89" s="36"/>
      <c r="L89" s="36"/>
      <c r="M89" s="36"/>
    </row>
    <row r="90" spans="1:13">
      <c r="A90" s="2">
        <f t="shared" si="3"/>
        <v>1</v>
      </c>
      <c r="B90" s="505"/>
      <c r="C90" s="503"/>
      <c r="D90" s="491"/>
      <c r="E90" s="502"/>
      <c r="F90" s="219">
        <f t="shared" si="2"/>
        <v>0</v>
      </c>
      <c r="G90" s="219" t="str">
        <f>IF(IFERROR(IF(Str_TypeDonneesCpt7=Cpt_Index,Tab_Compteur_7[[#This Row],[Index]]-E89,Tab_Compteur_7[[#This Row],[Quantité]])/Tab_Compteur_7[[#This Row],[Delta Jour]],"")&lt;0,"",IFERROR(IF(Str_TypeDonneesCpt7=Cpt_Index,Tab_Compteur_7[[#This Row],[Index]]-E89,Tab_Compteur_7[[#This Row],[Quantité]])/Tab_Compteur_7[[#This Row],[Delta Jour]],""))</f>
        <v/>
      </c>
      <c r="H90" s="219" t="str">
        <f>IFERROR(Tab_Compteur_7[[#This Row],[Montant]]/Tab_Compteur_7[[#This Row],[Delta Jour]],"")</f>
        <v/>
      </c>
      <c r="I90" s="184" t="str">
        <f>IF(SUM(Tab_Compteur_7[[#This Row],[Quantité]],Tab_Compteur_7[[#This Row],[Index]])&lt;=0,"",G90)</f>
        <v/>
      </c>
      <c r="J90" s="185"/>
      <c r="K90" s="36"/>
      <c r="L90" s="36"/>
      <c r="M90" s="36"/>
    </row>
    <row r="91" spans="1:13">
      <c r="A91" s="2">
        <f t="shared" si="3"/>
        <v>1</v>
      </c>
      <c r="B91" s="505"/>
      <c r="C91" s="503"/>
      <c r="D91" s="491"/>
      <c r="E91" s="502"/>
      <c r="F91" s="219">
        <f t="shared" si="2"/>
        <v>0</v>
      </c>
      <c r="G91" s="219" t="str">
        <f>IF(IFERROR(IF(Str_TypeDonneesCpt7=Cpt_Index,Tab_Compteur_7[[#This Row],[Index]]-E90,Tab_Compteur_7[[#This Row],[Quantité]])/Tab_Compteur_7[[#This Row],[Delta Jour]],"")&lt;0,"",IFERROR(IF(Str_TypeDonneesCpt7=Cpt_Index,Tab_Compteur_7[[#This Row],[Index]]-E90,Tab_Compteur_7[[#This Row],[Quantité]])/Tab_Compteur_7[[#This Row],[Delta Jour]],""))</f>
        <v/>
      </c>
      <c r="H91" s="219" t="str">
        <f>IFERROR(Tab_Compteur_7[[#This Row],[Montant]]/Tab_Compteur_7[[#This Row],[Delta Jour]],"")</f>
        <v/>
      </c>
      <c r="I91" s="184" t="str">
        <f>IF(SUM(Tab_Compteur_7[[#This Row],[Quantité]],Tab_Compteur_7[[#This Row],[Index]])&lt;=0,"",G91)</f>
        <v/>
      </c>
      <c r="J91" s="185"/>
      <c r="K91" s="36"/>
      <c r="L91" s="36"/>
      <c r="M91" s="36"/>
    </row>
    <row r="92" spans="1:13">
      <c r="A92" s="2">
        <f t="shared" si="3"/>
        <v>1</v>
      </c>
      <c r="B92" s="505"/>
      <c r="C92" s="503"/>
      <c r="D92" s="491"/>
      <c r="E92" s="502"/>
      <c r="F92" s="219">
        <f t="shared" si="2"/>
        <v>0</v>
      </c>
      <c r="G92" s="219" t="str">
        <f>IF(IFERROR(IF(Str_TypeDonneesCpt7=Cpt_Index,Tab_Compteur_7[[#This Row],[Index]]-E91,Tab_Compteur_7[[#This Row],[Quantité]])/Tab_Compteur_7[[#This Row],[Delta Jour]],"")&lt;0,"",IFERROR(IF(Str_TypeDonneesCpt7=Cpt_Index,Tab_Compteur_7[[#This Row],[Index]]-E91,Tab_Compteur_7[[#This Row],[Quantité]])/Tab_Compteur_7[[#This Row],[Delta Jour]],""))</f>
        <v/>
      </c>
      <c r="H92" s="219" t="str">
        <f>IFERROR(Tab_Compteur_7[[#This Row],[Montant]]/Tab_Compteur_7[[#This Row],[Delta Jour]],"")</f>
        <v/>
      </c>
      <c r="I92" s="184" t="str">
        <f>IF(SUM(Tab_Compteur_7[[#This Row],[Quantité]],Tab_Compteur_7[[#This Row],[Index]])&lt;=0,"",G92)</f>
        <v/>
      </c>
      <c r="J92" s="185"/>
      <c r="K92" s="36"/>
      <c r="L92" s="36"/>
      <c r="M92" s="36"/>
    </row>
    <row r="93" spans="1:13">
      <c r="A93" s="2">
        <f t="shared" si="3"/>
        <v>1</v>
      </c>
      <c r="B93" s="505"/>
      <c r="C93" s="503"/>
      <c r="D93" s="491"/>
      <c r="E93" s="502"/>
      <c r="F93" s="219">
        <f t="shared" si="2"/>
        <v>0</v>
      </c>
      <c r="G93" s="219" t="str">
        <f>IF(IFERROR(IF(Str_TypeDonneesCpt7=Cpt_Index,Tab_Compteur_7[[#This Row],[Index]]-E92,Tab_Compteur_7[[#This Row],[Quantité]])/Tab_Compteur_7[[#This Row],[Delta Jour]],"")&lt;0,"",IFERROR(IF(Str_TypeDonneesCpt7=Cpt_Index,Tab_Compteur_7[[#This Row],[Index]]-E92,Tab_Compteur_7[[#This Row],[Quantité]])/Tab_Compteur_7[[#This Row],[Delta Jour]],""))</f>
        <v/>
      </c>
      <c r="H93" s="219" t="str">
        <f>IFERROR(Tab_Compteur_7[[#This Row],[Montant]]/Tab_Compteur_7[[#This Row],[Delta Jour]],"")</f>
        <v/>
      </c>
      <c r="I93" s="184" t="str">
        <f>IF(SUM(Tab_Compteur_7[[#This Row],[Quantité]],Tab_Compteur_7[[#This Row],[Index]])&lt;=0,"",G93)</f>
        <v/>
      </c>
      <c r="J93" s="185"/>
      <c r="K93" s="36"/>
      <c r="L93" s="36"/>
      <c r="M93" s="36"/>
    </row>
    <row r="94" spans="1:13">
      <c r="A94" s="2">
        <f t="shared" si="3"/>
        <v>1</v>
      </c>
      <c r="B94" s="505"/>
      <c r="C94" s="503"/>
      <c r="D94" s="491"/>
      <c r="E94" s="502"/>
      <c r="F94" s="219">
        <f t="shared" si="2"/>
        <v>0</v>
      </c>
      <c r="G94" s="219" t="str">
        <f>IF(IFERROR(IF(Str_TypeDonneesCpt7=Cpt_Index,Tab_Compteur_7[[#This Row],[Index]]-E93,Tab_Compteur_7[[#This Row],[Quantité]])/Tab_Compteur_7[[#This Row],[Delta Jour]],"")&lt;0,"",IFERROR(IF(Str_TypeDonneesCpt7=Cpt_Index,Tab_Compteur_7[[#This Row],[Index]]-E93,Tab_Compteur_7[[#This Row],[Quantité]])/Tab_Compteur_7[[#This Row],[Delta Jour]],""))</f>
        <v/>
      </c>
      <c r="H94" s="219" t="str">
        <f>IFERROR(Tab_Compteur_7[[#This Row],[Montant]]/Tab_Compteur_7[[#This Row],[Delta Jour]],"")</f>
        <v/>
      </c>
      <c r="I94" s="184" t="str">
        <f>IF(SUM(Tab_Compteur_7[[#This Row],[Quantité]],Tab_Compteur_7[[#This Row],[Index]])&lt;=0,"",G94)</f>
        <v/>
      </c>
      <c r="J94" s="185"/>
      <c r="K94" s="36"/>
      <c r="L94" s="36"/>
      <c r="M94" s="36"/>
    </row>
    <row r="95" spans="1:13">
      <c r="A95" s="2">
        <f t="shared" si="3"/>
        <v>1</v>
      </c>
      <c r="B95" s="505"/>
      <c r="C95" s="503"/>
      <c r="D95" s="491"/>
      <c r="E95" s="502"/>
      <c r="F95" s="219">
        <f t="shared" si="2"/>
        <v>0</v>
      </c>
      <c r="G95" s="219" t="str">
        <f>IF(IFERROR(IF(Str_TypeDonneesCpt7=Cpt_Index,Tab_Compteur_7[[#This Row],[Index]]-E94,Tab_Compteur_7[[#This Row],[Quantité]])/Tab_Compteur_7[[#This Row],[Delta Jour]],"")&lt;0,"",IFERROR(IF(Str_TypeDonneesCpt7=Cpt_Index,Tab_Compteur_7[[#This Row],[Index]]-E94,Tab_Compteur_7[[#This Row],[Quantité]])/Tab_Compteur_7[[#This Row],[Delta Jour]],""))</f>
        <v/>
      </c>
      <c r="H95" s="219" t="str">
        <f>IFERROR(Tab_Compteur_7[[#This Row],[Montant]]/Tab_Compteur_7[[#This Row],[Delta Jour]],"")</f>
        <v/>
      </c>
      <c r="I95" s="184" t="str">
        <f>IF(SUM(Tab_Compteur_7[[#This Row],[Quantité]],Tab_Compteur_7[[#This Row],[Index]])&lt;=0,"",G95)</f>
        <v/>
      </c>
      <c r="J95" s="185"/>
      <c r="K95" s="36"/>
      <c r="L95" s="36"/>
      <c r="M95" s="36"/>
    </row>
    <row r="96" spans="1:13">
      <c r="A96" s="2">
        <f t="shared" si="3"/>
        <v>1</v>
      </c>
      <c r="B96" s="505"/>
      <c r="C96" s="503"/>
      <c r="D96" s="491"/>
      <c r="E96" s="502"/>
      <c r="F96" s="219">
        <f t="shared" si="2"/>
        <v>0</v>
      </c>
      <c r="G96" s="219" t="str">
        <f>IF(IFERROR(IF(Str_TypeDonneesCpt7=Cpt_Index,Tab_Compteur_7[[#This Row],[Index]]-E95,Tab_Compteur_7[[#This Row],[Quantité]])/Tab_Compteur_7[[#This Row],[Delta Jour]],"")&lt;0,"",IFERROR(IF(Str_TypeDonneesCpt7=Cpt_Index,Tab_Compteur_7[[#This Row],[Index]]-E95,Tab_Compteur_7[[#This Row],[Quantité]])/Tab_Compteur_7[[#This Row],[Delta Jour]],""))</f>
        <v/>
      </c>
      <c r="H96" s="219" t="str">
        <f>IFERROR(Tab_Compteur_7[[#This Row],[Montant]]/Tab_Compteur_7[[#This Row],[Delta Jour]],"")</f>
        <v/>
      </c>
      <c r="I96" s="184" t="str">
        <f>IF(SUM(Tab_Compteur_7[[#This Row],[Quantité]],Tab_Compteur_7[[#This Row],[Index]])&lt;=0,"",G96)</f>
        <v/>
      </c>
      <c r="J96" s="185"/>
      <c r="K96" s="36"/>
      <c r="L96" s="36"/>
      <c r="M96" s="36"/>
    </row>
    <row r="97" spans="1:13">
      <c r="A97" s="2">
        <f t="shared" si="3"/>
        <v>1</v>
      </c>
      <c r="B97" s="505"/>
      <c r="C97" s="503"/>
      <c r="D97" s="491"/>
      <c r="E97" s="502"/>
      <c r="F97" s="219">
        <f t="shared" si="2"/>
        <v>0</v>
      </c>
      <c r="G97" s="219" t="str">
        <f>IF(IFERROR(IF(Str_TypeDonneesCpt7=Cpt_Index,Tab_Compteur_7[[#This Row],[Index]]-E96,Tab_Compteur_7[[#This Row],[Quantité]])/Tab_Compteur_7[[#This Row],[Delta Jour]],"")&lt;0,"",IFERROR(IF(Str_TypeDonneesCpt7=Cpt_Index,Tab_Compteur_7[[#This Row],[Index]]-E96,Tab_Compteur_7[[#This Row],[Quantité]])/Tab_Compteur_7[[#This Row],[Delta Jour]],""))</f>
        <v/>
      </c>
      <c r="H97" s="219" t="str">
        <f>IFERROR(Tab_Compteur_7[[#This Row],[Montant]]/Tab_Compteur_7[[#This Row],[Delta Jour]],"")</f>
        <v/>
      </c>
      <c r="I97" s="184" t="str">
        <f>IF(SUM(Tab_Compteur_7[[#This Row],[Quantité]],Tab_Compteur_7[[#This Row],[Index]])&lt;=0,"",G97)</f>
        <v/>
      </c>
      <c r="J97" s="185"/>
      <c r="K97" s="36"/>
      <c r="L97" s="36"/>
      <c r="M97" s="36"/>
    </row>
    <row r="98" spans="1:13">
      <c r="A98" s="2">
        <f t="shared" si="3"/>
        <v>1</v>
      </c>
      <c r="B98" s="505"/>
      <c r="C98" s="503"/>
      <c r="D98" s="491"/>
      <c r="E98" s="502"/>
      <c r="F98" s="219">
        <f t="shared" si="2"/>
        <v>0</v>
      </c>
      <c r="G98" s="219" t="str">
        <f>IF(IFERROR(IF(Str_TypeDonneesCpt7=Cpt_Index,Tab_Compteur_7[[#This Row],[Index]]-E97,Tab_Compteur_7[[#This Row],[Quantité]])/Tab_Compteur_7[[#This Row],[Delta Jour]],"")&lt;0,"",IFERROR(IF(Str_TypeDonneesCpt7=Cpt_Index,Tab_Compteur_7[[#This Row],[Index]]-E97,Tab_Compteur_7[[#This Row],[Quantité]])/Tab_Compteur_7[[#This Row],[Delta Jour]],""))</f>
        <v/>
      </c>
      <c r="H98" s="219" t="str">
        <f>IFERROR(Tab_Compteur_7[[#This Row],[Montant]]/Tab_Compteur_7[[#This Row],[Delta Jour]],"")</f>
        <v/>
      </c>
      <c r="I98" s="184" t="str">
        <f>IF(SUM(Tab_Compteur_7[[#This Row],[Quantité]],Tab_Compteur_7[[#This Row],[Index]])&lt;=0,"",G98)</f>
        <v/>
      </c>
      <c r="J98" s="185"/>
      <c r="K98" s="36"/>
      <c r="L98" s="36"/>
      <c r="M98" s="36"/>
    </row>
    <row r="99" spans="1:13">
      <c r="A99" s="2">
        <f t="shared" si="3"/>
        <v>1</v>
      </c>
      <c r="B99" s="505"/>
      <c r="C99" s="503"/>
      <c r="D99" s="491"/>
      <c r="E99" s="502"/>
      <c r="F99" s="219">
        <f t="shared" si="2"/>
        <v>0</v>
      </c>
      <c r="G99" s="219" t="str">
        <f>IF(IFERROR(IF(Str_TypeDonneesCpt7=Cpt_Index,Tab_Compteur_7[[#This Row],[Index]]-E98,Tab_Compteur_7[[#This Row],[Quantité]])/Tab_Compteur_7[[#This Row],[Delta Jour]],"")&lt;0,"",IFERROR(IF(Str_TypeDonneesCpt7=Cpt_Index,Tab_Compteur_7[[#This Row],[Index]]-E98,Tab_Compteur_7[[#This Row],[Quantité]])/Tab_Compteur_7[[#This Row],[Delta Jour]],""))</f>
        <v/>
      </c>
      <c r="H99" s="219" t="str">
        <f>IFERROR(Tab_Compteur_7[[#This Row],[Montant]]/Tab_Compteur_7[[#This Row],[Delta Jour]],"")</f>
        <v/>
      </c>
      <c r="I99" s="184" t="str">
        <f>IF(SUM(Tab_Compteur_7[[#This Row],[Quantité]],Tab_Compteur_7[[#This Row],[Index]])&lt;=0,"",G99)</f>
        <v/>
      </c>
      <c r="J99" s="185"/>
      <c r="K99" s="36"/>
      <c r="L99" s="36"/>
      <c r="M99" s="36"/>
    </row>
    <row r="100" spans="1:13">
      <c r="A100" s="2">
        <f t="shared" si="3"/>
        <v>1</v>
      </c>
      <c r="B100" s="505"/>
      <c r="C100" s="503"/>
      <c r="D100" s="491"/>
      <c r="E100" s="502"/>
      <c r="F100" s="219">
        <f t="shared" si="2"/>
        <v>0</v>
      </c>
      <c r="G100" s="219" t="str">
        <f>IF(IFERROR(IF(Str_TypeDonneesCpt7=Cpt_Index,Tab_Compteur_7[[#This Row],[Index]]-E99,Tab_Compteur_7[[#This Row],[Quantité]])/Tab_Compteur_7[[#This Row],[Delta Jour]],"")&lt;0,"",IFERROR(IF(Str_TypeDonneesCpt7=Cpt_Index,Tab_Compteur_7[[#This Row],[Index]]-E99,Tab_Compteur_7[[#This Row],[Quantité]])/Tab_Compteur_7[[#This Row],[Delta Jour]],""))</f>
        <v/>
      </c>
      <c r="H100" s="219" t="str">
        <f>IFERROR(Tab_Compteur_7[[#This Row],[Montant]]/Tab_Compteur_7[[#This Row],[Delta Jour]],"")</f>
        <v/>
      </c>
      <c r="I100" s="184" t="str">
        <f>IF(SUM(Tab_Compteur_7[[#This Row],[Quantité]],Tab_Compteur_7[[#This Row],[Index]])&lt;=0,"",G100)</f>
        <v/>
      </c>
      <c r="J100" s="185"/>
      <c r="K100" s="36"/>
      <c r="L100" s="36"/>
      <c r="M100" s="36"/>
    </row>
    <row r="101" spans="1:13">
      <c r="A101" s="2">
        <f t="shared" si="3"/>
        <v>1</v>
      </c>
      <c r="B101" s="505"/>
      <c r="C101" s="503"/>
      <c r="D101" s="491"/>
      <c r="E101" s="502"/>
      <c r="F101" s="219">
        <f t="shared" si="2"/>
        <v>0</v>
      </c>
      <c r="G101" s="219" t="str">
        <f>IF(IFERROR(IF(Str_TypeDonneesCpt7=Cpt_Index,Tab_Compteur_7[[#This Row],[Index]]-E100,Tab_Compteur_7[[#This Row],[Quantité]])/Tab_Compteur_7[[#This Row],[Delta Jour]],"")&lt;0,"",IFERROR(IF(Str_TypeDonneesCpt7=Cpt_Index,Tab_Compteur_7[[#This Row],[Index]]-E100,Tab_Compteur_7[[#This Row],[Quantité]])/Tab_Compteur_7[[#This Row],[Delta Jour]],""))</f>
        <v/>
      </c>
      <c r="H101" s="219" t="str">
        <f>IFERROR(Tab_Compteur_7[[#This Row],[Montant]]/Tab_Compteur_7[[#This Row],[Delta Jour]],"")</f>
        <v/>
      </c>
      <c r="I101" s="184" t="str">
        <f>IF(SUM(Tab_Compteur_7[[#This Row],[Quantité]],Tab_Compteur_7[[#This Row],[Index]])&lt;=0,"",G101)</f>
        <v/>
      </c>
      <c r="J101" s="185"/>
      <c r="K101" s="36"/>
      <c r="L101" s="36"/>
      <c r="M101" s="36"/>
    </row>
    <row r="102" spans="1:13">
      <c r="A102" s="2">
        <f t="shared" si="3"/>
        <v>1</v>
      </c>
      <c r="B102" s="505"/>
      <c r="C102" s="503"/>
      <c r="D102" s="491"/>
      <c r="E102" s="502"/>
      <c r="F102" s="219">
        <f t="shared" si="2"/>
        <v>0</v>
      </c>
      <c r="G102" s="219" t="str">
        <f>IF(IFERROR(IF(Str_TypeDonneesCpt7=Cpt_Index,Tab_Compteur_7[[#This Row],[Index]]-E101,Tab_Compteur_7[[#This Row],[Quantité]])/Tab_Compteur_7[[#This Row],[Delta Jour]],"")&lt;0,"",IFERROR(IF(Str_TypeDonneesCpt7=Cpt_Index,Tab_Compteur_7[[#This Row],[Index]]-E101,Tab_Compteur_7[[#This Row],[Quantité]])/Tab_Compteur_7[[#This Row],[Delta Jour]],""))</f>
        <v/>
      </c>
      <c r="H102" s="219" t="str">
        <f>IFERROR(Tab_Compteur_7[[#This Row],[Montant]]/Tab_Compteur_7[[#This Row],[Delta Jour]],"")</f>
        <v/>
      </c>
      <c r="I102" s="184" t="str">
        <f>IF(SUM(Tab_Compteur_7[[#This Row],[Quantité]],Tab_Compteur_7[[#This Row],[Index]])&lt;=0,"",G102)</f>
        <v/>
      </c>
      <c r="J102" s="185"/>
      <c r="K102" s="36"/>
      <c r="L102" s="36"/>
      <c r="M102" s="36"/>
    </row>
    <row r="103" spans="1:13">
      <c r="A103" s="2">
        <f t="shared" si="3"/>
        <v>1</v>
      </c>
      <c r="B103" s="505"/>
      <c r="C103" s="503"/>
      <c r="D103" s="491"/>
      <c r="E103" s="502"/>
      <c r="F103" s="219">
        <f t="shared" si="2"/>
        <v>0</v>
      </c>
      <c r="G103" s="219" t="str">
        <f>IF(IFERROR(IF(Str_TypeDonneesCpt7=Cpt_Index,Tab_Compteur_7[[#This Row],[Index]]-E102,Tab_Compteur_7[[#This Row],[Quantité]])/Tab_Compteur_7[[#This Row],[Delta Jour]],"")&lt;0,"",IFERROR(IF(Str_TypeDonneesCpt7=Cpt_Index,Tab_Compteur_7[[#This Row],[Index]]-E102,Tab_Compteur_7[[#This Row],[Quantité]])/Tab_Compteur_7[[#This Row],[Delta Jour]],""))</f>
        <v/>
      </c>
      <c r="H103" s="219" t="str">
        <f>IFERROR(Tab_Compteur_7[[#This Row],[Montant]]/Tab_Compteur_7[[#This Row],[Delta Jour]],"")</f>
        <v/>
      </c>
      <c r="I103" s="184" t="str">
        <f>IF(SUM(Tab_Compteur_7[[#This Row],[Quantité]],Tab_Compteur_7[[#This Row],[Index]])&lt;=0,"",G103)</f>
        <v/>
      </c>
      <c r="J103" s="185"/>
      <c r="K103" s="36"/>
      <c r="L103" s="36"/>
      <c r="M103" s="36"/>
    </row>
    <row r="104" spans="1:13">
      <c r="A104" s="2">
        <f t="shared" si="3"/>
        <v>1</v>
      </c>
      <c r="B104" s="505"/>
      <c r="C104" s="503"/>
      <c r="D104" s="491"/>
      <c r="E104" s="502"/>
      <c r="F104" s="219">
        <f t="shared" si="2"/>
        <v>0</v>
      </c>
      <c r="G104" s="219" t="str">
        <f>IF(IFERROR(IF(Str_TypeDonneesCpt7=Cpt_Index,Tab_Compteur_7[[#This Row],[Index]]-E103,Tab_Compteur_7[[#This Row],[Quantité]])/Tab_Compteur_7[[#This Row],[Delta Jour]],"")&lt;0,"",IFERROR(IF(Str_TypeDonneesCpt7=Cpt_Index,Tab_Compteur_7[[#This Row],[Index]]-E103,Tab_Compteur_7[[#This Row],[Quantité]])/Tab_Compteur_7[[#This Row],[Delta Jour]],""))</f>
        <v/>
      </c>
      <c r="H104" s="219" t="str">
        <f>IFERROR(Tab_Compteur_7[[#This Row],[Montant]]/Tab_Compteur_7[[#This Row],[Delta Jour]],"")</f>
        <v/>
      </c>
      <c r="I104" s="184" t="str">
        <f>IF(SUM(Tab_Compteur_7[[#This Row],[Quantité]],Tab_Compteur_7[[#This Row],[Index]])&lt;=0,"",G104)</f>
        <v/>
      </c>
      <c r="J104" s="185"/>
      <c r="K104" s="36"/>
      <c r="L104" s="36"/>
      <c r="M104" s="36"/>
    </row>
    <row r="105" spans="1:13">
      <c r="A105" s="2">
        <f t="shared" si="3"/>
        <v>1</v>
      </c>
      <c r="B105" s="505"/>
      <c r="C105" s="503"/>
      <c r="D105" s="491"/>
      <c r="E105" s="502"/>
      <c r="F105" s="219">
        <f t="shared" si="2"/>
        <v>0</v>
      </c>
      <c r="G105" s="219" t="str">
        <f>IF(IFERROR(IF(Str_TypeDonneesCpt7=Cpt_Index,Tab_Compteur_7[[#This Row],[Index]]-E104,Tab_Compteur_7[[#This Row],[Quantité]])/Tab_Compteur_7[[#This Row],[Delta Jour]],"")&lt;0,"",IFERROR(IF(Str_TypeDonneesCpt7=Cpt_Index,Tab_Compteur_7[[#This Row],[Index]]-E104,Tab_Compteur_7[[#This Row],[Quantité]])/Tab_Compteur_7[[#This Row],[Delta Jour]],""))</f>
        <v/>
      </c>
      <c r="H105" s="219" t="str">
        <f>IFERROR(Tab_Compteur_7[[#This Row],[Montant]]/Tab_Compteur_7[[#This Row],[Delta Jour]],"")</f>
        <v/>
      </c>
      <c r="I105" s="184" t="str">
        <f>IF(SUM(Tab_Compteur_7[[#This Row],[Quantité]],Tab_Compteur_7[[#This Row],[Index]])&lt;=0,"",G105)</f>
        <v/>
      </c>
      <c r="J105" s="185"/>
      <c r="K105" s="36"/>
      <c r="L105" s="36"/>
      <c r="M105" s="36"/>
    </row>
    <row r="106" spans="1:13">
      <c r="A106" s="2">
        <f t="shared" si="3"/>
        <v>1</v>
      </c>
      <c r="B106" s="505"/>
      <c r="C106" s="503"/>
      <c r="D106" s="491"/>
      <c r="E106" s="502"/>
      <c r="F106" s="219">
        <f t="shared" si="2"/>
        <v>0</v>
      </c>
      <c r="G106" s="219" t="str">
        <f>IF(IFERROR(IF(Str_TypeDonneesCpt7=Cpt_Index,Tab_Compteur_7[[#This Row],[Index]]-E105,Tab_Compteur_7[[#This Row],[Quantité]])/Tab_Compteur_7[[#This Row],[Delta Jour]],"")&lt;0,"",IFERROR(IF(Str_TypeDonneesCpt7=Cpt_Index,Tab_Compteur_7[[#This Row],[Index]]-E105,Tab_Compteur_7[[#This Row],[Quantité]])/Tab_Compteur_7[[#This Row],[Delta Jour]],""))</f>
        <v/>
      </c>
      <c r="H106" s="219" t="str">
        <f>IFERROR(Tab_Compteur_7[[#This Row],[Montant]]/Tab_Compteur_7[[#This Row],[Delta Jour]],"")</f>
        <v/>
      </c>
      <c r="I106" s="184" t="str">
        <f>IF(SUM(Tab_Compteur_7[[#This Row],[Quantité]],Tab_Compteur_7[[#This Row],[Index]])&lt;=0,"",G106)</f>
        <v/>
      </c>
      <c r="J106" s="185"/>
      <c r="K106" s="36"/>
      <c r="L106" s="36"/>
      <c r="M106" s="36"/>
    </row>
    <row r="107" spans="1:13">
      <c r="A107" s="2">
        <f t="shared" si="3"/>
        <v>1</v>
      </c>
      <c r="B107" s="505"/>
      <c r="C107" s="503"/>
      <c r="D107" s="491"/>
      <c r="E107" s="502"/>
      <c r="F107" s="219">
        <f t="shared" si="2"/>
        <v>0</v>
      </c>
      <c r="G107" s="219" t="str">
        <f>IF(IFERROR(IF(Str_TypeDonneesCpt7=Cpt_Index,Tab_Compteur_7[[#This Row],[Index]]-E106,Tab_Compteur_7[[#This Row],[Quantité]])/Tab_Compteur_7[[#This Row],[Delta Jour]],"")&lt;0,"",IFERROR(IF(Str_TypeDonneesCpt7=Cpt_Index,Tab_Compteur_7[[#This Row],[Index]]-E106,Tab_Compteur_7[[#This Row],[Quantité]])/Tab_Compteur_7[[#This Row],[Delta Jour]],""))</f>
        <v/>
      </c>
      <c r="H107" s="219" t="str">
        <f>IFERROR(Tab_Compteur_7[[#This Row],[Montant]]/Tab_Compteur_7[[#This Row],[Delta Jour]],"")</f>
        <v/>
      </c>
      <c r="I107" s="184" t="str">
        <f>IF(SUM(Tab_Compteur_7[[#This Row],[Quantité]],Tab_Compteur_7[[#This Row],[Index]])&lt;=0,"",G107)</f>
        <v/>
      </c>
      <c r="J107" s="185"/>
      <c r="K107" s="36"/>
      <c r="L107" s="36"/>
      <c r="M107" s="36"/>
    </row>
    <row r="108" spans="1:13">
      <c r="A108" s="2">
        <f t="shared" si="3"/>
        <v>1</v>
      </c>
      <c r="B108" s="505"/>
      <c r="C108" s="503"/>
      <c r="D108" s="491"/>
      <c r="E108" s="502"/>
      <c r="F108" s="219">
        <f t="shared" si="2"/>
        <v>0</v>
      </c>
      <c r="G108" s="219" t="str">
        <f>IF(IFERROR(IF(Str_TypeDonneesCpt7=Cpt_Index,Tab_Compteur_7[[#This Row],[Index]]-E107,Tab_Compteur_7[[#This Row],[Quantité]])/Tab_Compteur_7[[#This Row],[Delta Jour]],"")&lt;0,"",IFERROR(IF(Str_TypeDonneesCpt7=Cpt_Index,Tab_Compteur_7[[#This Row],[Index]]-E107,Tab_Compteur_7[[#This Row],[Quantité]])/Tab_Compteur_7[[#This Row],[Delta Jour]],""))</f>
        <v/>
      </c>
      <c r="H108" s="219" t="str">
        <f>IFERROR(Tab_Compteur_7[[#This Row],[Montant]]/Tab_Compteur_7[[#This Row],[Delta Jour]],"")</f>
        <v/>
      </c>
      <c r="I108" s="184" t="str">
        <f>IF(SUM(Tab_Compteur_7[[#This Row],[Quantité]],Tab_Compteur_7[[#This Row],[Index]])&lt;=0,"",G108)</f>
        <v/>
      </c>
      <c r="J108" s="185"/>
      <c r="K108" s="36"/>
      <c r="L108" s="36"/>
      <c r="M108" s="36"/>
    </row>
    <row r="109" spans="1:13">
      <c r="A109" s="2">
        <f t="shared" si="3"/>
        <v>1</v>
      </c>
      <c r="B109" s="505"/>
      <c r="C109" s="503"/>
      <c r="D109" s="491"/>
      <c r="E109" s="502"/>
      <c r="F109" s="219">
        <f t="shared" si="2"/>
        <v>0</v>
      </c>
      <c r="G109" s="219" t="str">
        <f>IF(IFERROR(IF(Str_TypeDonneesCpt7=Cpt_Index,Tab_Compteur_7[[#This Row],[Index]]-E108,Tab_Compteur_7[[#This Row],[Quantité]])/Tab_Compteur_7[[#This Row],[Delta Jour]],"")&lt;0,"",IFERROR(IF(Str_TypeDonneesCpt7=Cpt_Index,Tab_Compteur_7[[#This Row],[Index]]-E108,Tab_Compteur_7[[#This Row],[Quantité]])/Tab_Compteur_7[[#This Row],[Delta Jour]],""))</f>
        <v/>
      </c>
      <c r="H109" s="219" t="str">
        <f>IFERROR(Tab_Compteur_7[[#This Row],[Montant]]/Tab_Compteur_7[[#This Row],[Delta Jour]],"")</f>
        <v/>
      </c>
      <c r="I109" s="184" t="str">
        <f>IF(SUM(Tab_Compteur_7[[#This Row],[Quantité]],Tab_Compteur_7[[#This Row],[Index]])&lt;=0,"",G109)</f>
        <v/>
      </c>
      <c r="J109" s="185"/>
      <c r="K109" s="36"/>
      <c r="L109" s="36"/>
      <c r="M109" s="36"/>
    </row>
    <row r="110" spans="1:13">
      <c r="A110" s="2">
        <f t="shared" si="3"/>
        <v>1</v>
      </c>
      <c r="B110" s="505"/>
      <c r="C110" s="503"/>
      <c r="D110" s="491"/>
      <c r="E110" s="502"/>
      <c r="F110" s="219">
        <f t="shared" si="2"/>
        <v>0</v>
      </c>
      <c r="G110" s="219" t="str">
        <f>IF(IFERROR(IF(Str_TypeDonneesCpt7=Cpt_Index,Tab_Compteur_7[[#This Row],[Index]]-E109,Tab_Compteur_7[[#This Row],[Quantité]])/Tab_Compteur_7[[#This Row],[Delta Jour]],"")&lt;0,"",IFERROR(IF(Str_TypeDonneesCpt7=Cpt_Index,Tab_Compteur_7[[#This Row],[Index]]-E109,Tab_Compteur_7[[#This Row],[Quantité]])/Tab_Compteur_7[[#This Row],[Delta Jour]],""))</f>
        <v/>
      </c>
      <c r="H110" s="219" t="str">
        <f>IFERROR(Tab_Compteur_7[[#This Row],[Montant]]/Tab_Compteur_7[[#This Row],[Delta Jour]],"")</f>
        <v/>
      </c>
      <c r="I110" s="184" t="str">
        <f>IF(SUM(Tab_Compteur_7[[#This Row],[Quantité]],Tab_Compteur_7[[#This Row],[Index]])&lt;=0,"",G110)</f>
        <v/>
      </c>
      <c r="J110" s="185"/>
      <c r="K110" s="36"/>
      <c r="L110" s="36"/>
      <c r="M110" s="36"/>
    </row>
    <row r="111" spans="1:13">
      <c r="A111" s="2">
        <f t="shared" si="3"/>
        <v>1</v>
      </c>
      <c r="B111" s="505"/>
      <c r="C111" s="503"/>
      <c r="D111" s="491"/>
      <c r="E111" s="502"/>
      <c r="F111" s="219">
        <f t="shared" si="2"/>
        <v>0</v>
      </c>
      <c r="G111" s="219" t="str">
        <f>IF(IFERROR(IF(Str_TypeDonneesCpt7=Cpt_Index,Tab_Compteur_7[[#This Row],[Index]]-E110,Tab_Compteur_7[[#This Row],[Quantité]])/Tab_Compteur_7[[#This Row],[Delta Jour]],"")&lt;0,"",IFERROR(IF(Str_TypeDonneesCpt7=Cpt_Index,Tab_Compteur_7[[#This Row],[Index]]-E110,Tab_Compteur_7[[#This Row],[Quantité]])/Tab_Compteur_7[[#This Row],[Delta Jour]],""))</f>
        <v/>
      </c>
      <c r="H111" s="219" t="str">
        <f>IFERROR(Tab_Compteur_7[[#This Row],[Montant]]/Tab_Compteur_7[[#This Row],[Delta Jour]],"")</f>
        <v/>
      </c>
      <c r="I111" s="184" t="str">
        <f>IF(SUM(Tab_Compteur_7[[#This Row],[Quantité]],Tab_Compteur_7[[#This Row],[Index]])&lt;=0,"",G111)</f>
        <v/>
      </c>
      <c r="J111" s="185"/>
      <c r="K111" s="36"/>
      <c r="L111" s="36"/>
      <c r="M111" s="36"/>
    </row>
    <row r="112" spans="1:13">
      <c r="A112" s="2">
        <f t="shared" si="3"/>
        <v>1</v>
      </c>
      <c r="B112" s="505"/>
      <c r="C112" s="503"/>
      <c r="D112" s="491"/>
      <c r="E112" s="502"/>
      <c r="F112" s="219">
        <f t="shared" si="2"/>
        <v>0</v>
      </c>
      <c r="G112" s="219" t="str">
        <f>IF(IFERROR(IF(Str_TypeDonneesCpt7=Cpt_Index,Tab_Compteur_7[[#This Row],[Index]]-E111,Tab_Compteur_7[[#This Row],[Quantité]])/Tab_Compteur_7[[#This Row],[Delta Jour]],"")&lt;0,"",IFERROR(IF(Str_TypeDonneesCpt7=Cpt_Index,Tab_Compteur_7[[#This Row],[Index]]-E111,Tab_Compteur_7[[#This Row],[Quantité]])/Tab_Compteur_7[[#This Row],[Delta Jour]],""))</f>
        <v/>
      </c>
      <c r="H112" s="219" t="str">
        <f>IFERROR(Tab_Compteur_7[[#This Row],[Montant]]/Tab_Compteur_7[[#This Row],[Delta Jour]],"")</f>
        <v/>
      </c>
      <c r="I112" s="184" t="str">
        <f>IF(SUM(Tab_Compteur_7[[#This Row],[Quantité]],Tab_Compteur_7[[#This Row],[Index]])&lt;=0,"",G112)</f>
        <v/>
      </c>
      <c r="J112" s="185"/>
      <c r="K112" s="36"/>
      <c r="L112" s="36"/>
      <c r="M112" s="36"/>
    </row>
    <row r="113" spans="1:13">
      <c r="A113" s="2">
        <f t="shared" si="3"/>
        <v>1</v>
      </c>
      <c r="B113" s="505"/>
      <c r="C113" s="503"/>
      <c r="D113" s="491"/>
      <c r="E113" s="502"/>
      <c r="F113" s="219">
        <f t="shared" si="2"/>
        <v>0</v>
      </c>
      <c r="G113" s="219" t="str">
        <f>IF(IFERROR(IF(Str_TypeDonneesCpt7=Cpt_Index,Tab_Compteur_7[[#This Row],[Index]]-E112,Tab_Compteur_7[[#This Row],[Quantité]])/Tab_Compteur_7[[#This Row],[Delta Jour]],"")&lt;0,"",IFERROR(IF(Str_TypeDonneesCpt7=Cpt_Index,Tab_Compteur_7[[#This Row],[Index]]-E112,Tab_Compteur_7[[#This Row],[Quantité]])/Tab_Compteur_7[[#This Row],[Delta Jour]],""))</f>
        <v/>
      </c>
      <c r="H113" s="219" t="str">
        <f>IFERROR(Tab_Compteur_7[[#This Row],[Montant]]/Tab_Compteur_7[[#This Row],[Delta Jour]],"")</f>
        <v/>
      </c>
      <c r="I113" s="184" t="str">
        <f>IF(SUM(Tab_Compteur_7[[#This Row],[Quantité]],Tab_Compteur_7[[#This Row],[Index]])&lt;=0,"",G113)</f>
        <v/>
      </c>
      <c r="J113" s="185"/>
      <c r="K113" s="36"/>
      <c r="L113" s="36"/>
      <c r="M113" s="36"/>
    </row>
    <row r="114" spans="1:13">
      <c r="A114" s="2">
        <f t="shared" si="3"/>
        <v>1</v>
      </c>
      <c r="B114" s="505"/>
      <c r="C114" s="503"/>
      <c r="D114" s="491"/>
      <c r="E114" s="502"/>
      <c r="F114" s="219">
        <f t="shared" si="2"/>
        <v>0</v>
      </c>
      <c r="G114" s="219" t="str">
        <f>IF(IFERROR(IF(Str_TypeDonneesCpt7=Cpt_Index,Tab_Compteur_7[[#This Row],[Index]]-E113,Tab_Compteur_7[[#This Row],[Quantité]])/Tab_Compteur_7[[#This Row],[Delta Jour]],"")&lt;0,"",IFERROR(IF(Str_TypeDonneesCpt7=Cpt_Index,Tab_Compteur_7[[#This Row],[Index]]-E113,Tab_Compteur_7[[#This Row],[Quantité]])/Tab_Compteur_7[[#This Row],[Delta Jour]],""))</f>
        <v/>
      </c>
      <c r="H114" s="219" t="str">
        <f>IFERROR(Tab_Compteur_7[[#This Row],[Montant]]/Tab_Compteur_7[[#This Row],[Delta Jour]],"")</f>
        <v/>
      </c>
      <c r="I114" s="184" t="str">
        <f>IF(SUM(Tab_Compteur_7[[#This Row],[Quantité]],Tab_Compteur_7[[#This Row],[Index]])&lt;=0,"",G114)</f>
        <v/>
      </c>
      <c r="J114" s="185"/>
      <c r="K114" s="36"/>
      <c r="L114" s="36"/>
      <c r="M114" s="36"/>
    </row>
    <row r="115" spans="1:13">
      <c r="A115" s="2">
        <f t="shared" si="3"/>
        <v>1</v>
      </c>
      <c r="B115" s="505"/>
      <c r="C115" s="503"/>
      <c r="D115" s="491"/>
      <c r="E115" s="502"/>
      <c r="F115" s="219">
        <f t="shared" si="2"/>
        <v>0</v>
      </c>
      <c r="G115" s="219" t="str">
        <f>IF(IFERROR(IF(Str_TypeDonneesCpt7=Cpt_Index,Tab_Compteur_7[[#This Row],[Index]]-E114,Tab_Compteur_7[[#This Row],[Quantité]])/Tab_Compteur_7[[#This Row],[Delta Jour]],"")&lt;0,"",IFERROR(IF(Str_TypeDonneesCpt7=Cpt_Index,Tab_Compteur_7[[#This Row],[Index]]-E114,Tab_Compteur_7[[#This Row],[Quantité]])/Tab_Compteur_7[[#This Row],[Delta Jour]],""))</f>
        <v/>
      </c>
      <c r="H115" s="219" t="str">
        <f>IFERROR(Tab_Compteur_7[[#This Row],[Montant]]/Tab_Compteur_7[[#This Row],[Delta Jour]],"")</f>
        <v/>
      </c>
      <c r="I115" s="184" t="str">
        <f>IF(SUM(Tab_Compteur_7[[#This Row],[Quantité]],Tab_Compteur_7[[#This Row],[Index]])&lt;=0,"",G115)</f>
        <v/>
      </c>
      <c r="J115" s="185"/>
      <c r="K115" s="36"/>
      <c r="L115" s="36"/>
      <c r="M115" s="36"/>
    </row>
    <row r="116" spans="1:13">
      <c r="A116" s="2">
        <f t="shared" si="3"/>
        <v>1</v>
      </c>
      <c r="B116" s="505"/>
      <c r="C116" s="503"/>
      <c r="D116" s="491"/>
      <c r="E116" s="502"/>
      <c r="F116" s="219">
        <f t="shared" si="2"/>
        <v>0</v>
      </c>
      <c r="G116" s="219" t="str">
        <f>IF(IFERROR(IF(Str_TypeDonneesCpt7=Cpt_Index,Tab_Compteur_7[[#This Row],[Index]]-E115,Tab_Compteur_7[[#This Row],[Quantité]])/Tab_Compteur_7[[#This Row],[Delta Jour]],"")&lt;0,"",IFERROR(IF(Str_TypeDonneesCpt7=Cpt_Index,Tab_Compteur_7[[#This Row],[Index]]-E115,Tab_Compteur_7[[#This Row],[Quantité]])/Tab_Compteur_7[[#This Row],[Delta Jour]],""))</f>
        <v/>
      </c>
      <c r="H116" s="219" t="str">
        <f>IFERROR(Tab_Compteur_7[[#This Row],[Montant]]/Tab_Compteur_7[[#This Row],[Delta Jour]],"")</f>
        <v/>
      </c>
      <c r="I116" s="184" t="str">
        <f>IF(SUM(Tab_Compteur_7[[#This Row],[Quantité]],Tab_Compteur_7[[#This Row],[Index]])&lt;=0,"",G116)</f>
        <v/>
      </c>
      <c r="J116" s="185"/>
      <c r="K116" s="36"/>
      <c r="L116" s="36"/>
      <c r="M116" s="36"/>
    </row>
    <row r="117" spans="1:13">
      <c r="A117" s="2">
        <f t="shared" si="3"/>
        <v>1</v>
      </c>
      <c r="B117" s="505"/>
      <c r="C117" s="503"/>
      <c r="D117" s="491"/>
      <c r="E117" s="502"/>
      <c r="F117" s="219">
        <f t="shared" si="2"/>
        <v>0</v>
      </c>
      <c r="G117" s="219" t="str">
        <f>IF(IFERROR(IF(Str_TypeDonneesCpt7=Cpt_Index,Tab_Compteur_7[[#This Row],[Index]]-E116,Tab_Compteur_7[[#This Row],[Quantité]])/Tab_Compteur_7[[#This Row],[Delta Jour]],"")&lt;0,"",IFERROR(IF(Str_TypeDonneesCpt7=Cpt_Index,Tab_Compteur_7[[#This Row],[Index]]-E116,Tab_Compteur_7[[#This Row],[Quantité]])/Tab_Compteur_7[[#This Row],[Delta Jour]],""))</f>
        <v/>
      </c>
      <c r="H117" s="219" t="str">
        <f>IFERROR(Tab_Compteur_7[[#This Row],[Montant]]/Tab_Compteur_7[[#This Row],[Delta Jour]],"")</f>
        <v/>
      </c>
      <c r="I117" s="184" t="str">
        <f>IF(SUM(Tab_Compteur_7[[#This Row],[Quantité]],Tab_Compteur_7[[#This Row],[Index]])&lt;=0,"",G117)</f>
        <v/>
      </c>
      <c r="J117" s="185"/>
      <c r="K117" s="36"/>
      <c r="L117" s="36"/>
      <c r="M117" s="36"/>
    </row>
    <row r="118" spans="1:13">
      <c r="A118" s="2">
        <f t="shared" si="3"/>
        <v>1</v>
      </c>
      <c r="B118" s="505"/>
      <c r="C118" s="503"/>
      <c r="D118" s="491"/>
      <c r="E118" s="502"/>
      <c r="F118" s="219">
        <f t="shared" si="2"/>
        <v>0</v>
      </c>
      <c r="G118" s="219" t="str">
        <f>IF(IFERROR(IF(Str_TypeDonneesCpt7=Cpt_Index,Tab_Compteur_7[[#This Row],[Index]]-E117,Tab_Compteur_7[[#This Row],[Quantité]])/Tab_Compteur_7[[#This Row],[Delta Jour]],"")&lt;0,"",IFERROR(IF(Str_TypeDonneesCpt7=Cpt_Index,Tab_Compteur_7[[#This Row],[Index]]-E117,Tab_Compteur_7[[#This Row],[Quantité]])/Tab_Compteur_7[[#This Row],[Delta Jour]],""))</f>
        <v/>
      </c>
      <c r="H118" s="219" t="str">
        <f>IFERROR(Tab_Compteur_7[[#This Row],[Montant]]/Tab_Compteur_7[[#This Row],[Delta Jour]],"")</f>
        <v/>
      </c>
      <c r="I118" s="184" t="str">
        <f>IF(SUM(Tab_Compteur_7[[#This Row],[Quantité]],Tab_Compteur_7[[#This Row],[Index]])&lt;=0,"",G118)</f>
        <v/>
      </c>
      <c r="J118" s="185"/>
      <c r="K118" s="36"/>
      <c r="L118" s="36"/>
      <c r="M118" s="36"/>
    </row>
    <row r="119" spans="1:13">
      <c r="A119" s="2">
        <f t="shared" si="3"/>
        <v>1</v>
      </c>
      <c r="B119" s="505"/>
      <c r="C119" s="503"/>
      <c r="D119" s="491"/>
      <c r="E119" s="502"/>
      <c r="F119" s="219">
        <f t="shared" si="2"/>
        <v>0</v>
      </c>
      <c r="G119" s="219" t="str">
        <f>IF(IFERROR(IF(Str_TypeDonneesCpt7=Cpt_Index,Tab_Compteur_7[[#This Row],[Index]]-E118,Tab_Compteur_7[[#This Row],[Quantité]])/Tab_Compteur_7[[#This Row],[Delta Jour]],"")&lt;0,"",IFERROR(IF(Str_TypeDonneesCpt7=Cpt_Index,Tab_Compteur_7[[#This Row],[Index]]-E118,Tab_Compteur_7[[#This Row],[Quantité]])/Tab_Compteur_7[[#This Row],[Delta Jour]],""))</f>
        <v/>
      </c>
      <c r="H119" s="219" t="str">
        <f>IFERROR(Tab_Compteur_7[[#This Row],[Montant]]/Tab_Compteur_7[[#This Row],[Delta Jour]],"")</f>
        <v/>
      </c>
      <c r="I119" s="184" t="str">
        <f>IF(SUM(Tab_Compteur_7[[#This Row],[Quantité]],Tab_Compteur_7[[#This Row],[Index]])&lt;=0,"",G119)</f>
        <v/>
      </c>
      <c r="J119" s="185"/>
      <c r="K119" s="36"/>
      <c r="L119" s="36"/>
      <c r="M119" s="36"/>
    </row>
    <row r="120" spans="1:13">
      <c r="A120" s="2">
        <f t="shared" si="3"/>
        <v>1</v>
      </c>
      <c r="B120" s="505"/>
      <c r="C120" s="503"/>
      <c r="D120" s="491"/>
      <c r="E120" s="502"/>
      <c r="F120" s="219">
        <f t="shared" si="2"/>
        <v>0</v>
      </c>
      <c r="G120" s="219" t="str">
        <f>IF(IFERROR(IF(Str_TypeDonneesCpt7=Cpt_Index,Tab_Compteur_7[[#This Row],[Index]]-E119,Tab_Compteur_7[[#This Row],[Quantité]])/Tab_Compteur_7[[#This Row],[Delta Jour]],"")&lt;0,"",IFERROR(IF(Str_TypeDonneesCpt7=Cpt_Index,Tab_Compteur_7[[#This Row],[Index]]-E119,Tab_Compteur_7[[#This Row],[Quantité]])/Tab_Compteur_7[[#This Row],[Delta Jour]],""))</f>
        <v/>
      </c>
      <c r="H120" s="219" t="str">
        <f>IFERROR(Tab_Compteur_7[[#This Row],[Montant]]/Tab_Compteur_7[[#This Row],[Delta Jour]],"")</f>
        <v/>
      </c>
      <c r="I120" s="184" t="str">
        <f>IF(SUM(Tab_Compteur_7[[#This Row],[Quantité]],Tab_Compteur_7[[#This Row],[Index]])&lt;=0,"",G120)</f>
        <v/>
      </c>
      <c r="J120" s="185"/>
      <c r="K120" s="36"/>
      <c r="L120" s="36"/>
      <c r="M120" s="36"/>
    </row>
    <row r="121" spans="1:13">
      <c r="A121" s="2">
        <f t="shared" si="3"/>
        <v>1</v>
      </c>
      <c r="B121" s="505"/>
      <c r="C121" s="503"/>
      <c r="D121" s="491"/>
      <c r="E121" s="502"/>
      <c r="F121" s="219">
        <f t="shared" si="2"/>
        <v>0</v>
      </c>
      <c r="G121" s="219" t="str">
        <f>IF(IFERROR(IF(Str_TypeDonneesCpt7=Cpt_Index,Tab_Compteur_7[[#This Row],[Index]]-E120,Tab_Compteur_7[[#This Row],[Quantité]])/Tab_Compteur_7[[#This Row],[Delta Jour]],"")&lt;0,"",IFERROR(IF(Str_TypeDonneesCpt7=Cpt_Index,Tab_Compteur_7[[#This Row],[Index]]-E120,Tab_Compteur_7[[#This Row],[Quantité]])/Tab_Compteur_7[[#This Row],[Delta Jour]],""))</f>
        <v/>
      </c>
      <c r="H121" s="219" t="str">
        <f>IFERROR(Tab_Compteur_7[[#This Row],[Montant]]/Tab_Compteur_7[[#This Row],[Delta Jour]],"")</f>
        <v/>
      </c>
      <c r="I121" s="184" t="str">
        <f>IF(SUM(Tab_Compteur_7[[#This Row],[Quantité]],Tab_Compteur_7[[#This Row],[Index]])&lt;=0,"",G121)</f>
        <v/>
      </c>
      <c r="J121" s="185"/>
      <c r="K121" s="36"/>
      <c r="L121" s="36"/>
      <c r="M121" s="36"/>
    </row>
    <row r="122" spans="1:13">
      <c r="A122" s="2">
        <f t="shared" si="3"/>
        <v>1</v>
      </c>
      <c r="B122" s="505"/>
      <c r="C122" s="503"/>
      <c r="D122" s="491"/>
      <c r="E122" s="502"/>
      <c r="F122" s="219">
        <f t="shared" si="2"/>
        <v>0</v>
      </c>
      <c r="G122" s="219" t="str">
        <f>IF(IFERROR(IF(Str_TypeDonneesCpt7=Cpt_Index,Tab_Compteur_7[[#This Row],[Index]]-E121,Tab_Compteur_7[[#This Row],[Quantité]])/Tab_Compteur_7[[#This Row],[Delta Jour]],"")&lt;0,"",IFERROR(IF(Str_TypeDonneesCpt7=Cpt_Index,Tab_Compteur_7[[#This Row],[Index]]-E121,Tab_Compteur_7[[#This Row],[Quantité]])/Tab_Compteur_7[[#This Row],[Delta Jour]],""))</f>
        <v/>
      </c>
      <c r="H122" s="219" t="str">
        <f>IFERROR(Tab_Compteur_7[[#This Row],[Montant]]/Tab_Compteur_7[[#This Row],[Delta Jour]],"")</f>
        <v/>
      </c>
      <c r="I122" s="184" t="str">
        <f>IF(SUM(Tab_Compteur_7[[#This Row],[Quantité]],Tab_Compteur_7[[#This Row],[Index]])&lt;=0,"",G122)</f>
        <v/>
      </c>
      <c r="J122" s="185"/>
      <c r="K122" s="36"/>
      <c r="L122" s="36"/>
      <c r="M122" s="36"/>
    </row>
    <row r="123" spans="1:13">
      <c r="A123" s="2">
        <f t="shared" si="3"/>
        <v>1</v>
      </c>
      <c r="B123" s="505"/>
      <c r="C123" s="503"/>
      <c r="D123" s="491"/>
      <c r="E123" s="502"/>
      <c r="F123" s="219">
        <f t="shared" si="2"/>
        <v>0</v>
      </c>
      <c r="G123" s="219" t="str">
        <f>IF(IFERROR(IF(Str_TypeDonneesCpt7=Cpt_Index,Tab_Compteur_7[[#This Row],[Index]]-E122,Tab_Compteur_7[[#This Row],[Quantité]])/Tab_Compteur_7[[#This Row],[Delta Jour]],"")&lt;0,"",IFERROR(IF(Str_TypeDonneesCpt7=Cpt_Index,Tab_Compteur_7[[#This Row],[Index]]-E122,Tab_Compteur_7[[#This Row],[Quantité]])/Tab_Compteur_7[[#This Row],[Delta Jour]],""))</f>
        <v/>
      </c>
      <c r="H123" s="219" t="str">
        <f>IFERROR(Tab_Compteur_7[[#This Row],[Montant]]/Tab_Compteur_7[[#This Row],[Delta Jour]],"")</f>
        <v/>
      </c>
      <c r="I123" s="184" t="str">
        <f>IF(SUM(Tab_Compteur_7[[#This Row],[Quantité]],Tab_Compteur_7[[#This Row],[Index]])&lt;=0,"",G123)</f>
        <v/>
      </c>
      <c r="J123" s="185"/>
      <c r="K123" s="36"/>
      <c r="L123" s="36"/>
      <c r="M123" s="36"/>
    </row>
    <row r="124" spans="1:13">
      <c r="A124" s="2">
        <f t="shared" si="3"/>
        <v>1</v>
      </c>
      <c r="B124" s="505"/>
      <c r="C124" s="503"/>
      <c r="D124" s="491"/>
      <c r="E124" s="502"/>
      <c r="F124" s="219">
        <f t="shared" si="2"/>
        <v>0</v>
      </c>
      <c r="G124" s="219" t="str">
        <f>IF(IFERROR(IF(Str_TypeDonneesCpt7=Cpt_Index,Tab_Compteur_7[[#This Row],[Index]]-E123,Tab_Compteur_7[[#This Row],[Quantité]])/Tab_Compteur_7[[#This Row],[Delta Jour]],"")&lt;0,"",IFERROR(IF(Str_TypeDonneesCpt7=Cpt_Index,Tab_Compteur_7[[#This Row],[Index]]-E123,Tab_Compteur_7[[#This Row],[Quantité]])/Tab_Compteur_7[[#This Row],[Delta Jour]],""))</f>
        <v/>
      </c>
      <c r="H124" s="219" t="str">
        <f>IFERROR(Tab_Compteur_7[[#This Row],[Montant]]/Tab_Compteur_7[[#This Row],[Delta Jour]],"")</f>
        <v/>
      </c>
      <c r="I124" s="184" t="str">
        <f>IF(SUM(Tab_Compteur_7[[#This Row],[Quantité]],Tab_Compteur_7[[#This Row],[Index]])&lt;=0,"",G124)</f>
        <v/>
      </c>
      <c r="J124" s="185"/>
      <c r="K124" s="36"/>
      <c r="L124" s="36"/>
      <c r="M124" s="36"/>
    </row>
    <row r="125" spans="1:13">
      <c r="A125" s="2">
        <f t="shared" si="3"/>
        <v>1</v>
      </c>
      <c r="B125" s="505"/>
      <c r="C125" s="503"/>
      <c r="D125" s="491"/>
      <c r="E125" s="502"/>
      <c r="F125" s="219">
        <f t="shared" si="2"/>
        <v>0</v>
      </c>
      <c r="G125" s="219" t="str">
        <f>IF(IFERROR(IF(Str_TypeDonneesCpt7=Cpt_Index,Tab_Compteur_7[[#This Row],[Index]]-E124,Tab_Compteur_7[[#This Row],[Quantité]])/Tab_Compteur_7[[#This Row],[Delta Jour]],"")&lt;0,"",IFERROR(IF(Str_TypeDonneesCpt7=Cpt_Index,Tab_Compteur_7[[#This Row],[Index]]-E124,Tab_Compteur_7[[#This Row],[Quantité]])/Tab_Compteur_7[[#This Row],[Delta Jour]],""))</f>
        <v/>
      </c>
      <c r="H125" s="219" t="str">
        <f>IFERROR(Tab_Compteur_7[[#This Row],[Montant]]/Tab_Compteur_7[[#This Row],[Delta Jour]],"")</f>
        <v/>
      </c>
      <c r="I125" s="184" t="str">
        <f>IF(SUM(Tab_Compteur_7[[#This Row],[Quantité]],Tab_Compteur_7[[#This Row],[Index]])&lt;=0,"",G125)</f>
        <v/>
      </c>
      <c r="J125" s="185"/>
      <c r="K125" s="36"/>
      <c r="L125" s="36"/>
      <c r="M125" s="36"/>
    </row>
    <row r="126" spans="1:13">
      <c r="A126" s="2">
        <f t="shared" si="3"/>
        <v>1</v>
      </c>
      <c r="B126" s="505"/>
      <c r="C126" s="503"/>
      <c r="D126" s="491"/>
      <c r="E126" s="502"/>
      <c r="F126" s="219">
        <f t="shared" si="2"/>
        <v>0</v>
      </c>
      <c r="G126" s="219" t="str">
        <f>IF(IFERROR(IF(Str_TypeDonneesCpt7=Cpt_Index,Tab_Compteur_7[[#This Row],[Index]]-E125,Tab_Compteur_7[[#This Row],[Quantité]])/Tab_Compteur_7[[#This Row],[Delta Jour]],"")&lt;0,"",IFERROR(IF(Str_TypeDonneesCpt7=Cpt_Index,Tab_Compteur_7[[#This Row],[Index]]-E125,Tab_Compteur_7[[#This Row],[Quantité]])/Tab_Compteur_7[[#This Row],[Delta Jour]],""))</f>
        <v/>
      </c>
      <c r="H126" s="219" t="str">
        <f>IFERROR(Tab_Compteur_7[[#This Row],[Montant]]/Tab_Compteur_7[[#This Row],[Delta Jour]],"")</f>
        <v/>
      </c>
      <c r="I126" s="184" t="str">
        <f>IF(SUM(Tab_Compteur_7[[#This Row],[Quantité]],Tab_Compteur_7[[#This Row],[Index]])&lt;=0,"",G126)</f>
        <v/>
      </c>
      <c r="J126" s="185"/>
      <c r="K126" s="36"/>
      <c r="L126" s="36"/>
      <c r="M126" s="36"/>
    </row>
    <row r="127" spans="1:13">
      <c r="A127" s="2">
        <f t="shared" si="3"/>
        <v>1</v>
      </c>
      <c r="B127" s="505"/>
      <c r="C127" s="503"/>
      <c r="D127" s="491"/>
      <c r="E127" s="502"/>
      <c r="F127" s="219">
        <f t="shared" si="2"/>
        <v>0</v>
      </c>
      <c r="G127" s="219" t="str">
        <f>IF(IFERROR(IF(Str_TypeDonneesCpt7=Cpt_Index,Tab_Compteur_7[[#This Row],[Index]]-E126,Tab_Compteur_7[[#This Row],[Quantité]])/Tab_Compteur_7[[#This Row],[Delta Jour]],"")&lt;0,"",IFERROR(IF(Str_TypeDonneesCpt7=Cpt_Index,Tab_Compteur_7[[#This Row],[Index]]-E126,Tab_Compteur_7[[#This Row],[Quantité]])/Tab_Compteur_7[[#This Row],[Delta Jour]],""))</f>
        <v/>
      </c>
      <c r="H127" s="219" t="str">
        <f>IFERROR(Tab_Compteur_7[[#This Row],[Montant]]/Tab_Compteur_7[[#This Row],[Delta Jour]],"")</f>
        <v/>
      </c>
      <c r="I127" s="184" t="str">
        <f>IF(SUM(Tab_Compteur_7[[#This Row],[Quantité]],Tab_Compteur_7[[#This Row],[Index]])&lt;=0,"",G127)</f>
        <v/>
      </c>
      <c r="J127" s="185"/>
      <c r="K127" s="36"/>
      <c r="L127" s="36"/>
      <c r="M127" s="36"/>
    </row>
    <row r="128" spans="1:13">
      <c r="A128" s="2">
        <f t="shared" si="3"/>
        <v>1</v>
      </c>
      <c r="B128" s="505"/>
      <c r="C128" s="503"/>
      <c r="D128" s="491"/>
      <c r="E128" s="502"/>
      <c r="F128" s="219">
        <f t="shared" si="2"/>
        <v>0</v>
      </c>
      <c r="G128" s="219" t="str">
        <f>IF(IFERROR(IF(Str_TypeDonneesCpt7=Cpt_Index,Tab_Compteur_7[[#This Row],[Index]]-E127,Tab_Compteur_7[[#This Row],[Quantité]])/Tab_Compteur_7[[#This Row],[Delta Jour]],"")&lt;0,"",IFERROR(IF(Str_TypeDonneesCpt7=Cpt_Index,Tab_Compteur_7[[#This Row],[Index]]-E127,Tab_Compteur_7[[#This Row],[Quantité]])/Tab_Compteur_7[[#This Row],[Delta Jour]],""))</f>
        <v/>
      </c>
      <c r="H128" s="219" t="str">
        <f>IFERROR(Tab_Compteur_7[[#This Row],[Montant]]/Tab_Compteur_7[[#This Row],[Delta Jour]],"")</f>
        <v/>
      </c>
      <c r="I128" s="184" t="str">
        <f>IF(SUM(Tab_Compteur_7[[#This Row],[Quantité]],Tab_Compteur_7[[#This Row],[Index]])&lt;=0,"",G128)</f>
        <v/>
      </c>
      <c r="J128" s="185"/>
      <c r="K128" s="36"/>
      <c r="L128" s="36"/>
      <c r="M128" s="36"/>
    </row>
    <row r="129" spans="1:13">
      <c r="A129" s="2">
        <f t="shared" si="3"/>
        <v>1</v>
      </c>
      <c r="B129" s="505"/>
      <c r="C129" s="503"/>
      <c r="D129" s="491"/>
      <c r="E129" s="502"/>
      <c r="F129" s="219">
        <f t="shared" si="2"/>
        <v>0</v>
      </c>
      <c r="G129" s="219" t="str">
        <f>IF(IFERROR(IF(Str_TypeDonneesCpt7=Cpt_Index,Tab_Compteur_7[[#This Row],[Index]]-E128,Tab_Compteur_7[[#This Row],[Quantité]])/Tab_Compteur_7[[#This Row],[Delta Jour]],"")&lt;0,"",IFERROR(IF(Str_TypeDonneesCpt7=Cpt_Index,Tab_Compteur_7[[#This Row],[Index]]-E128,Tab_Compteur_7[[#This Row],[Quantité]])/Tab_Compteur_7[[#This Row],[Delta Jour]],""))</f>
        <v/>
      </c>
      <c r="H129" s="219" t="str">
        <f>IFERROR(Tab_Compteur_7[[#This Row],[Montant]]/Tab_Compteur_7[[#This Row],[Delta Jour]],"")</f>
        <v/>
      </c>
      <c r="I129" s="184" t="str">
        <f>IF(SUM(Tab_Compteur_7[[#This Row],[Quantité]],Tab_Compteur_7[[#This Row],[Index]])&lt;=0,"",G129)</f>
        <v/>
      </c>
      <c r="J129" s="185"/>
      <c r="K129" s="36"/>
      <c r="L129" s="36"/>
      <c r="M129" s="36"/>
    </row>
    <row r="130" spans="1:13">
      <c r="A130" s="2">
        <f t="shared" si="3"/>
        <v>1</v>
      </c>
      <c r="B130" s="505"/>
      <c r="C130" s="503"/>
      <c r="D130" s="491"/>
      <c r="E130" s="502"/>
      <c r="F130" s="219">
        <f t="shared" si="2"/>
        <v>0</v>
      </c>
      <c r="G130" s="219" t="str">
        <f>IF(IFERROR(IF(Str_TypeDonneesCpt7=Cpt_Index,Tab_Compteur_7[[#This Row],[Index]]-E129,Tab_Compteur_7[[#This Row],[Quantité]])/Tab_Compteur_7[[#This Row],[Delta Jour]],"")&lt;0,"",IFERROR(IF(Str_TypeDonneesCpt7=Cpt_Index,Tab_Compteur_7[[#This Row],[Index]]-E129,Tab_Compteur_7[[#This Row],[Quantité]])/Tab_Compteur_7[[#This Row],[Delta Jour]],""))</f>
        <v/>
      </c>
      <c r="H130" s="219" t="str">
        <f>IFERROR(Tab_Compteur_7[[#This Row],[Montant]]/Tab_Compteur_7[[#This Row],[Delta Jour]],"")</f>
        <v/>
      </c>
      <c r="I130" s="184" t="str">
        <f>IF(SUM(Tab_Compteur_7[[#This Row],[Quantité]],Tab_Compteur_7[[#This Row],[Index]])&lt;=0,"",G130)</f>
        <v/>
      </c>
      <c r="J130" s="185"/>
      <c r="K130" s="36"/>
      <c r="L130" s="36"/>
      <c r="M130" s="36"/>
    </row>
    <row r="131" spans="1:13">
      <c r="A131" s="2">
        <f t="shared" si="3"/>
        <v>1</v>
      </c>
      <c r="B131" s="505"/>
      <c r="C131" s="503"/>
      <c r="D131" s="491"/>
      <c r="E131" s="502"/>
      <c r="F131" s="219">
        <f t="shared" ref="F131:F194" si="4">IFERROR(B131-A131+1,"")</f>
        <v>0</v>
      </c>
      <c r="G131" s="219" t="str">
        <f>IF(IFERROR(IF(Str_TypeDonneesCpt7=Cpt_Index,Tab_Compteur_7[[#This Row],[Index]]-E130,Tab_Compteur_7[[#This Row],[Quantité]])/Tab_Compteur_7[[#This Row],[Delta Jour]],"")&lt;0,"",IFERROR(IF(Str_TypeDonneesCpt7=Cpt_Index,Tab_Compteur_7[[#This Row],[Index]]-E130,Tab_Compteur_7[[#This Row],[Quantité]])/Tab_Compteur_7[[#This Row],[Delta Jour]],""))</f>
        <v/>
      </c>
      <c r="H131" s="219" t="str">
        <f>IFERROR(Tab_Compteur_7[[#This Row],[Montant]]/Tab_Compteur_7[[#This Row],[Delta Jour]],"")</f>
        <v/>
      </c>
      <c r="I131" s="184" t="str">
        <f>IF(SUM(Tab_Compteur_7[[#This Row],[Quantité]],Tab_Compteur_7[[#This Row],[Index]])&lt;=0,"",G131)</f>
        <v/>
      </c>
      <c r="J131" s="185"/>
      <c r="K131" s="36"/>
      <c r="L131" s="36"/>
      <c r="M131" s="36"/>
    </row>
    <row r="132" spans="1:13">
      <c r="A132" s="2">
        <f t="shared" si="3"/>
        <v>1</v>
      </c>
      <c r="B132" s="505"/>
      <c r="C132" s="503"/>
      <c r="D132" s="491"/>
      <c r="E132" s="502"/>
      <c r="F132" s="219">
        <f t="shared" si="4"/>
        <v>0</v>
      </c>
      <c r="G132" s="219" t="str">
        <f>IF(IFERROR(IF(Str_TypeDonneesCpt7=Cpt_Index,Tab_Compteur_7[[#This Row],[Index]]-E131,Tab_Compteur_7[[#This Row],[Quantité]])/Tab_Compteur_7[[#This Row],[Delta Jour]],"")&lt;0,"",IFERROR(IF(Str_TypeDonneesCpt7=Cpt_Index,Tab_Compteur_7[[#This Row],[Index]]-E131,Tab_Compteur_7[[#This Row],[Quantité]])/Tab_Compteur_7[[#This Row],[Delta Jour]],""))</f>
        <v/>
      </c>
      <c r="H132" s="219" t="str">
        <f>IFERROR(Tab_Compteur_7[[#This Row],[Montant]]/Tab_Compteur_7[[#This Row],[Delta Jour]],"")</f>
        <v/>
      </c>
      <c r="I132" s="184" t="str">
        <f>IF(SUM(Tab_Compteur_7[[#This Row],[Quantité]],Tab_Compteur_7[[#This Row],[Index]])&lt;=0,"",G132)</f>
        <v/>
      </c>
      <c r="J132" s="185"/>
      <c r="K132" s="36"/>
      <c r="L132" s="36"/>
      <c r="M132" s="36"/>
    </row>
    <row r="133" spans="1:13">
      <c r="A133" s="2">
        <f t="shared" si="3"/>
        <v>1</v>
      </c>
      <c r="B133" s="505"/>
      <c r="C133" s="503"/>
      <c r="D133" s="491"/>
      <c r="E133" s="502"/>
      <c r="F133" s="219">
        <f t="shared" si="4"/>
        <v>0</v>
      </c>
      <c r="G133" s="219" t="str">
        <f>IF(IFERROR(IF(Str_TypeDonneesCpt7=Cpt_Index,Tab_Compteur_7[[#This Row],[Index]]-E132,Tab_Compteur_7[[#This Row],[Quantité]])/Tab_Compteur_7[[#This Row],[Delta Jour]],"")&lt;0,"",IFERROR(IF(Str_TypeDonneesCpt7=Cpt_Index,Tab_Compteur_7[[#This Row],[Index]]-E132,Tab_Compteur_7[[#This Row],[Quantité]])/Tab_Compteur_7[[#This Row],[Delta Jour]],""))</f>
        <v/>
      </c>
      <c r="H133" s="219" t="str">
        <f>IFERROR(Tab_Compteur_7[[#This Row],[Montant]]/Tab_Compteur_7[[#This Row],[Delta Jour]],"")</f>
        <v/>
      </c>
      <c r="I133" s="184" t="str">
        <f>IF(SUM(Tab_Compteur_7[[#This Row],[Quantité]],Tab_Compteur_7[[#This Row],[Index]])&lt;=0,"",G133)</f>
        <v/>
      </c>
      <c r="J133" s="185"/>
      <c r="K133" s="36"/>
      <c r="L133" s="36"/>
      <c r="M133" s="36"/>
    </row>
    <row r="134" spans="1:13">
      <c r="A134" s="2">
        <f t="shared" ref="A134:A197" si="5">IFERROR(B133+1,0)</f>
        <v>1</v>
      </c>
      <c r="B134" s="505"/>
      <c r="C134" s="503"/>
      <c r="D134" s="491"/>
      <c r="E134" s="502"/>
      <c r="F134" s="219">
        <f t="shared" si="4"/>
        <v>0</v>
      </c>
      <c r="G134" s="219" t="str">
        <f>IF(IFERROR(IF(Str_TypeDonneesCpt7=Cpt_Index,Tab_Compteur_7[[#This Row],[Index]]-E133,Tab_Compteur_7[[#This Row],[Quantité]])/Tab_Compteur_7[[#This Row],[Delta Jour]],"")&lt;0,"",IFERROR(IF(Str_TypeDonneesCpt7=Cpt_Index,Tab_Compteur_7[[#This Row],[Index]]-E133,Tab_Compteur_7[[#This Row],[Quantité]])/Tab_Compteur_7[[#This Row],[Delta Jour]],""))</f>
        <v/>
      </c>
      <c r="H134" s="219" t="str">
        <f>IFERROR(Tab_Compteur_7[[#This Row],[Montant]]/Tab_Compteur_7[[#This Row],[Delta Jour]],"")</f>
        <v/>
      </c>
      <c r="I134" s="184" t="str">
        <f>IF(SUM(Tab_Compteur_7[[#This Row],[Quantité]],Tab_Compteur_7[[#This Row],[Index]])&lt;=0,"",G134)</f>
        <v/>
      </c>
      <c r="J134" s="185"/>
      <c r="K134" s="36"/>
      <c r="L134" s="36"/>
      <c r="M134" s="36"/>
    </row>
    <row r="135" spans="1:13">
      <c r="A135" s="2">
        <f t="shared" si="5"/>
        <v>1</v>
      </c>
      <c r="B135" s="505"/>
      <c r="C135" s="503"/>
      <c r="D135" s="491"/>
      <c r="E135" s="502"/>
      <c r="F135" s="219">
        <f t="shared" si="4"/>
        <v>0</v>
      </c>
      <c r="G135" s="219" t="str">
        <f>IF(IFERROR(IF(Str_TypeDonneesCpt7=Cpt_Index,Tab_Compteur_7[[#This Row],[Index]]-E134,Tab_Compteur_7[[#This Row],[Quantité]])/Tab_Compteur_7[[#This Row],[Delta Jour]],"")&lt;0,"",IFERROR(IF(Str_TypeDonneesCpt7=Cpt_Index,Tab_Compteur_7[[#This Row],[Index]]-E134,Tab_Compteur_7[[#This Row],[Quantité]])/Tab_Compteur_7[[#This Row],[Delta Jour]],""))</f>
        <v/>
      </c>
      <c r="H135" s="219" t="str">
        <f>IFERROR(Tab_Compteur_7[[#This Row],[Montant]]/Tab_Compteur_7[[#This Row],[Delta Jour]],"")</f>
        <v/>
      </c>
      <c r="I135" s="184" t="str">
        <f>IF(SUM(Tab_Compteur_7[[#This Row],[Quantité]],Tab_Compteur_7[[#This Row],[Index]])&lt;=0,"",G135)</f>
        <v/>
      </c>
      <c r="J135" s="185"/>
      <c r="K135" s="36"/>
      <c r="L135" s="36"/>
      <c r="M135" s="36"/>
    </row>
    <row r="136" spans="1:13">
      <c r="A136" s="2">
        <f t="shared" si="5"/>
        <v>1</v>
      </c>
      <c r="B136" s="505"/>
      <c r="C136" s="503"/>
      <c r="D136" s="491"/>
      <c r="E136" s="502"/>
      <c r="F136" s="219">
        <f t="shared" si="4"/>
        <v>0</v>
      </c>
      <c r="G136" s="219" t="str">
        <f>IF(IFERROR(IF(Str_TypeDonneesCpt7=Cpt_Index,Tab_Compteur_7[[#This Row],[Index]]-E135,Tab_Compteur_7[[#This Row],[Quantité]])/Tab_Compteur_7[[#This Row],[Delta Jour]],"")&lt;0,"",IFERROR(IF(Str_TypeDonneesCpt7=Cpt_Index,Tab_Compteur_7[[#This Row],[Index]]-E135,Tab_Compteur_7[[#This Row],[Quantité]])/Tab_Compteur_7[[#This Row],[Delta Jour]],""))</f>
        <v/>
      </c>
      <c r="H136" s="219" t="str">
        <f>IFERROR(Tab_Compteur_7[[#This Row],[Montant]]/Tab_Compteur_7[[#This Row],[Delta Jour]],"")</f>
        <v/>
      </c>
      <c r="I136" s="184" t="str">
        <f>IF(SUM(Tab_Compteur_7[[#This Row],[Quantité]],Tab_Compteur_7[[#This Row],[Index]])&lt;=0,"",G136)</f>
        <v/>
      </c>
      <c r="J136" s="185"/>
      <c r="K136" s="36"/>
      <c r="L136" s="36"/>
      <c r="M136" s="36"/>
    </row>
    <row r="137" spans="1:13">
      <c r="A137" s="2">
        <f t="shared" si="5"/>
        <v>1</v>
      </c>
      <c r="B137" s="505"/>
      <c r="C137" s="503"/>
      <c r="D137" s="491"/>
      <c r="E137" s="502"/>
      <c r="F137" s="219">
        <f t="shared" si="4"/>
        <v>0</v>
      </c>
      <c r="G137" s="219" t="str">
        <f>IF(IFERROR(IF(Str_TypeDonneesCpt7=Cpt_Index,Tab_Compteur_7[[#This Row],[Index]]-E136,Tab_Compteur_7[[#This Row],[Quantité]])/Tab_Compteur_7[[#This Row],[Delta Jour]],"")&lt;0,"",IFERROR(IF(Str_TypeDonneesCpt7=Cpt_Index,Tab_Compteur_7[[#This Row],[Index]]-E136,Tab_Compteur_7[[#This Row],[Quantité]])/Tab_Compteur_7[[#This Row],[Delta Jour]],""))</f>
        <v/>
      </c>
      <c r="H137" s="219" t="str">
        <f>IFERROR(Tab_Compteur_7[[#This Row],[Montant]]/Tab_Compteur_7[[#This Row],[Delta Jour]],"")</f>
        <v/>
      </c>
      <c r="I137" s="184" t="str">
        <f>IF(SUM(Tab_Compteur_7[[#This Row],[Quantité]],Tab_Compteur_7[[#This Row],[Index]])&lt;=0,"",G137)</f>
        <v/>
      </c>
      <c r="J137" s="185"/>
      <c r="K137" s="36"/>
      <c r="L137" s="36"/>
      <c r="M137" s="36"/>
    </row>
    <row r="138" spans="1:13">
      <c r="A138" s="2">
        <f t="shared" si="5"/>
        <v>1</v>
      </c>
      <c r="B138" s="505"/>
      <c r="C138" s="503"/>
      <c r="D138" s="491"/>
      <c r="E138" s="502"/>
      <c r="F138" s="219">
        <f t="shared" si="4"/>
        <v>0</v>
      </c>
      <c r="G138" s="219" t="str">
        <f>IF(IFERROR(IF(Str_TypeDonneesCpt7=Cpt_Index,Tab_Compteur_7[[#This Row],[Index]]-E137,Tab_Compteur_7[[#This Row],[Quantité]])/Tab_Compteur_7[[#This Row],[Delta Jour]],"")&lt;0,"",IFERROR(IF(Str_TypeDonneesCpt7=Cpt_Index,Tab_Compteur_7[[#This Row],[Index]]-E137,Tab_Compteur_7[[#This Row],[Quantité]])/Tab_Compteur_7[[#This Row],[Delta Jour]],""))</f>
        <v/>
      </c>
      <c r="H138" s="219" t="str">
        <f>IFERROR(Tab_Compteur_7[[#This Row],[Montant]]/Tab_Compteur_7[[#This Row],[Delta Jour]],"")</f>
        <v/>
      </c>
      <c r="I138" s="184" t="str">
        <f>IF(SUM(Tab_Compteur_7[[#This Row],[Quantité]],Tab_Compteur_7[[#This Row],[Index]])&lt;=0,"",G138)</f>
        <v/>
      </c>
      <c r="J138" s="185"/>
      <c r="K138" s="36"/>
      <c r="L138" s="36"/>
      <c r="M138" s="36"/>
    </row>
    <row r="139" spans="1:13">
      <c r="A139" s="2">
        <f t="shared" si="5"/>
        <v>1</v>
      </c>
      <c r="B139" s="505"/>
      <c r="C139" s="503"/>
      <c r="D139" s="491"/>
      <c r="E139" s="502"/>
      <c r="F139" s="219">
        <f t="shared" si="4"/>
        <v>0</v>
      </c>
      <c r="G139" s="219" t="str">
        <f>IF(IFERROR(IF(Str_TypeDonneesCpt7=Cpt_Index,Tab_Compteur_7[[#This Row],[Index]]-E138,Tab_Compteur_7[[#This Row],[Quantité]])/Tab_Compteur_7[[#This Row],[Delta Jour]],"")&lt;0,"",IFERROR(IF(Str_TypeDonneesCpt7=Cpt_Index,Tab_Compteur_7[[#This Row],[Index]]-E138,Tab_Compteur_7[[#This Row],[Quantité]])/Tab_Compteur_7[[#This Row],[Delta Jour]],""))</f>
        <v/>
      </c>
      <c r="H139" s="219" t="str">
        <f>IFERROR(Tab_Compteur_7[[#This Row],[Montant]]/Tab_Compteur_7[[#This Row],[Delta Jour]],"")</f>
        <v/>
      </c>
      <c r="I139" s="184" t="str">
        <f>IF(SUM(Tab_Compteur_7[[#This Row],[Quantité]],Tab_Compteur_7[[#This Row],[Index]])&lt;=0,"",G139)</f>
        <v/>
      </c>
      <c r="J139" s="185"/>
      <c r="K139" s="36"/>
      <c r="L139" s="36"/>
      <c r="M139" s="36"/>
    </row>
    <row r="140" spans="1:13">
      <c r="A140" s="2">
        <f t="shared" si="5"/>
        <v>1</v>
      </c>
      <c r="B140" s="505"/>
      <c r="C140" s="503"/>
      <c r="D140" s="491"/>
      <c r="E140" s="502"/>
      <c r="F140" s="219">
        <f t="shared" si="4"/>
        <v>0</v>
      </c>
      <c r="G140" s="219" t="str">
        <f>IF(IFERROR(IF(Str_TypeDonneesCpt7=Cpt_Index,Tab_Compteur_7[[#This Row],[Index]]-E139,Tab_Compteur_7[[#This Row],[Quantité]])/Tab_Compteur_7[[#This Row],[Delta Jour]],"")&lt;0,"",IFERROR(IF(Str_TypeDonneesCpt7=Cpt_Index,Tab_Compteur_7[[#This Row],[Index]]-E139,Tab_Compteur_7[[#This Row],[Quantité]])/Tab_Compteur_7[[#This Row],[Delta Jour]],""))</f>
        <v/>
      </c>
      <c r="H140" s="219" t="str">
        <f>IFERROR(Tab_Compteur_7[[#This Row],[Montant]]/Tab_Compteur_7[[#This Row],[Delta Jour]],"")</f>
        <v/>
      </c>
      <c r="I140" s="184" t="str">
        <f>IF(SUM(Tab_Compteur_7[[#This Row],[Quantité]],Tab_Compteur_7[[#This Row],[Index]])&lt;=0,"",G140)</f>
        <v/>
      </c>
      <c r="J140" s="185"/>
      <c r="K140" s="36"/>
      <c r="L140" s="36"/>
      <c r="M140" s="36"/>
    </row>
    <row r="141" spans="1:13">
      <c r="A141" s="2">
        <f t="shared" si="5"/>
        <v>1</v>
      </c>
      <c r="B141" s="505"/>
      <c r="C141" s="503"/>
      <c r="D141" s="491"/>
      <c r="E141" s="502"/>
      <c r="F141" s="219">
        <f t="shared" si="4"/>
        <v>0</v>
      </c>
      <c r="G141" s="219" t="str">
        <f>IF(IFERROR(IF(Str_TypeDonneesCpt7=Cpt_Index,Tab_Compteur_7[[#This Row],[Index]]-E140,Tab_Compteur_7[[#This Row],[Quantité]])/Tab_Compteur_7[[#This Row],[Delta Jour]],"")&lt;0,"",IFERROR(IF(Str_TypeDonneesCpt7=Cpt_Index,Tab_Compteur_7[[#This Row],[Index]]-E140,Tab_Compteur_7[[#This Row],[Quantité]])/Tab_Compteur_7[[#This Row],[Delta Jour]],""))</f>
        <v/>
      </c>
      <c r="H141" s="219" t="str">
        <f>IFERROR(Tab_Compteur_7[[#This Row],[Montant]]/Tab_Compteur_7[[#This Row],[Delta Jour]],"")</f>
        <v/>
      </c>
      <c r="I141" s="184" t="str">
        <f>IF(SUM(Tab_Compteur_7[[#This Row],[Quantité]],Tab_Compteur_7[[#This Row],[Index]])&lt;=0,"",G141)</f>
        <v/>
      </c>
      <c r="J141" s="185"/>
      <c r="K141" s="36"/>
      <c r="L141" s="36"/>
      <c r="M141" s="36"/>
    </row>
    <row r="142" spans="1:13">
      <c r="A142" s="2">
        <f t="shared" si="5"/>
        <v>1</v>
      </c>
      <c r="B142" s="505"/>
      <c r="C142" s="503"/>
      <c r="D142" s="491"/>
      <c r="E142" s="502"/>
      <c r="F142" s="219">
        <f t="shared" si="4"/>
        <v>0</v>
      </c>
      <c r="G142" s="219" t="str">
        <f>IF(IFERROR(IF(Str_TypeDonneesCpt7=Cpt_Index,Tab_Compteur_7[[#This Row],[Index]]-E141,Tab_Compteur_7[[#This Row],[Quantité]])/Tab_Compteur_7[[#This Row],[Delta Jour]],"")&lt;0,"",IFERROR(IF(Str_TypeDonneesCpt7=Cpt_Index,Tab_Compteur_7[[#This Row],[Index]]-E141,Tab_Compteur_7[[#This Row],[Quantité]])/Tab_Compteur_7[[#This Row],[Delta Jour]],""))</f>
        <v/>
      </c>
      <c r="H142" s="219" t="str">
        <f>IFERROR(Tab_Compteur_7[[#This Row],[Montant]]/Tab_Compteur_7[[#This Row],[Delta Jour]],"")</f>
        <v/>
      </c>
      <c r="I142" s="184" t="str">
        <f>IF(SUM(Tab_Compteur_7[[#This Row],[Quantité]],Tab_Compteur_7[[#This Row],[Index]])&lt;=0,"",G142)</f>
        <v/>
      </c>
      <c r="J142" s="185"/>
      <c r="K142" s="36"/>
      <c r="L142" s="36"/>
      <c r="M142" s="36"/>
    </row>
    <row r="143" spans="1:13">
      <c r="A143" s="2">
        <f t="shared" si="5"/>
        <v>1</v>
      </c>
      <c r="B143" s="505"/>
      <c r="C143" s="503"/>
      <c r="D143" s="491"/>
      <c r="E143" s="502"/>
      <c r="F143" s="219">
        <f t="shared" si="4"/>
        <v>0</v>
      </c>
      <c r="G143" s="219" t="str">
        <f>IF(IFERROR(IF(Str_TypeDonneesCpt7=Cpt_Index,Tab_Compteur_7[[#This Row],[Index]]-E142,Tab_Compteur_7[[#This Row],[Quantité]])/Tab_Compteur_7[[#This Row],[Delta Jour]],"")&lt;0,"",IFERROR(IF(Str_TypeDonneesCpt7=Cpt_Index,Tab_Compteur_7[[#This Row],[Index]]-E142,Tab_Compteur_7[[#This Row],[Quantité]])/Tab_Compteur_7[[#This Row],[Delta Jour]],""))</f>
        <v/>
      </c>
      <c r="H143" s="219" t="str">
        <f>IFERROR(Tab_Compteur_7[[#This Row],[Montant]]/Tab_Compteur_7[[#This Row],[Delta Jour]],"")</f>
        <v/>
      </c>
      <c r="I143" s="184" t="str">
        <f>IF(SUM(Tab_Compteur_7[[#This Row],[Quantité]],Tab_Compteur_7[[#This Row],[Index]])&lt;=0,"",G143)</f>
        <v/>
      </c>
      <c r="J143" s="185"/>
      <c r="K143" s="36"/>
      <c r="L143" s="36"/>
      <c r="M143" s="36"/>
    </row>
    <row r="144" spans="1:13">
      <c r="A144" s="2">
        <f t="shared" si="5"/>
        <v>1</v>
      </c>
      <c r="B144" s="505"/>
      <c r="C144" s="503"/>
      <c r="D144" s="491"/>
      <c r="E144" s="502"/>
      <c r="F144" s="219">
        <f t="shared" si="4"/>
        <v>0</v>
      </c>
      <c r="G144" s="219" t="str">
        <f>IF(IFERROR(IF(Str_TypeDonneesCpt7=Cpt_Index,Tab_Compteur_7[[#This Row],[Index]]-E143,Tab_Compteur_7[[#This Row],[Quantité]])/Tab_Compteur_7[[#This Row],[Delta Jour]],"")&lt;0,"",IFERROR(IF(Str_TypeDonneesCpt7=Cpt_Index,Tab_Compteur_7[[#This Row],[Index]]-E143,Tab_Compteur_7[[#This Row],[Quantité]])/Tab_Compteur_7[[#This Row],[Delta Jour]],""))</f>
        <v/>
      </c>
      <c r="H144" s="219" t="str">
        <f>IFERROR(Tab_Compteur_7[[#This Row],[Montant]]/Tab_Compteur_7[[#This Row],[Delta Jour]],"")</f>
        <v/>
      </c>
      <c r="I144" s="184" t="str">
        <f>IF(SUM(Tab_Compteur_7[[#This Row],[Quantité]],Tab_Compteur_7[[#This Row],[Index]])&lt;=0,"",G144)</f>
        <v/>
      </c>
      <c r="J144" s="185"/>
      <c r="K144" s="36"/>
      <c r="L144" s="36"/>
      <c r="M144" s="36"/>
    </row>
    <row r="145" spans="1:13">
      <c r="A145" s="2">
        <f t="shared" si="5"/>
        <v>1</v>
      </c>
      <c r="B145" s="505"/>
      <c r="C145" s="503"/>
      <c r="D145" s="491"/>
      <c r="E145" s="502"/>
      <c r="F145" s="219">
        <f t="shared" si="4"/>
        <v>0</v>
      </c>
      <c r="G145" s="219" t="str">
        <f>IF(IFERROR(IF(Str_TypeDonneesCpt7=Cpt_Index,Tab_Compteur_7[[#This Row],[Index]]-E144,Tab_Compteur_7[[#This Row],[Quantité]])/Tab_Compteur_7[[#This Row],[Delta Jour]],"")&lt;0,"",IFERROR(IF(Str_TypeDonneesCpt7=Cpt_Index,Tab_Compteur_7[[#This Row],[Index]]-E144,Tab_Compteur_7[[#This Row],[Quantité]])/Tab_Compteur_7[[#This Row],[Delta Jour]],""))</f>
        <v/>
      </c>
      <c r="H145" s="219" t="str">
        <f>IFERROR(Tab_Compteur_7[[#This Row],[Montant]]/Tab_Compteur_7[[#This Row],[Delta Jour]],"")</f>
        <v/>
      </c>
      <c r="I145" s="184" t="str">
        <f>IF(SUM(Tab_Compteur_7[[#This Row],[Quantité]],Tab_Compteur_7[[#This Row],[Index]])&lt;=0,"",G145)</f>
        <v/>
      </c>
      <c r="J145" s="185"/>
      <c r="K145" s="36"/>
      <c r="L145" s="36"/>
      <c r="M145" s="36"/>
    </row>
    <row r="146" spans="1:13">
      <c r="A146" s="2">
        <f t="shared" si="5"/>
        <v>1</v>
      </c>
      <c r="B146" s="505"/>
      <c r="C146" s="503"/>
      <c r="D146" s="491"/>
      <c r="E146" s="502"/>
      <c r="F146" s="219">
        <f t="shared" si="4"/>
        <v>0</v>
      </c>
      <c r="G146" s="219" t="str">
        <f>IF(IFERROR(IF(Str_TypeDonneesCpt7=Cpt_Index,Tab_Compteur_7[[#This Row],[Index]]-E145,Tab_Compteur_7[[#This Row],[Quantité]])/Tab_Compteur_7[[#This Row],[Delta Jour]],"")&lt;0,"",IFERROR(IF(Str_TypeDonneesCpt7=Cpt_Index,Tab_Compteur_7[[#This Row],[Index]]-E145,Tab_Compteur_7[[#This Row],[Quantité]])/Tab_Compteur_7[[#This Row],[Delta Jour]],""))</f>
        <v/>
      </c>
      <c r="H146" s="219" t="str">
        <f>IFERROR(Tab_Compteur_7[[#This Row],[Montant]]/Tab_Compteur_7[[#This Row],[Delta Jour]],"")</f>
        <v/>
      </c>
      <c r="I146" s="184" t="str">
        <f>IF(SUM(Tab_Compteur_7[[#This Row],[Quantité]],Tab_Compteur_7[[#This Row],[Index]])&lt;=0,"",G146)</f>
        <v/>
      </c>
      <c r="J146" s="185"/>
      <c r="K146" s="36"/>
      <c r="L146" s="36"/>
      <c r="M146" s="36"/>
    </row>
    <row r="147" spans="1:13">
      <c r="A147" s="2">
        <f t="shared" si="5"/>
        <v>1</v>
      </c>
      <c r="B147" s="505"/>
      <c r="C147" s="503"/>
      <c r="D147" s="491"/>
      <c r="E147" s="502"/>
      <c r="F147" s="219">
        <f t="shared" si="4"/>
        <v>0</v>
      </c>
      <c r="G147" s="219" t="str">
        <f>IF(IFERROR(IF(Str_TypeDonneesCpt7=Cpt_Index,Tab_Compteur_7[[#This Row],[Index]]-E146,Tab_Compteur_7[[#This Row],[Quantité]])/Tab_Compteur_7[[#This Row],[Delta Jour]],"")&lt;0,"",IFERROR(IF(Str_TypeDonneesCpt7=Cpt_Index,Tab_Compteur_7[[#This Row],[Index]]-E146,Tab_Compteur_7[[#This Row],[Quantité]])/Tab_Compteur_7[[#This Row],[Delta Jour]],""))</f>
        <v/>
      </c>
      <c r="H147" s="219" t="str">
        <f>IFERROR(Tab_Compteur_7[[#This Row],[Montant]]/Tab_Compteur_7[[#This Row],[Delta Jour]],"")</f>
        <v/>
      </c>
      <c r="I147" s="184" t="str">
        <f>IF(SUM(Tab_Compteur_7[[#This Row],[Quantité]],Tab_Compteur_7[[#This Row],[Index]])&lt;=0,"",G147)</f>
        <v/>
      </c>
      <c r="J147" s="185"/>
      <c r="K147" s="36"/>
      <c r="L147" s="36"/>
      <c r="M147" s="36"/>
    </row>
    <row r="148" spans="1:13">
      <c r="A148" s="2">
        <f t="shared" si="5"/>
        <v>1</v>
      </c>
      <c r="B148" s="505"/>
      <c r="C148" s="503"/>
      <c r="D148" s="491"/>
      <c r="E148" s="502"/>
      <c r="F148" s="219">
        <f t="shared" si="4"/>
        <v>0</v>
      </c>
      <c r="G148" s="219" t="str">
        <f>IF(IFERROR(IF(Str_TypeDonneesCpt7=Cpt_Index,Tab_Compteur_7[[#This Row],[Index]]-E147,Tab_Compteur_7[[#This Row],[Quantité]])/Tab_Compteur_7[[#This Row],[Delta Jour]],"")&lt;0,"",IFERROR(IF(Str_TypeDonneesCpt7=Cpt_Index,Tab_Compteur_7[[#This Row],[Index]]-E147,Tab_Compteur_7[[#This Row],[Quantité]])/Tab_Compteur_7[[#This Row],[Delta Jour]],""))</f>
        <v/>
      </c>
      <c r="H148" s="219" t="str">
        <f>IFERROR(Tab_Compteur_7[[#This Row],[Montant]]/Tab_Compteur_7[[#This Row],[Delta Jour]],"")</f>
        <v/>
      </c>
      <c r="I148" s="184" t="str">
        <f>IF(SUM(Tab_Compteur_7[[#This Row],[Quantité]],Tab_Compteur_7[[#This Row],[Index]])&lt;=0,"",G148)</f>
        <v/>
      </c>
      <c r="J148" s="185"/>
      <c r="K148" s="36"/>
      <c r="L148" s="36"/>
      <c r="M148" s="36"/>
    </row>
    <row r="149" spans="1:13">
      <c r="A149" s="2">
        <f t="shared" si="5"/>
        <v>1</v>
      </c>
      <c r="B149" s="505"/>
      <c r="C149" s="503"/>
      <c r="D149" s="491"/>
      <c r="E149" s="502"/>
      <c r="F149" s="219">
        <f t="shared" si="4"/>
        <v>0</v>
      </c>
      <c r="G149" s="219" t="str">
        <f>IF(IFERROR(IF(Str_TypeDonneesCpt7=Cpt_Index,Tab_Compteur_7[[#This Row],[Index]]-E148,Tab_Compteur_7[[#This Row],[Quantité]])/Tab_Compteur_7[[#This Row],[Delta Jour]],"")&lt;0,"",IFERROR(IF(Str_TypeDonneesCpt7=Cpt_Index,Tab_Compteur_7[[#This Row],[Index]]-E148,Tab_Compteur_7[[#This Row],[Quantité]])/Tab_Compteur_7[[#This Row],[Delta Jour]],""))</f>
        <v/>
      </c>
      <c r="H149" s="219" t="str">
        <f>IFERROR(Tab_Compteur_7[[#This Row],[Montant]]/Tab_Compteur_7[[#This Row],[Delta Jour]],"")</f>
        <v/>
      </c>
      <c r="I149" s="184" t="str">
        <f>IF(SUM(Tab_Compteur_7[[#This Row],[Quantité]],Tab_Compteur_7[[#This Row],[Index]])&lt;=0,"",G149)</f>
        <v/>
      </c>
      <c r="J149" s="185"/>
      <c r="K149" s="36"/>
      <c r="L149" s="36"/>
      <c r="M149" s="36"/>
    </row>
    <row r="150" spans="1:13">
      <c r="A150" s="2">
        <f t="shared" si="5"/>
        <v>1</v>
      </c>
      <c r="B150" s="505"/>
      <c r="C150" s="503"/>
      <c r="D150" s="491"/>
      <c r="E150" s="502"/>
      <c r="F150" s="219">
        <f t="shared" si="4"/>
        <v>0</v>
      </c>
      <c r="G150" s="219" t="str">
        <f>IF(IFERROR(IF(Str_TypeDonneesCpt7=Cpt_Index,Tab_Compteur_7[[#This Row],[Index]]-E149,Tab_Compteur_7[[#This Row],[Quantité]])/Tab_Compteur_7[[#This Row],[Delta Jour]],"")&lt;0,"",IFERROR(IF(Str_TypeDonneesCpt7=Cpt_Index,Tab_Compteur_7[[#This Row],[Index]]-E149,Tab_Compteur_7[[#This Row],[Quantité]])/Tab_Compteur_7[[#This Row],[Delta Jour]],""))</f>
        <v/>
      </c>
      <c r="H150" s="219" t="str">
        <f>IFERROR(Tab_Compteur_7[[#This Row],[Montant]]/Tab_Compteur_7[[#This Row],[Delta Jour]],"")</f>
        <v/>
      </c>
      <c r="I150" s="184" t="str">
        <f>IF(SUM(Tab_Compteur_7[[#This Row],[Quantité]],Tab_Compteur_7[[#This Row],[Index]])&lt;=0,"",G150)</f>
        <v/>
      </c>
      <c r="J150" s="185"/>
      <c r="K150" s="36"/>
      <c r="L150" s="36"/>
      <c r="M150" s="36"/>
    </row>
    <row r="151" spans="1:13">
      <c r="A151" s="2">
        <f t="shared" si="5"/>
        <v>1</v>
      </c>
      <c r="B151" s="505"/>
      <c r="C151" s="503"/>
      <c r="D151" s="491"/>
      <c r="E151" s="502"/>
      <c r="F151" s="219">
        <f t="shared" si="4"/>
        <v>0</v>
      </c>
      <c r="G151" s="219" t="str">
        <f>IF(IFERROR(IF(Str_TypeDonneesCpt7=Cpt_Index,Tab_Compteur_7[[#This Row],[Index]]-E150,Tab_Compteur_7[[#This Row],[Quantité]])/Tab_Compteur_7[[#This Row],[Delta Jour]],"")&lt;0,"",IFERROR(IF(Str_TypeDonneesCpt7=Cpt_Index,Tab_Compteur_7[[#This Row],[Index]]-E150,Tab_Compteur_7[[#This Row],[Quantité]])/Tab_Compteur_7[[#This Row],[Delta Jour]],""))</f>
        <v/>
      </c>
      <c r="H151" s="219" t="str">
        <f>IFERROR(Tab_Compteur_7[[#This Row],[Montant]]/Tab_Compteur_7[[#This Row],[Delta Jour]],"")</f>
        <v/>
      </c>
      <c r="I151" s="184" t="str">
        <f>IF(SUM(Tab_Compteur_7[[#This Row],[Quantité]],Tab_Compteur_7[[#This Row],[Index]])&lt;=0,"",G151)</f>
        <v/>
      </c>
      <c r="J151" s="185"/>
      <c r="K151" s="36"/>
      <c r="L151" s="36"/>
      <c r="M151" s="36"/>
    </row>
    <row r="152" spans="1:13">
      <c r="A152" s="2">
        <f t="shared" si="5"/>
        <v>1</v>
      </c>
      <c r="B152" s="505"/>
      <c r="C152" s="503"/>
      <c r="D152" s="491"/>
      <c r="E152" s="502"/>
      <c r="F152" s="219">
        <f t="shared" si="4"/>
        <v>0</v>
      </c>
      <c r="G152" s="219" t="str">
        <f>IF(IFERROR(IF(Str_TypeDonneesCpt7=Cpt_Index,Tab_Compteur_7[[#This Row],[Index]]-E151,Tab_Compteur_7[[#This Row],[Quantité]])/Tab_Compteur_7[[#This Row],[Delta Jour]],"")&lt;0,"",IFERROR(IF(Str_TypeDonneesCpt7=Cpt_Index,Tab_Compteur_7[[#This Row],[Index]]-E151,Tab_Compteur_7[[#This Row],[Quantité]])/Tab_Compteur_7[[#This Row],[Delta Jour]],""))</f>
        <v/>
      </c>
      <c r="H152" s="219" t="str">
        <f>IFERROR(Tab_Compteur_7[[#This Row],[Montant]]/Tab_Compteur_7[[#This Row],[Delta Jour]],"")</f>
        <v/>
      </c>
      <c r="I152" s="184" t="str">
        <f>IF(SUM(Tab_Compteur_7[[#This Row],[Quantité]],Tab_Compteur_7[[#This Row],[Index]])&lt;=0,"",G152)</f>
        <v/>
      </c>
      <c r="J152" s="185"/>
      <c r="K152" s="36"/>
      <c r="L152" s="36"/>
      <c r="M152" s="36"/>
    </row>
    <row r="153" spans="1:13">
      <c r="A153" s="2">
        <f t="shared" si="5"/>
        <v>1</v>
      </c>
      <c r="B153" s="505"/>
      <c r="C153" s="503"/>
      <c r="D153" s="491"/>
      <c r="E153" s="502"/>
      <c r="F153" s="219">
        <f t="shared" si="4"/>
        <v>0</v>
      </c>
      <c r="G153" s="219" t="str">
        <f>IF(IFERROR(IF(Str_TypeDonneesCpt7=Cpt_Index,Tab_Compteur_7[[#This Row],[Index]]-E152,Tab_Compteur_7[[#This Row],[Quantité]])/Tab_Compteur_7[[#This Row],[Delta Jour]],"")&lt;0,"",IFERROR(IF(Str_TypeDonneesCpt7=Cpt_Index,Tab_Compteur_7[[#This Row],[Index]]-E152,Tab_Compteur_7[[#This Row],[Quantité]])/Tab_Compteur_7[[#This Row],[Delta Jour]],""))</f>
        <v/>
      </c>
      <c r="H153" s="219" t="str">
        <f>IFERROR(Tab_Compteur_7[[#This Row],[Montant]]/Tab_Compteur_7[[#This Row],[Delta Jour]],"")</f>
        <v/>
      </c>
      <c r="I153" s="184" t="str">
        <f>IF(SUM(Tab_Compteur_7[[#This Row],[Quantité]],Tab_Compteur_7[[#This Row],[Index]])&lt;=0,"",G153)</f>
        <v/>
      </c>
      <c r="J153" s="185"/>
      <c r="K153" s="36"/>
      <c r="L153" s="36"/>
      <c r="M153" s="36"/>
    </row>
    <row r="154" spans="1:13">
      <c r="A154" s="2">
        <f t="shared" si="5"/>
        <v>1</v>
      </c>
      <c r="B154" s="505"/>
      <c r="C154" s="503"/>
      <c r="D154" s="491"/>
      <c r="E154" s="502"/>
      <c r="F154" s="219">
        <f t="shared" si="4"/>
        <v>0</v>
      </c>
      <c r="G154" s="219" t="str">
        <f>IF(IFERROR(IF(Str_TypeDonneesCpt7=Cpt_Index,Tab_Compteur_7[[#This Row],[Index]]-E153,Tab_Compteur_7[[#This Row],[Quantité]])/Tab_Compteur_7[[#This Row],[Delta Jour]],"")&lt;0,"",IFERROR(IF(Str_TypeDonneesCpt7=Cpt_Index,Tab_Compteur_7[[#This Row],[Index]]-E153,Tab_Compteur_7[[#This Row],[Quantité]])/Tab_Compteur_7[[#This Row],[Delta Jour]],""))</f>
        <v/>
      </c>
      <c r="H154" s="219" t="str">
        <f>IFERROR(Tab_Compteur_7[[#This Row],[Montant]]/Tab_Compteur_7[[#This Row],[Delta Jour]],"")</f>
        <v/>
      </c>
      <c r="I154" s="184" t="str">
        <f>IF(SUM(Tab_Compteur_7[[#This Row],[Quantité]],Tab_Compteur_7[[#This Row],[Index]])&lt;=0,"",G154)</f>
        <v/>
      </c>
      <c r="J154" s="185"/>
      <c r="K154" s="36"/>
      <c r="L154" s="36"/>
      <c r="M154" s="36"/>
    </row>
    <row r="155" spans="1:13">
      <c r="A155" s="2">
        <f t="shared" si="5"/>
        <v>1</v>
      </c>
      <c r="B155" s="505"/>
      <c r="C155" s="503"/>
      <c r="D155" s="491"/>
      <c r="E155" s="502"/>
      <c r="F155" s="219">
        <f t="shared" si="4"/>
        <v>0</v>
      </c>
      <c r="G155" s="219" t="str">
        <f>IF(IFERROR(IF(Str_TypeDonneesCpt7=Cpt_Index,Tab_Compteur_7[[#This Row],[Index]]-E154,Tab_Compteur_7[[#This Row],[Quantité]])/Tab_Compteur_7[[#This Row],[Delta Jour]],"")&lt;0,"",IFERROR(IF(Str_TypeDonneesCpt7=Cpt_Index,Tab_Compteur_7[[#This Row],[Index]]-E154,Tab_Compteur_7[[#This Row],[Quantité]])/Tab_Compteur_7[[#This Row],[Delta Jour]],""))</f>
        <v/>
      </c>
      <c r="H155" s="219" t="str">
        <f>IFERROR(Tab_Compteur_7[[#This Row],[Montant]]/Tab_Compteur_7[[#This Row],[Delta Jour]],"")</f>
        <v/>
      </c>
      <c r="I155" s="184" t="str">
        <f>IF(SUM(Tab_Compteur_7[[#This Row],[Quantité]],Tab_Compteur_7[[#This Row],[Index]])&lt;=0,"",G155)</f>
        <v/>
      </c>
      <c r="J155" s="185"/>
      <c r="K155" s="36"/>
      <c r="L155" s="36"/>
      <c r="M155" s="36"/>
    </row>
    <row r="156" spans="1:13">
      <c r="A156" s="2">
        <f t="shared" si="5"/>
        <v>1</v>
      </c>
      <c r="B156" s="505"/>
      <c r="C156" s="503"/>
      <c r="D156" s="491"/>
      <c r="E156" s="502"/>
      <c r="F156" s="219">
        <f t="shared" si="4"/>
        <v>0</v>
      </c>
      <c r="G156" s="219" t="str">
        <f>IF(IFERROR(IF(Str_TypeDonneesCpt7=Cpt_Index,Tab_Compteur_7[[#This Row],[Index]]-E155,Tab_Compteur_7[[#This Row],[Quantité]])/Tab_Compteur_7[[#This Row],[Delta Jour]],"")&lt;0,"",IFERROR(IF(Str_TypeDonneesCpt7=Cpt_Index,Tab_Compteur_7[[#This Row],[Index]]-E155,Tab_Compteur_7[[#This Row],[Quantité]])/Tab_Compteur_7[[#This Row],[Delta Jour]],""))</f>
        <v/>
      </c>
      <c r="H156" s="219" t="str">
        <f>IFERROR(Tab_Compteur_7[[#This Row],[Montant]]/Tab_Compteur_7[[#This Row],[Delta Jour]],"")</f>
        <v/>
      </c>
      <c r="I156" s="184" t="str">
        <f>IF(SUM(Tab_Compteur_7[[#This Row],[Quantité]],Tab_Compteur_7[[#This Row],[Index]])&lt;=0,"",G156)</f>
        <v/>
      </c>
      <c r="J156" s="185"/>
      <c r="K156" s="36"/>
      <c r="L156" s="36"/>
      <c r="M156" s="36"/>
    </row>
    <row r="157" spans="1:13">
      <c r="A157" s="2">
        <f t="shared" si="5"/>
        <v>1</v>
      </c>
      <c r="B157" s="505"/>
      <c r="C157" s="503"/>
      <c r="D157" s="491"/>
      <c r="E157" s="502"/>
      <c r="F157" s="219">
        <f t="shared" si="4"/>
        <v>0</v>
      </c>
      <c r="G157" s="219" t="str">
        <f>IF(IFERROR(IF(Str_TypeDonneesCpt7=Cpt_Index,Tab_Compteur_7[[#This Row],[Index]]-E156,Tab_Compteur_7[[#This Row],[Quantité]])/Tab_Compteur_7[[#This Row],[Delta Jour]],"")&lt;0,"",IFERROR(IF(Str_TypeDonneesCpt7=Cpt_Index,Tab_Compteur_7[[#This Row],[Index]]-E156,Tab_Compteur_7[[#This Row],[Quantité]])/Tab_Compteur_7[[#This Row],[Delta Jour]],""))</f>
        <v/>
      </c>
      <c r="H157" s="219" t="str">
        <f>IFERROR(Tab_Compteur_7[[#This Row],[Montant]]/Tab_Compteur_7[[#This Row],[Delta Jour]],"")</f>
        <v/>
      </c>
      <c r="I157" s="184" t="str">
        <f>IF(SUM(Tab_Compteur_7[[#This Row],[Quantité]],Tab_Compteur_7[[#This Row],[Index]])&lt;=0,"",G157)</f>
        <v/>
      </c>
      <c r="J157" s="185"/>
      <c r="K157" s="36"/>
      <c r="L157" s="36"/>
      <c r="M157" s="36"/>
    </row>
    <row r="158" spans="1:13">
      <c r="A158" s="2">
        <f t="shared" si="5"/>
        <v>1</v>
      </c>
      <c r="B158" s="505"/>
      <c r="C158" s="503"/>
      <c r="D158" s="491"/>
      <c r="E158" s="502"/>
      <c r="F158" s="219">
        <f t="shared" si="4"/>
        <v>0</v>
      </c>
      <c r="G158" s="219" t="str">
        <f>IF(IFERROR(IF(Str_TypeDonneesCpt7=Cpt_Index,Tab_Compteur_7[[#This Row],[Index]]-E157,Tab_Compteur_7[[#This Row],[Quantité]])/Tab_Compteur_7[[#This Row],[Delta Jour]],"")&lt;0,"",IFERROR(IF(Str_TypeDonneesCpt7=Cpt_Index,Tab_Compteur_7[[#This Row],[Index]]-E157,Tab_Compteur_7[[#This Row],[Quantité]])/Tab_Compteur_7[[#This Row],[Delta Jour]],""))</f>
        <v/>
      </c>
      <c r="H158" s="219" t="str">
        <f>IFERROR(Tab_Compteur_7[[#This Row],[Montant]]/Tab_Compteur_7[[#This Row],[Delta Jour]],"")</f>
        <v/>
      </c>
      <c r="I158" s="184" t="str">
        <f>IF(SUM(Tab_Compteur_7[[#This Row],[Quantité]],Tab_Compteur_7[[#This Row],[Index]])&lt;=0,"",G158)</f>
        <v/>
      </c>
      <c r="J158" s="185"/>
      <c r="K158" s="36"/>
      <c r="L158" s="36"/>
      <c r="M158" s="36"/>
    </row>
    <row r="159" spans="1:13">
      <c r="A159" s="2">
        <f t="shared" si="5"/>
        <v>1</v>
      </c>
      <c r="B159" s="505"/>
      <c r="C159" s="503"/>
      <c r="D159" s="491"/>
      <c r="E159" s="502"/>
      <c r="F159" s="219">
        <f t="shared" si="4"/>
        <v>0</v>
      </c>
      <c r="G159" s="219" t="str">
        <f>IF(IFERROR(IF(Str_TypeDonneesCpt7=Cpt_Index,Tab_Compteur_7[[#This Row],[Index]]-E158,Tab_Compteur_7[[#This Row],[Quantité]])/Tab_Compteur_7[[#This Row],[Delta Jour]],"")&lt;0,"",IFERROR(IF(Str_TypeDonneesCpt7=Cpt_Index,Tab_Compteur_7[[#This Row],[Index]]-E158,Tab_Compteur_7[[#This Row],[Quantité]])/Tab_Compteur_7[[#This Row],[Delta Jour]],""))</f>
        <v/>
      </c>
      <c r="H159" s="219" t="str">
        <f>IFERROR(Tab_Compteur_7[[#This Row],[Montant]]/Tab_Compteur_7[[#This Row],[Delta Jour]],"")</f>
        <v/>
      </c>
      <c r="I159" s="184" t="str">
        <f>IF(SUM(Tab_Compteur_7[[#This Row],[Quantité]],Tab_Compteur_7[[#This Row],[Index]])&lt;=0,"",G159)</f>
        <v/>
      </c>
      <c r="J159" s="185"/>
      <c r="K159" s="36"/>
      <c r="L159" s="36"/>
      <c r="M159" s="36"/>
    </row>
    <row r="160" spans="1:13">
      <c r="A160" s="2">
        <f t="shared" si="5"/>
        <v>1</v>
      </c>
      <c r="B160" s="505"/>
      <c r="C160" s="503"/>
      <c r="D160" s="491"/>
      <c r="E160" s="502"/>
      <c r="F160" s="219">
        <f t="shared" si="4"/>
        <v>0</v>
      </c>
      <c r="G160" s="219" t="str">
        <f>IF(IFERROR(IF(Str_TypeDonneesCpt7=Cpt_Index,Tab_Compteur_7[[#This Row],[Index]]-E159,Tab_Compteur_7[[#This Row],[Quantité]])/Tab_Compteur_7[[#This Row],[Delta Jour]],"")&lt;0,"",IFERROR(IF(Str_TypeDonneesCpt7=Cpt_Index,Tab_Compteur_7[[#This Row],[Index]]-E159,Tab_Compteur_7[[#This Row],[Quantité]])/Tab_Compteur_7[[#This Row],[Delta Jour]],""))</f>
        <v/>
      </c>
      <c r="H160" s="219" t="str">
        <f>IFERROR(Tab_Compteur_7[[#This Row],[Montant]]/Tab_Compteur_7[[#This Row],[Delta Jour]],"")</f>
        <v/>
      </c>
      <c r="I160" s="184" t="str">
        <f>IF(SUM(Tab_Compteur_7[[#This Row],[Quantité]],Tab_Compteur_7[[#This Row],[Index]])&lt;=0,"",G160)</f>
        <v/>
      </c>
      <c r="J160" s="185"/>
      <c r="K160" s="36"/>
      <c r="L160" s="36"/>
      <c r="M160" s="36"/>
    </row>
    <row r="161" spans="1:13">
      <c r="A161" s="2">
        <f t="shared" si="5"/>
        <v>1</v>
      </c>
      <c r="B161" s="505"/>
      <c r="C161" s="503"/>
      <c r="D161" s="491"/>
      <c r="E161" s="502"/>
      <c r="F161" s="219">
        <f t="shared" si="4"/>
        <v>0</v>
      </c>
      <c r="G161" s="219" t="str">
        <f>IF(IFERROR(IF(Str_TypeDonneesCpt7=Cpt_Index,Tab_Compteur_7[[#This Row],[Index]]-E160,Tab_Compteur_7[[#This Row],[Quantité]])/Tab_Compteur_7[[#This Row],[Delta Jour]],"")&lt;0,"",IFERROR(IF(Str_TypeDonneesCpt7=Cpt_Index,Tab_Compteur_7[[#This Row],[Index]]-E160,Tab_Compteur_7[[#This Row],[Quantité]])/Tab_Compteur_7[[#This Row],[Delta Jour]],""))</f>
        <v/>
      </c>
      <c r="H161" s="219" t="str">
        <f>IFERROR(Tab_Compteur_7[[#This Row],[Montant]]/Tab_Compteur_7[[#This Row],[Delta Jour]],"")</f>
        <v/>
      </c>
      <c r="I161" s="184" t="str">
        <f>IF(SUM(Tab_Compteur_7[[#This Row],[Quantité]],Tab_Compteur_7[[#This Row],[Index]])&lt;=0,"",G161)</f>
        <v/>
      </c>
      <c r="J161" s="185"/>
      <c r="K161" s="36"/>
      <c r="L161" s="36"/>
      <c r="M161" s="36"/>
    </row>
    <row r="162" spans="1:13">
      <c r="A162" s="2">
        <f t="shared" si="5"/>
        <v>1</v>
      </c>
      <c r="B162" s="505"/>
      <c r="C162" s="503"/>
      <c r="D162" s="491"/>
      <c r="E162" s="502"/>
      <c r="F162" s="219">
        <f t="shared" si="4"/>
        <v>0</v>
      </c>
      <c r="G162" s="219" t="str">
        <f>IF(IFERROR(IF(Str_TypeDonneesCpt7=Cpt_Index,Tab_Compteur_7[[#This Row],[Index]]-E161,Tab_Compteur_7[[#This Row],[Quantité]])/Tab_Compteur_7[[#This Row],[Delta Jour]],"")&lt;0,"",IFERROR(IF(Str_TypeDonneesCpt7=Cpt_Index,Tab_Compteur_7[[#This Row],[Index]]-E161,Tab_Compteur_7[[#This Row],[Quantité]])/Tab_Compteur_7[[#This Row],[Delta Jour]],""))</f>
        <v/>
      </c>
      <c r="H162" s="219" t="str">
        <f>IFERROR(Tab_Compteur_7[[#This Row],[Montant]]/Tab_Compteur_7[[#This Row],[Delta Jour]],"")</f>
        <v/>
      </c>
      <c r="I162" s="184" t="str">
        <f>IF(SUM(Tab_Compteur_7[[#This Row],[Quantité]],Tab_Compteur_7[[#This Row],[Index]])&lt;=0,"",G162)</f>
        <v/>
      </c>
      <c r="J162" s="185"/>
      <c r="K162" s="36"/>
      <c r="L162" s="36"/>
      <c r="M162" s="36"/>
    </row>
    <row r="163" spans="1:13">
      <c r="A163" s="2">
        <f t="shared" si="5"/>
        <v>1</v>
      </c>
      <c r="B163" s="505"/>
      <c r="C163" s="503"/>
      <c r="D163" s="491"/>
      <c r="E163" s="502"/>
      <c r="F163" s="219">
        <f t="shared" si="4"/>
        <v>0</v>
      </c>
      <c r="G163" s="219" t="str">
        <f>IF(IFERROR(IF(Str_TypeDonneesCpt7=Cpt_Index,Tab_Compteur_7[[#This Row],[Index]]-E162,Tab_Compteur_7[[#This Row],[Quantité]])/Tab_Compteur_7[[#This Row],[Delta Jour]],"")&lt;0,"",IFERROR(IF(Str_TypeDonneesCpt7=Cpt_Index,Tab_Compteur_7[[#This Row],[Index]]-E162,Tab_Compteur_7[[#This Row],[Quantité]])/Tab_Compteur_7[[#This Row],[Delta Jour]],""))</f>
        <v/>
      </c>
      <c r="H163" s="219" t="str">
        <f>IFERROR(Tab_Compteur_7[[#This Row],[Montant]]/Tab_Compteur_7[[#This Row],[Delta Jour]],"")</f>
        <v/>
      </c>
      <c r="I163" s="184" t="str">
        <f>IF(SUM(Tab_Compteur_7[[#This Row],[Quantité]],Tab_Compteur_7[[#This Row],[Index]])&lt;=0,"",G163)</f>
        <v/>
      </c>
      <c r="J163" s="185"/>
      <c r="K163" s="36"/>
      <c r="L163" s="36"/>
      <c r="M163" s="36"/>
    </row>
    <row r="164" spans="1:13">
      <c r="A164" s="2">
        <f t="shared" si="5"/>
        <v>1</v>
      </c>
      <c r="B164" s="505"/>
      <c r="C164" s="503"/>
      <c r="D164" s="491"/>
      <c r="E164" s="502"/>
      <c r="F164" s="219">
        <f t="shared" si="4"/>
        <v>0</v>
      </c>
      <c r="G164" s="219" t="str">
        <f>IF(IFERROR(IF(Str_TypeDonneesCpt7=Cpt_Index,Tab_Compteur_7[[#This Row],[Index]]-E163,Tab_Compteur_7[[#This Row],[Quantité]])/Tab_Compteur_7[[#This Row],[Delta Jour]],"")&lt;0,"",IFERROR(IF(Str_TypeDonneesCpt7=Cpt_Index,Tab_Compteur_7[[#This Row],[Index]]-E163,Tab_Compteur_7[[#This Row],[Quantité]])/Tab_Compteur_7[[#This Row],[Delta Jour]],""))</f>
        <v/>
      </c>
      <c r="H164" s="219" t="str">
        <f>IFERROR(Tab_Compteur_7[[#This Row],[Montant]]/Tab_Compteur_7[[#This Row],[Delta Jour]],"")</f>
        <v/>
      </c>
      <c r="I164" s="184" t="str">
        <f>IF(SUM(Tab_Compteur_7[[#This Row],[Quantité]],Tab_Compteur_7[[#This Row],[Index]])&lt;=0,"",G164)</f>
        <v/>
      </c>
      <c r="J164" s="185"/>
      <c r="K164" s="36"/>
      <c r="L164" s="36"/>
      <c r="M164" s="36"/>
    </row>
    <row r="165" spans="1:13">
      <c r="A165" s="2">
        <f t="shared" si="5"/>
        <v>1</v>
      </c>
      <c r="B165" s="505"/>
      <c r="C165" s="503"/>
      <c r="D165" s="491"/>
      <c r="E165" s="502"/>
      <c r="F165" s="219">
        <f t="shared" si="4"/>
        <v>0</v>
      </c>
      <c r="G165" s="219" t="str">
        <f>IF(IFERROR(IF(Str_TypeDonneesCpt7=Cpt_Index,Tab_Compteur_7[[#This Row],[Index]]-E164,Tab_Compteur_7[[#This Row],[Quantité]])/Tab_Compteur_7[[#This Row],[Delta Jour]],"")&lt;0,"",IFERROR(IF(Str_TypeDonneesCpt7=Cpt_Index,Tab_Compteur_7[[#This Row],[Index]]-E164,Tab_Compteur_7[[#This Row],[Quantité]])/Tab_Compteur_7[[#This Row],[Delta Jour]],""))</f>
        <v/>
      </c>
      <c r="H165" s="219" t="str">
        <f>IFERROR(Tab_Compteur_7[[#This Row],[Montant]]/Tab_Compteur_7[[#This Row],[Delta Jour]],"")</f>
        <v/>
      </c>
      <c r="I165" s="184" t="str">
        <f>IF(SUM(Tab_Compteur_7[[#This Row],[Quantité]],Tab_Compteur_7[[#This Row],[Index]])&lt;=0,"",G165)</f>
        <v/>
      </c>
      <c r="J165" s="185"/>
      <c r="K165" s="36"/>
      <c r="L165" s="36"/>
      <c r="M165" s="36"/>
    </row>
    <row r="166" spans="1:13">
      <c r="A166" s="2">
        <f t="shared" si="5"/>
        <v>1</v>
      </c>
      <c r="B166" s="505"/>
      <c r="C166" s="503"/>
      <c r="D166" s="491"/>
      <c r="E166" s="502"/>
      <c r="F166" s="219">
        <f t="shared" si="4"/>
        <v>0</v>
      </c>
      <c r="G166" s="219" t="str">
        <f>IF(IFERROR(IF(Str_TypeDonneesCpt7=Cpt_Index,Tab_Compteur_7[[#This Row],[Index]]-E165,Tab_Compteur_7[[#This Row],[Quantité]])/Tab_Compteur_7[[#This Row],[Delta Jour]],"")&lt;0,"",IFERROR(IF(Str_TypeDonneesCpt7=Cpt_Index,Tab_Compteur_7[[#This Row],[Index]]-E165,Tab_Compteur_7[[#This Row],[Quantité]])/Tab_Compteur_7[[#This Row],[Delta Jour]],""))</f>
        <v/>
      </c>
      <c r="H166" s="219" t="str">
        <f>IFERROR(Tab_Compteur_7[[#This Row],[Montant]]/Tab_Compteur_7[[#This Row],[Delta Jour]],"")</f>
        <v/>
      </c>
      <c r="I166" s="184" t="str">
        <f>IF(SUM(Tab_Compteur_7[[#This Row],[Quantité]],Tab_Compteur_7[[#This Row],[Index]])&lt;=0,"",G166)</f>
        <v/>
      </c>
      <c r="J166" s="185"/>
      <c r="K166" s="36"/>
      <c r="L166" s="36"/>
      <c r="M166" s="36"/>
    </row>
    <row r="167" spans="1:13">
      <c r="A167" s="2">
        <f t="shared" si="5"/>
        <v>1</v>
      </c>
      <c r="B167" s="505"/>
      <c r="C167" s="503"/>
      <c r="D167" s="491"/>
      <c r="E167" s="502"/>
      <c r="F167" s="219">
        <f t="shared" si="4"/>
        <v>0</v>
      </c>
      <c r="G167" s="219" t="str">
        <f>IF(IFERROR(IF(Str_TypeDonneesCpt7=Cpt_Index,Tab_Compteur_7[[#This Row],[Index]]-E166,Tab_Compteur_7[[#This Row],[Quantité]])/Tab_Compteur_7[[#This Row],[Delta Jour]],"")&lt;0,"",IFERROR(IF(Str_TypeDonneesCpt7=Cpt_Index,Tab_Compteur_7[[#This Row],[Index]]-E166,Tab_Compteur_7[[#This Row],[Quantité]])/Tab_Compteur_7[[#This Row],[Delta Jour]],""))</f>
        <v/>
      </c>
      <c r="H167" s="219" t="str">
        <f>IFERROR(Tab_Compteur_7[[#This Row],[Montant]]/Tab_Compteur_7[[#This Row],[Delta Jour]],"")</f>
        <v/>
      </c>
      <c r="I167" s="184" t="str">
        <f>IF(SUM(Tab_Compteur_7[[#This Row],[Quantité]],Tab_Compteur_7[[#This Row],[Index]])&lt;=0,"",G167)</f>
        <v/>
      </c>
      <c r="J167" s="185"/>
      <c r="K167" s="36"/>
      <c r="L167" s="36"/>
      <c r="M167" s="36"/>
    </row>
    <row r="168" spans="1:13">
      <c r="A168" s="2">
        <f t="shared" si="5"/>
        <v>1</v>
      </c>
      <c r="B168" s="505"/>
      <c r="C168" s="503"/>
      <c r="D168" s="491"/>
      <c r="E168" s="502"/>
      <c r="F168" s="219">
        <f t="shared" si="4"/>
        <v>0</v>
      </c>
      <c r="G168" s="219" t="str">
        <f>IF(IFERROR(IF(Str_TypeDonneesCpt7=Cpt_Index,Tab_Compteur_7[[#This Row],[Index]]-E167,Tab_Compteur_7[[#This Row],[Quantité]])/Tab_Compteur_7[[#This Row],[Delta Jour]],"")&lt;0,"",IFERROR(IF(Str_TypeDonneesCpt7=Cpt_Index,Tab_Compteur_7[[#This Row],[Index]]-E167,Tab_Compteur_7[[#This Row],[Quantité]])/Tab_Compteur_7[[#This Row],[Delta Jour]],""))</f>
        <v/>
      </c>
      <c r="H168" s="219" t="str">
        <f>IFERROR(Tab_Compteur_7[[#This Row],[Montant]]/Tab_Compteur_7[[#This Row],[Delta Jour]],"")</f>
        <v/>
      </c>
      <c r="I168" s="184" t="str">
        <f>IF(SUM(Tab_Compteur_7[[#This Row],[Quantité]],Tab_Compteur_7[[#This Row],[Index]])&lt;=0,"",G168)</f>
        <v/>
      </c>
      <c r="J168" s="185"/>
      <c r="K168" s="36"/>
      <c r="L168" s="36"/>
      <c r="M168" s="36"/>
    </row>
    <row r="169" spans="1:13">
      <c r="A169" s="2">
        <f t="shared" si="5"/>
        <v>1</v>
      </c>
      <c r="B169" s="505"/>
      <c r="C169" s="503"/>
      <c r="D169" s="491"/>
      <c r="E169" s="502"/>
      <c r="F169" s="219">
        <f t="shared" si="4"/>
        <v>0</v>
      </c>
      <c r="G169" s="219" t="str">
        <f>IF(IFERROR(IF(Str_TypeDonneesCpt7=Cpt_Index,Tab_Compteur_7[[#This Row],[Index]]-E168,Tab_Compteur_7[[#This Row],[Quantité]])/Tab_Compteur_7[[#This Row],[Delta Jour]],"")&lt;0,"",IFERROR(IF(Str_TypeDonneesCpt7=Cpt_Index,Tab_Compteur_7[[#This Row],[Index]]-E168,Tab_Compteur_7[[#This Row],[Quantité]])/Tab_Compteur_7[[#This Row],[Delta Jour]],""))</f>
        <v/>
      </c>
      <c r="H169" s="219" t="str">
        <f>IFERROR(Tab_Compteur_7[[#This Row],[Montant]]/Tab_Compteur_7[[#This Row],[Delta Jour]],"")</f>
        <v/>
      </c>
      <c r="I169" s="184" t="str">
        <f>IF(SUM(Tab_Compteur_7[[#This Row],[Quantité]],Tab_Compteur_7[[#This Row],[Index]])&lt;=0,"",G169)</f>
        <v/>
      </c>
      <c r="J169" s="185"/>
      <c r="K169" s="36"/>
      <c r="L169" s="36"/>
      <c r="M169" s="36"/>
    </row>
    <row r="170" spans="1:13">
      <c r="A170" s="2">
        <f t="shared" si="5"/>
        <v>1</v>
      </c>
      <c r="B170" s="505"/>
      <c r="C170" s="503"/>
      <c r="D170" s="491"/>
      <c r="E170" s="502"/>
      <c r="F170" s="219">
        <f t="shared" si="4"/>
        <v>0</v>
      </c>
      <c r="G170" s="219" t="str">
        <f>IF(IFERROR(IF(Str_TypeDonneesCpt7=Cpt_Index,Tab_Compteur_7[[#This Row],[Index]]-E169,Tab_Compteur_7[[#This Row],[Quantité]])/Tab_Compteur_7[[#This Row],[Delta Jour]],"")&lt;0,"",IFERROR(IF(Str_TypeDonneesCpt7=Cpt_Index,Tab_Compteur_7[[#This Row],[Index]]-E169,Tab_Compteur_7[[#This Row],[Quantité]])/Tab_Compteur_7[[#This Row],[Delta Jour]],""))</f>
        <v/>
      </c>
      <c r="H170" s="219" t="str">
        <f>IFERROR(Tab_Compteur_7[[#This Row],[Montant]]/Tab_Compteur_7[[#This Row],[Delta Jour]],"")</f>
        <v/>
      </c>
      <c r="I170" s="184" t="str">
        <f>IF(SUM(Tab_Compteur_7[[#This Row],[Quantité]],Tab_Compteur_7[[#This Row],[Index]])&lt;=0,"",G170)</f>
        <v/>
      </c>
      <c r="J170" s="185"/>
      <c r="K170" s="36"/>
      <c r="L170" s="36"/>
      <c r="M170" s="36"/>
    </row>
    <row r="171" spans="1:13">
      <c r="A171" s="2">
        <f t="shared" si="5"/>
        <v>1</v>
      </c>
      <c r="B171" s="505"/>
      <c r="C171" s="503"/>
      <c r="D171" s="491"/>
      <c r="E171" s="502"/>
      <c r="F171" s="219">
        <f t="shared" si="4"/>
        <v>0</v>
      </c>
      <c r="G171" s="219" t="str">
        <f>IF(IFERROR(IF(Str_TypeDonneesCpt7=Cpt_Index,Tab_Compteur_7[[#This Row],[Index]]-E170,Tab_Compteur_7[[#This Row],[Quantité]])/Tab_Compteur_7[[#This Row],[Delta Jour]],"")&lt;0,"",IFERROR(IF(Str_TypeDonneesCpt7=Cpt_Index,Tab_Compteur_7[[#This Row],[Index]]-E170,Tab_Compteur_7[[#This Row],[Quantité]])/Tab_Compteur_7[[#This Row],[Delta Jour]],""))</f>
        <v/>
      </c>
      <c r="H171" s="219" t="str">
        <f>IFERROR(Tab_Compteur_7[[#This Row],[Montant]]/Tab_Compteur_7[[#This Row],[Delta Jour]],"")</f>
        <v/>
      </c>
      <c r="I171" s="184" t="str">
        <f>IF(SUM(Tab_Compteur_7[[#This Row],[Quantité]],Tab_Compteur_7[[#This Row],[Index]])&lt;=0,"",G171)</f>
        <v/>
      </c>
      <c r="J171" s="185"/>
      <c r="K171" s="36"/>
      <c r="L171" s="36"/>
      <c r="M171" s="36"/>
    </row>
    <row r="172" spans="1:13">
      <c r="A172" s="2">
        <f t="shared" si="5"/>
        <v>1</v>
      </c>
      <c r="B172" s="505"/>
      <c r="C172" s="503"/>
      <c r="D172" s="491"/>
      <c r="E172" s="502"/>
      <c r="F172" s="219">
        <f t="shared" si="4"/>
        <v>0</v>
      </c>
      <c r="G172" s="219" t="str">
        <f>IF(IFERROR(IF(Str_TypeDonneesCpt7=Cpt_Index,Tab_Compteur_7[[#This Row],[Index]]-E171,Tab_Compteur_7[[#This Row],[Quantité]])/Tab_Compteur_7[[#This Row],[Delta Jour]],"")&lt;0,"",IFERROR(IF(Str_TypeDonneesCpt7=Cpt_Index,Tab_Compteur_7[[#This Row],[Index]]-E171,Tab_Compteur_7[[#This Row],[Quantité]])/Tab_Compteur_7[[#This Row],[Delta Jour]],""))</f>
        <v/>
      </c>
      <c r="H172" s="219" t="str">
        <f>IFERROR(Tab_Compteur_7[[#This Row],[Montant]]/Tab_Compteur_7[[#This Row],[Delta Jour]],"")</f>
        <v/>
      </c>
      <c r="I172" s="184" t="str">
        <f>IF(SUM(Tab_Compteur_7[[#This Row],[Quantité]],Tab_Compteur_7[[#This Row],[Index]])&lt;=0,"",G172)</f>
        <v/>
      </c>
      <c r="J172" s="185"/>
      <c r="K172" s="36"/>
      <c r="L172" s="36"/>
      <c r="M172" s="36"/>
    </row>
    <row r="173" spans="1:13">
      <c r="A173" s="2">
        <f t="shared" si="5"/>
        <v>1</v>
      </c>
      <c r="B173" s="505"/>
      <c r="C173" s="503"/>
      <c r="D173" s="491"/>
      <c r="E173" s="502"/>
      <c r="F173" s="219">
        <f t="shared" si="4"/>
        <v>0</v>
      </c>
      <c r="G173" s="219" t="str">
        <f>IF(IFERROR(IF(Str_TypeDonneesCpt7=Cpt_Index,Tab_Compteur_7[[#This Row],[Index]]-E172,Tab_Compteur_7[[#This Row],[Quantité]])/Tab_Compteur_7[[#This Row],[Delta Jour]],"")&lt;0,"",IFERROR(IF(Str_TypeDonneesCpt7=Cpt_Index,Tab_Compteur_7[[#This Row],[Index]]-E172,Tab_Compteur_7[[#This Row],[Quantité]])/Tab_Compteur_7[[#This Row],[Delta Jour]],""))</f>
        <v/>
      </c>
      <c r="H173" s="219" t="str">
        <f>IFERROR(Tab_Compteur_7[[#This Row],[Montant]]/Tab_Compteur_7[[#This Row],[Delta Jour]],"")</f>
        <v/>
      </c>
      <c r="I173" s="184" t="str">
        <f>IF(SUM(Tab_Compteur_7[[#This Row],[Quantité]],Tab_Compteur_7[[#This Row],[Index]])&lt;=0,"",G173)</f>
        <v/>
      </c>
      <c r="J173" s="185"/>
      <c r="K173" s="36"/>
      <c r="L173" s="36"/>
      <c r="M173" s="36"/>
    </row>
    <row r="174" spans="1:13">
      <c r="A174" s="2">
        <f t="shared" si="5"/>
        <v>1</v>
      </c>
      <c r="B174" s="505"/>
      <c r="C174" s="503"/>
      <c r="D174" s="491"/>
      <c r="E174" s="502"/>
      <c r="F174" s="219">
        <f t="shared" si="4"/>
        <v>0</v>
      </c>
      <c r="G174" s="219" t="str">
        <f>IF(IFERROR(IF(Str_TypeDonneesCpt7=Cpt_Index,Tab_Compteur_7[[#This Row],[Index]]-E173,Tab_Compteur_7[[#This Row],[Quantité]])/Tab_Compteur_7[[#This Row],[Delta Jour]],"")&lt;0,"",IFERROR(IF(Str_TypeDonneesCpt7=Cpt_Index,Tab_Compteur_7[[#This Row],[Index]]-E173,Tab_Compteur_7[[#This Row],[Quantité]])/Tab_Compteur_7[[#This Row],[Delta Jour]],""))</f>
        <v/>
      </c>
      <c r="H174" s="219" t="str">
        <f>IFERROR(Tab_Compteur_7[[#This Row],[Montant]]/Tab_Compteur_7[[#This Row],[Delta Jour]],"")</f>
        <v/>
      </c>
      <c r="I174" s="184" t="str">
        <f>IF(SUM(Tab_Compteur_7[[#This Row],[Quantité]],Tab_Compteur_7[[#This Row],[Index]])&lt;=0,"",G174)</f>
        <v/>
      </c>
      <c r="J174" s="185"/>
      <c r="K174" s="36"/>
      <c r="L174" s="36"/>
      <c r="M174" s="36"/>
    </row>
    <row r="175" spans="1:13">
      <c r="A175" s="2">
        <f t="shared" si="5"/>
        <v>1</v>
      </c>
      <c r="B175" s="505"/>
      <c r="C175" s="503"/>
      <c r="D175" s="491"/>
      <c r="E175" s="502"/>
      <c r="F175" s="219">
        <f t="shared" si="4"/>
        <v>0</v>
      </c>
      <c r="G175" s="219" t="str">
        <f>IF(IFERROR(IF(Str_TypeDonneesCpt7=Cpt_Index,Tab_Compteur_7[[#This Row],[Index]]-E174,Tab_Compteur_7[[#This Row],[Quantité]])/Tab_Compteur_7[[#This Row],[Delta Jour]],"")&lt;0,"",IFERROR(IF(Str_TypeDonneesCpt7=Cpt_Index,Tab_Compteur_7[[#This Row],[Index]]-E174,Tab_Compteur_7[[#This Row],[Quantité]])/Tab_Compteur_7[[#This Row],[Delta Jour]],""))</f>
        <v/>
      </c>
      <c r="H175" s="219" t="str">
        <f>IFERROR(Tab_Compteur_7[[#This Row],[Montant]]/Tab_Compteur_7[[#This Row],[Delta Jour]],"")</f>
        <v/>
      </c>
      <c r="I175" s="184" t="str">
        <f>IF(SUM(Tab_Compteur_7[[#This Row],[Quantité]],Tab_Compteur_7[[#This Row],[Index]])&lt;=0,"",G175)</f>
        <v/>
      </c>
      <c r="J175" s="185"/>
      <c r="K175" s="36"/>
      <c r="L175" s="36"/>
      <c r="M175" s="36"/>
    </row>
    <row r="176" spans="1:13">
      <c r="A176" s="2">
        <f t="shared" si="5"/>
        <v>1</v>
      </c>
      <c r="B176" s="505"/>
      <c r="C176" s="503"/>
      <c r="D176" s="491"/>
      <c r="E176" s="502"/>
      <c r="F176" s="219">
        <f t="shared" si="4"/>
        <v>0</v>
      </c>
      <c r="G176" s="219" t="str">
        <f>IF(IFERROR(IF(Str_TypeDonneesCpt7=Cpt_Index,Tab_Compteur_7[[#This Row],[Index]]-E175,Tab_Compteur_7[[#This Row],[Quantité]])/Tab_Compteur_7[[#This Row],[Delta Jour]],"")&lt;0,"",IFERROR(IF(Str_TypeDonneesCpt7=Cpt_Index,Tab_Compteur_7[[#This Row],[Index]]-E175,Tab_Compteur_7[[#This Row],[Quantité]])/Tab_Compteur_7[[#This Row],[Delta Jour]],""))</f>
        <v/>
      </c>
      <c r="H176" s="219" t="str">
        <f>IFERROR(Tab_Compteur_7[[#This Row],[Montant]]/Tab_Compteur_7[[#This Row],[Delta Jour]],"")</f>
        <v/>
      </c>
      <c r="I176" s="184" t="str">
        <f>IF(SUM(Tab_Compteur_7[[#This Row],[Quantité]],Tab_Compteur_7[[#This Row],[Index]])&lt;=0,"",G176)</f>
        <v/>
      </c>
      <c r="J176" s="185"/>
      <c r="K176" s="36"/>
      <c r="L176" s="36"/>
      <c r="M176" s="36"/>
    </row>
    <row r="177" spans="1:13">
      <c r="A177" s="2">
        <f t="shared" si="5"/>
        <v>1</v>
      </c>
      <c r="B177" s="505"/>
      <c r="C177" s="503"/>
      <c r="D177" s="491"/>
      <c r="E177" s="502"/>
      <c r="F177" s="219">
        <f t="shared" si="4"/>
        <v>0</v>
      </c>
      <c r="G177" s="219" t="str">
        <f>IF(IFERROR(IF(Str_TypeDonneesCpt7=Cpt_Index,Tab_Compteur_7[[#This Row],[Index]]-E176,Tab_Compteur_7[[#This Row],[Quantité]])/Tab_Compteur_7[[#This Row],[Delta Jour]],"")&lt;0,"",IFERROR(IF(Str_TypeDonneesCpt7=Cpt_Index,Tab_Compteur_7[[#This Row],[Index]]-E176,Tab_Compteur_7[[#This Row],[Quantité]])/Tab_Compteur_7[[#This Row],[Delta Jour]],""))</f>
        <v/>
      </c>
      <c r="H177" s="219" t="str">
        <f>IFERROR(Tab_Compteur_7[[#This Row],[Montant]]/Tab_Compteur_7[[#This Row],[Delta Jour]],"")</f>
        <v/>
      </c>
      <c r="I177" s="184" t="str">
        <f>IF(SUM(Tab_Compteur_7[[#This Row],[Quantité]],Tab_Compteur_7[[#This Row],[Index]])&lt;=0,"",G177)</f>
        <v/>
      </c>
      <c r="J177" s="185"/>
      <c r="K177" s="36"/>
      <c r="L177" s="36"/>
      <c r="M177" s="36"/>
    </row>
    <row r="178" spans="1:13">
      <c r="A178" s="2">
        <f t="shared" si="5"/>
        <v>1</v>
      </c>
      <c r="B178" s="505"/>
      <c r="C178" s="503"/>
      <c r="D178" s="491"/>
      <c r="E178" s="502"/>
      <c r="F178" s="219">
        <f t="shared" si="4"/>
        <v>0</v>
      </c>
      <c r="G178" s="219" t="str">
        <f>IF(IFERROR(IF(Str_TypeDonneesCpt7=Cpt_Index,Tab_Compteur_7[[#This Row],[Index]]-E177,Tab_Compteur_7[[#This Row],[Quantité]])/Tab_Compteur_7[[#This Row],[Delta Jour]],"")&lt;0,"",IFERROR(IF(Str_TypeDonneesCpt7=Cpt_Index,Tab_Compteur_7[[#This Row],[Index]]-E177,Tab_Compteur_7[[#This Row],[Quantité]])/Tab_Compteur_7[[#This Row],[Delta Jour]],""))</f>
        <v/>
      </c>
      <c r="H178" s="219" t="str">
        <f>IFERROR(Tab_Compteur_7[[#This Row],[Montant]]/Tab_Compteur_7[[#This Row],[Delta Jour]],"")</f>
        <v/>
      </c>
      <c r="I178" s="184" t="str">
        <f>IF(SUM(Tab_Compteur_7[[#This Row],[Quantité]],Tab_Compteur_7[[#This Row],[Index]])&lt;=0,"",G178)</f>
        <v/>
      </c>
      <c r="J178" s="185"/>
      <c r="K178" s="36"/>
      <c r="L178" s="36"/>
      <c r="M178" s="36"/>
    </row>
    <row r="179" spans="1:13">
      <c r="A179" s="2">
        <f t="shared" si="5"/>
        <v>1</v>
      </c>
      <c r="B179" s="505"/>
      <c r="C179" s="503"/>
      <c r="D179" s="491"/>
      <c r="E179" s="502"/>
      <c r="F179" s="219">
        <f t="shared" si="4"/>
        <v>0</v>
      </c>
      <c r="G179" s="219" t="str">
        <f>IF(IFERROR(IF(Str_TypeDonneesCpt7=Cpt_Index,Tab_Compteur_7[[#This Row],[Index]]-E178,Tab_Compteur_7[[#This Row],[Quantité]])/Tab_Compteur_7[[#This Row],[Delta Jour]],"")&lt;0,"",IFERROR(IF(Str_TypeDonneesCpt7=Cpt_Index,Tab_Compteur_7[[#This Row],[Index]]-E178,Tab_Compteur_7[[#This Row],[Quantité]])/Tab_Compteur_7[[#This Row],[Delta Jour]],""))</f>
        <v/>
      </c>
      <c r="H179" s="219" t="str">
        <f>IFERROR(Tab_Compteur_7[[#This Row],[Montant]]/Tab_Compteur_7[[#This Row],[Delta Jour]],"")</f>
        <v/>
      </c>
      <c r="I179" s="184" t="str">
        <f>IF(SUM(Tab_Compteur_7[[#This Row],[Quantité]],Tab_Compteur_7[[#This Row],[Index]])&lt;=0,"",G179)</f>
        <v/>
      </c>
      <c r="J179" s="185"/>
      <c r="K179" s="36"/>
      <c r="L179" s="36"/>
      <c r="M179" s="36"/>
    </row>
    <row r="180" spans="1:13">
      <c r="A180" s="2">
        <f t="shared" si="5"/>
        <v>1</v>
      </c>
      <c r="B180" s="505"/>
      <c r="C180" s="503"/>
      <c r="D180" s="491"/>
      <c r="E180" s="502"/>
      <c r="F180" s="219">
        <f t="shared" si="4"/>
        <v>0</v>
      </c>
      <c r="G180" s="219" t="str">
        <f>IF(IFERROR(IF(Str_TypeDonneesCpt7=Cpt_Index,Tab_Compteur_7[[#This Row],[Index]]-E179,Tab_Compteur_7[[#This Row],[Quantité]])/Tab_Compteur_7[[#This Row],[Delta Jour]],"")&lt;0,"",IFERROR(IF(Str_TypeDonneesCpt7=Cpt_Index,Tab_Compteur_7[[#This Row],[Index]]-E179,Tab_Compteur_7[[#This Row],[Quantité]])/Tab_Compteur_7[[#This Row],[Delta Jour]],""))</f>
        <v/>
      </c>
      <c r="H180" s="219" t="str">
        <f>IFERROR(Tab_Compteur_7[[#This Row],[Montant]]/Tab_Compteur_7[[#This Row],[Delta Jour]],"")</f>
        <v/>
      </c>
      <c r="I180" s="184" t="str">
        <f>IF(SUM(Tab_Compteur_7[[#This Row],[Quantité]],Tab_Compteur_7[[#This Row],[Index]])&lt;=0,"",G180)</f>
        <v/>
      </c>
      <c r="J180" s="185"/>
      <c r="K180" s="36"/>
      <c r="L180" s="36"/>
      <c r="M180" s="36"/>
    </row>
    <row r="181" spans="1:13">
      <c r="A181" s="2">
        <f t="shared" si="5"/>
        <v>1</v>
      </c>
      <c r="B181" s="505"/>
      <c r="C181" s="503"/>
      <c r="D181" s="491"/>
      <c r="E181" s="502"/>
      <c r="F181" s="219">
        <f t="shared" si="4"/>
        <v>0</v>
      </c>
      <c r="G181" s="219" t="str">
        <f>IF(IFERROR(IF(Str_TypeDonneesCpt7=Cpt_Index,Tab_Compteur_7[[#This Row],[Index]]-E180,Tab_Compteur_7[[#This Row],[Quantité]])/Tab_Compteur_7[[#This Row],[Delta Jour]],"")&lt;0,"",IFERROR(IF(Str_TypeDonneesCpt7=Cpt_Index,Tab_Compteur_7[[#This Row],[Index]]-E180,Tab_Compteur_7[[#This Row],[Quantité]])/Tab_Compteur_7[[#This Row],[Delta Jour]],""))</f>
        <v/>
      </c>
      <c r="H181" s="219" t="str">
        <f>IFERROR(Tab_Compteur_7[[#This Row],[Montant]]/Tab_Compteur_7[[#This Row],[Delta Jour]],"")</f>
        <v/>
      </c>
      <c r="I181" s="184" t="str">
        <f>IF(SUM(Tab_Compteur_7[[#This Row],[Quantité]],Tab_Compteur_7[[#This Row],[Index]])&lt;=0,"",G181)</f>
        <v/>
      </c>
      <c r="J181" s="185"/>
      <c r="K181" s="36"/>
      <c r="L181" s="36"/>
      <c r="M181" s="36"/>
    </row>
    <row r="182" spans="1:13">
      <c r="A182" s="2">
        <f t="shared" si="5"/>
        <v>1</v>
      </c>
      <c r="B182" s="505"/>
      <c r="C182" s="503"/>
      <c r="D182" s="491"/>
      <c r="E182" s="502"/>
      <c r="F182" s="219">
        <f t="shared" si="4"/>
        <v>0</v>
      </c>
      <c r="G182" s="219" t="str">
        <f>IF(IFERROR(IF(Str_TypeDonneesCpt7=Cpt_Index,Tab_Compteur_7[[#This Row],[Index]]-E181,Tab_Compteur_7[[#This Row],[Quantité]])/Tab_Compteur_7[[#This Row],[Delta Jour]],"")&lt;0,"",IFERROR(IF(Str_TypeDonneesCpt7=Cpt_Index,Tab_Compteur_7[[#This Row],[Index]]-E181,Tab_Compteur_7[[#This Row],[Quantité]])/Tab_Compteur_7[[#This Row],[Delta Jour]],""))</f>
        <v/>
      </c>
      <c r="H182" s="219" t="str">
        <f>IFERROR(Tab_Compteur_7[[#This Row],[Montant]]/Tab_Compteur_7[[#This Row],[Delta Jour]],"")</f>
        <v/>
      </c>
      <c r="I182" s="184" t="str">
        <f>IF(SUM(Tab_Compteur_7[[#This Row],[Quantité]],Tab_Compteur_7[[#This Row],[Index]])&lt;=0,"",G182)</f>
        <v/>
      </c>
      <c r="J182" s="185"/>
      <c r="K182" s="36"/>
      <c r="L182" s="36"/>
      <c r="M182" s="36"/>
    </row>
    <row r="183" spans="1:13">
      <c r="A183" s="2">
        <f t="shared" si="5"/>
        <v>1</v>
      </c>
      <c r="B183" s="505"/>
      <c r="C183" s="503"/>
      <c r="D183" s="491"/>
      <c r="E183" s="502"/>
      <c r="F183" s="219">
        <f t="shared" si="4"/>
        <v>0</v>
      </c>
      <c r="G183" s="219" t="str">
        <f>IF(IFERROR(IF(Str_TypeDonneesCpt7=Cpt_Index,Tab_Compteur_7[[#This Row],[Index]]-E182,Tab_Compteur_7[[#This Row],[Quantité]])/Tab_Compteur_7[[#This Row],[Delta Jour]],"")&lt;0,"",IFERROR(IF(Str_TypeDonneesCpt7=Cpt_Index,Tab_Compteur_7[[#This Row],[Index]]-E182,Tab_Compteur_7[[#This Row],[Quantité]])/Tab_Compteur_7[[#This Row],[Delta Jour]],""))</f>
        <v/>
      </c>
      <c r="H183" s="219" t="str">
        <f>IFERROR(Tab_Compteur_7[[#This Row],[Montant]]/Tab_Compteur_7[[#This Row],[Delta Jour]],"")</f>
        <v/>
      </c>
      <c r="I183" s="184" t="str">
        <f>IF(SUM(Tab_Compteur_7[[#This Row],[Quantité]],Tab_Compteur_7[[#This Row],[Index]])&lt;=0,"",G183)</f>
        <v/>
      </c>
      <c r="J183" s="185"/>
      <c r="K183" s="36"/>
      <c r="L183" s="36"/>
      <c r="M183" s="36"/>
    </row>
    <row r="184" spans="1:13">
      <c r="A184" s="2">
        <f t="shared" si="5"/>
        <v>1</v>
      </c>
      <c r="B184" s="505"/>
      <c r="C184" s="503"/>
      <c r="D184" s="491"/>
      <c r="E184" s="502"/>
      <c r="F184" s="219">
        <f t="shared" si="4"/>
        <v>0</v>
      </c>
      <c r="G184" s="219" t="str">
        <f>IF(IFERROR(IF(Str_TypeDonneesCpt7=Cpt_Index,Tab_Compteur_7[[#This Row],[Index]]-E183,Tab_Compteur_7[[#This Row],[Quantité]])/Tab_Compteur_7[[#This Row],[Delta Jour]],"")&lt;0,"",IFERROR(IF(Str_TypeDonneesCpt7=Cpt_Index,Tab_Compteur_7[[#This Row],[Index]]-E183,Tab_Compteur_7[[#This Row],[Quantité]])/Tab_Compteur_7[[#This Row],[Delta Jour]],""))</f>
        <v/>
      </c>
      <c r="H184" s="219" t="str">
        <f>IFERROR(Tab_Compteur_7[[#This Row],[Montant]]/Tab_Compteur_7[[#This Row],[Delta Jour]],"")</f>
        <v/>
      </c>
      <c r="I184" s="184" t="str">
        <f>IF(SUM(Tab_Compteur_7[[#This Row],[Quantité]],Tab_Compteur_7[[#This Row],[Index]])&lt;=0,"",G184)</f>
        <v/>
      </c>
      <c r="J184" s="185"/>
      <c r="K184" s="36"/>
      <c r="L184" s="36"/>
      <c r="M184" s="36"/>
    </row>
    <row r="185" spans="1:13">
      <c r="A185" s="2">
        <f t="shared" si="5"/>
        <v>1</v>
      </c>
      <c r="B185" s="505"/>
      <c r="C185" s="503"/>
      <c r="D185" s="491"/>
      <c r="E185" s="502"/>
      <c r="F185" s="219">
        <f t="shared" si="4"/>
        <v>0</v>
      </c>
      <c r="G185" s="219" t="str">
        <f>IF(IFERROR(IF(Str_TypeDonneesCpt7=Cpt_Index,Tab_Compteur_7[[#This Row],[Index]]-E184,Tab_Compteur_7[[#This Row],[Quantité]])/Tab_Compteur_7[[#This Row],[Delta Jour]],"")&lt;0,"",IFERROR(IF(Str_TypeDonneesCpt7=Cpt_Index,Tab_Compteur_7[[#This Row],[Index]]-E184,Tab_Compteur_7[[#This Row],[Quantité]])/Tab_Compteur_7[[#This Row],[Delta Jour]],""))</f>
        <v/>
      </c>
      <c r="H185" s="219" t="str">
        <f>IFERROR(Tab_Compteur_7[[#This Row],[Montant]]/Tab_Compteur_7[[#This Row],[Delta Jour]],"")</f>
        <v/>
      </c>
      <c r="I185" s="184" t="str">
        <f>IF(SUM(Tab_Compteur_7[[#This Row],[Quantité]],Tab_Compteur_7[[#This Row],[Index]])&lt;=0,"",G185)</f>
        <v/>
      </c>
      <c r="J185" s="185"/>
      <c r="K185" s="36"/>
      <c r="L185" s="36"/>
      <c r="M185" s="36"/>
    </row>
    <row r="186" spans="1:13">
      <c r="A186" s="2">
        <f t="shared" si="5"/>
        <v>1</v>
      </c>
      <c r="B186" s="505"/>
      <c r="C186" s="503"/>
      <c r="D186" s="491"/>
      <c r="E186" s="502"/>
      <c r="F186" s="219">
        <f t="shared" si="4"/>
        <v>0</v>
      </c>
      <c r="G186" s="219" t="str">
        <f>IF(IFERROR(IF(Str_TypeDonneesCpt7=Cpt_Index,Tab_Compteur_7[[#This Row],[Index]]-E185,Tab_Compteur_7[[#This Row],[Quantité]])/Tab_Compteur_7[[#This Row],[Delta Jour]],"")&lt;0,"",IFERROR(IF(Str_TypeDonneesCpt7=Cpt_Index,Tab_Compteur_7[[#This Row],[Index]]-E185,Tab_Compteur_7[[#This Row],[Quantité]])/Tab_Compteur_7[[#This Row],[Delta Jour]],""))</f>
        <v/>
      </c>
      <c r="H186" s="219" t="str">
        <f>IFERROR(Tab_Compteur_7[[#This Row],[Montant]]/Tab_Compteur_7[[#This Row],[Delta Jour]],"")</f>
        <v/>
      </c>
      <c r="I186" s="184" t="str">
        <f>IF(SUM(Tab_Compteur_7[[#This Row],[Quantité]],Tab_Compteur_7[[#This Row],[Index]])&lt;=0,"",G186)</f>
        <v/>
      </c>
      <c r="J186" s="185"/>
      <c r="K186" s="36"/>
      <c r="L186" s="36"/>
      <c r="M186" s="36"/>
    </row>
    <row r="187" spans="1:13">
      <c r="A187" s="2">
        <f t="shared" si="5"/>
        <v>1</v>
      </c>
      <c r="B187" s="505"/>
      <c r="C187" s="503"/>
      <c r="D187" s="491"/>
      <c r="E187" s="502"/>
      <c r="F187" s="219">
        <f t="shared" si="4"/>
        <v>0</v>
      </c>
      <c r="G187" s="219" t="str">
        <f>IF(IFERROR(IF(Str_TypeDonneesCpt7=Cpt_Index,Tab_Compteur_7[[#This Row],[Index]]-E186,Tab_Compteur_7[[#This Row],[Quantité]])/Tab_Compteur_7[[#This Row],[Delta Jour]],"")&lt;0,"",IFERROR(IF(Str_TypeDonneesCpt7=Cpt_Index,Tab_Compteur_7[[#This Row],[Index]]-E186,Tab_Compteur_7[[#This Row],[Quantité]])/Tab_Compteur_7[[#This Row],[Delta Jour]],""))</f>
        <v/>
      </c>
      <c r="H187" s="219" t="str">
        <f>IFERROR(Tab_Compteur_7[[#This Row],[Montant]]/Tab_Compteur_7[[#This Row],[Delta Jour]],"")</f>
        <v/>
      </c>
      <c r="I187" s="184" t="str">
        <f>IF(SUM(Tab_Compteur_7[[#This Row],[Quantité]],Tab_Compteur_7[[#This Row],[Index]])&lt;=0,"",G187)</f>
        <v/>
      </c>
      <c r="J187" s="185"/>
      <c r="K187" s="36"/>
      <c r="L187" s="36"/>
      <c r="M187" s="36"/>
    </row>
    <row r="188" spans="1:13">
      <c r="A188" s="2">
        <f t="shared" si="5"/>
        <v>1</v>
      </c>
      <c r="B188" s="505"/>
      <c r="C188" s="503"/>
      <c r="D188" s="491"/>
      <c r="E188" s="502"/>
      <c r="F188" s="219">
        <f t="shared" si="4"/>
        <v>0</v>
      </c>
      <c r="G188" s="219" t="str">
        <f>IF(IFERROR(IF(Str_TypeDonneesCpt7=Cpt_Index,Tab_Compteur_7[[#This Row],[Index]]-E187,Tab_Compteur_7[[#This Row],[Quantité]])/Tab_Compteur_7[[#This Row],[Delta Jour]],"")&lt;0,"",IFERROR(IF(Str_TypeDonneesCpt7=Cpt_Index,Tab_Compteur_7[[#This Row],[Index]]-E187,Tab_Compteur_7[[#This Row],[Quantité]])/Tab_Compteur_7[[#This Row],[Delta Jour]],""))</f>
        <v/>
      </c>
      <c r="H188" s="219" t="str">
        <f>IFERROR(Tab_Compteur_7[[#This Row],[Montant]]/Tab_Compteur_7[[#This Row],[Delta Jour]],"")</f>
        <v/>
      </c>
      <c r="I188" s="184" t="str">
        <f>IF(SUM(Tab_Compteur_7[[#This Row],[Quantité]],Tab_Compteur_7[[#This Row],[Index]])&lt;=0,"",G188)</f>
        <v/>
      </c>
      <c r="J188" s="185"/>
      <c r="K188" s="36"/>
      <c r="L188" s="36"/>
      <c r="M188" s="36"/>
    </row>
    <row r="189" spans="1:13">
      <c r="A189" s="2">
        <f t="shared" si="5"/>
        <v>1</v>
      </c>
      <c r="B189" s="505"/>
      <c r="C189" s="503"/>
      <c r="D189" s="491"/>
      <c r="E189" s="502"/>
      <c r="F189" s="219">
        <f t="shared" si="4"/>
        <v>0</v>
      </c>
      <c r="G189" s="219" t="str">
        <f>IF(IFERROR(IF(Str_TypeDonneesCpt7=Cpt_Index,Tab_Compteur_7[[#This Row],[Index]]-E188,Tab_Compteur_7[[#This Row],[Quantité]])/Tab_Compteur_7[[#This Row],[Delta Jour]],"")&lt;0,"",IFERROR(IF(Str_TypeDonneesCpt7=Cpt_Index,Tab_Compteur_7[[#This Row],[Index]]-E188,Tab_Compteur_7[[#This Row],[Quantité]])/Tab_Compteur_7[[#This Row],[Delta Jour]],""))</f>
        <v/>
      </c>
      <c r="H189" s="219" t="str">
        <f>IFERROR(Tab_Compteur_7[[#This Row],[Montant]]/Tab_Compteur_7[[#This Row],[Delta Jour]],"")</f>
        <v/>
      </c>
      <c r="I189" s="184" t="str">
        <f>IF(SUM(Tab_Compteur_7[[#This Row],[Quantité]],Tab_Compteur_7[[#This Row],[Index]])&lt;=0,"",G189)</f>
        <v/>
      </c>
      <c r="J189" s="185"/>
      <c r="K189" s="36"/>
      <c r="L189" s="36"/>
      <c r="M189" s="36"/>
    </row>
    <row r="190" spans="1:13">
      <c r="A190" s="2">
        <f t="shared" si="5"/>
        <v>1</v>
      </c>
      <c r="B190" s="505"/>
      <c r="C190" s="503"/>
      <c r="D190" s="491"/>
      <c r="E190" s="502"/>
      <c r="F190" s="219">
        <f t="shared" si="4"/>
        <v>0</v>
      </c>
      <c r="G190" s="219" t="str">
        <f>IF(IFERROR(IF(Str_TypeDonneesCpt7=Cpt_Index,Tab_Compteur_7[[#This Row],[Index]]-E189,Tab_Compteur_7[[#This Row],[Quantité]])/Tab_Compteur_7[[#This Row],[Delta Jour]],"")&lt;0,"",IFERROR(IF(Str_TypeDonneesCpt7=Cpt_Index,Tab_Compteur_7[[#This Row],[Index]]-E189,Tab_Compteur_7[[#This Row],[Quantité]])/Tab_Compteur_7[[#This Row],[Delta Jour]],""))</f>
        <v/>
      </c>
      <c r="H190" s="219" t="str">
        <f>IFERROR(Tab_Compteur_7[[#This Row],[Montant]]/Tab_Compteur_7[[#This Row],[Delta Jour]],"")</f>
        <v/>
      </c>
      <c r="I190" s="184" t="str">
        <f>IF(SUM(Tab_Compteur_7[[#This Row],[Quantité]],Tab_Compteur_7[[#This Row],[Index]])&lt;=0,"",G190)</f>
        <v/>
      </c>
      <c r="J190" s="185"/>
      <c r="K190" s="36"/>
      <c r="L190" s="36"/>
      <c r="M190" s="36"/>
    </row>
    <row r="191" spans="1:13">
      <c r="A191" s="2">
        <f t="shared" si="5"/>
        <v>1</v>
      </c>
      <c r="B191" s="505"/>
      <c r="C191" s="503"/>
      <c r="D191" s="491"/>
      <c r="E191" s="502"/>
      <c r="F191" s="219">
        <f t="shared" si="4"/>
        <v>0</v>
      </c>
      <c r="G191" s="219" t="str">
        <f>IF(IFERROR(IF(Str_TypeDonneesCpt7=Cpt_Index,Tab_Compteur_7[[#This Row],[Index]]-E190,Tab_Compteur_7[[#This Row],[Quantité]])/Tab_Compteur_7[[#This Row],[Delta Jour]],"")&lt;0,"",IFERROR(IF(Str_TypeDonneesCpt7=Cpt_Index,Tab_Compteur_7[[#This Row],[Index]]-E190,Tab_Compteur_7[[#This Row],[Quantité]])/Tab_Compteur_7[[#This Row],[Delta Jour]],""))</f>
        <v/>
      </c>
      <c r="H191" s="219" t="str">
        <f>IFERROR(Tab_Compteur_7[[#This Row],[Montant]]/Tab_Compteur_7[[#This Row],[Delta Jour]],"")</f>
        <v/>
      </c>
      <c r="I191" s="184" t="str">
        <f>IF(SUM(Tab_Compteur_7[[#This Row],[Quantité]],Tab_Compteur_7[[#This Row],[Index]])&lt;=0,"",G191)</f>
        <v/>
      </c>
      <c r="J191" s="185"/>
      <c r="K191" s="36"/>
      <c r="L191" s="36"/>
      <c r="M191" s="36"/>
    </row>
    <row r="192" spans="1:13">
      <c r="A192" s="2">
        <f t="shared" si="5"/>
        <v>1</v>
      </c>
      <c r="B192" s="505"/>
      <c r="C192" s="503"/>
      <c r="D192" s="491"/>
      <c r="E192" s="502"/>
      <c r="F192" s="219">
        <f t="shared" si="4"/>
        <v>0</v>
      </c>
      <c r="G192" s="219" t="str">
        <f>IF(IFERROR(IF(Str_TypeDonneesCpt7=Cpt_Index,Tab_Compteur_7[[#This Row],[Index]]-E191,Tab_Compteur_7[[#This Row],[Quantité]])/Tab_Compteur_7[[#This Row],[Delta Jour]],"")&lt;0,"",IFERROR(IF(Str_TypeDonneesCpt7=Cpt_Index,Tab_Compteur_7[[#This Row],[Index]]-E191,Tab_Compteur_7[[#This Row],[Quantité]])/Tab_Compteur_7[[#This Row],[Delta Jour]],""))</f>
        <v/>
      </c>
      <c r="H192" s="219" t="str">
        <f>IFERROR(Tab_Compteur_7[[#This Row],[Montant]]/Tab_Compteur_7[[#This Row],[Delta Jour]],"")</f>
        <v/>
      </c>
      <c r="I192" s="184" t="str">
        <f>IF(SUM(Tab_Compteur_7[[#This Row],[Quantité]],Tab_Compteur_7[[#This Row],[Index]])&lt;=0,"",G192)</f>
        <v/>
      </c>
      <c r="J192" s="185"/>
      <c r="K192" s="36"/>
      <c r="L192" s="36"/>
      <c r="M192" s="36"/>
    </row>
    <row r="193" spans="1:13">
      <c r="A193" s="2">
        <f t="shared" si="5"/>
        <v>1</v>
      </c>
      <c r="B193" s="505"/>
      <c r="C193" s="503"/>
      <c r="D193" s="491"/>
      <c r="E193" s="502"/>
      <c r="F193" s="219">
        <f t="shared" si="4"/>
        <v>0</v>
      </c>
      <c r="G193" s="219" t="str">
        <f>IF(IFERROR(IF(Str_TypeDonneesCpt7=Cpt_Index,Tab_Compteur_7[[#This Row],[Index]]-E192,Tab_Compteur_7[[#This Row],[Quantité]])/Tab_Compteur_7[[#This Row],[Delta Jour]],"")&lt;0,"",IFERROR(IF(Str_TypeDonneesCpt7=Cpt_Index,Tab_Compteur_7[[#This Row],[Index]]-E192,Tab_Compteur_7[[#This Row],[Quantité]])/Tab_Compteur_7[[#This Row],[Delta Jour]],""))</f>
        <v/>
      </c>
      <c r="H193" s="219" t="str">
        <f>IFERROR(Tab_Compteur_7[[#This Row],[Montant]]/Tab_Compteur_7[[#This Row],[Delta Jour]],"")</f>
        <v/>
      </c>
      <c r="I193" s="184" t="str">
        <f>IF(SUM(Tab_Compteur_7[[#This Row],[Quantité]],Tab_Compteur_7[[#This Row],[Index]])&lt;=0,"",G193)</f>
        <v/>
      </c>
      <c r="J193" s="185"/>
      <c r="K193" s="36"/>
      <c r="L193" s="36"/>
      <c r="M193" s="36"/>
    </row>
    <row r="194" spans="1:13">
      <c r="A194" s="2">
        <f t="shared" si="5"/>
        <v>1</v>
      </c>
      <c r="B194" s="505"/>
      <c r="C194" s="503"/>
      <c r="D194" s="491"/>
      <c r="E194" s="502"/>
      <c r="F194" s="219">
        <f t="shared" si="4"/>
        <v>0</v>
      </c>
      <c r="G194" s="219" t="str">
        <f>IF(IFERROR(IF(Str_TypeDonneesCpt7=Cpt_Index,Tab_Compteur_7[[#This Row],[Index]]-E193,Tab_Compteur_7[[#This Row],[Quantité]])/Tab_Compteur_7[[#This Row],[Delta Jour]],"")&lt;0,"",IFERROR(IF(Str_TypeDonneesCpt7=Cpt_Index,Tab_Compteur_7[[#This Row],[Index]]-E193,Tab_Compteur_7[[#This Row],[Quantité]])/Tab_Compteur_7[[#This Row],[Delta Jour]],""))</f>
        <v/>
      </c>
      <c r="H194" s="219" t="str">
        <f>IFERROR(Tab_Compteur_7[[#This Row],[Montant]]/Tab_Compteur_7[[#This Row],[Delta Jour]],"")</f>
        <v/>
      </c>
      <c r="I194" s="184" t="str">
        <f>IF(SUM(Tab_Compteur_7[[#This Row],[Quantité]],Tab_Compteur_7[[#This Row],[Index]])&lt;=0,"",G194)</f>
        <v/>
      </c>
      <c r="J194" s="185"/>
      <c r="K194" s="36"/>
      <c r="L194" s="36"/>
      <c r="M194" s="36"/>
    </row>
    <row r="195" spans="1:13">
      <c r="A195" s="2">
        <f t="shared" si="5"/>
        <v>1</v>
      </c>
      <c r="B195" s="505"/>
      <c r="C195" s="503"/>
      <c r="D195" s="491"/>
      <c r="E195" s="502"/>
      <c r="F195" s="219">
        <f t="shared" ref="F195:F243" si="6">IFERROR(B195-A195+1,"")</f>
        <v>0</v>
      </c>
      <c r="G195" s="219" t="str">
        <f>IF(IFERROR(IF(Str_TypeDonneesCpt7=Cpt_Index,Tab_Compteur_7[[#This Row],[Index]]-E194,Tab_Compteur_7[[#This Row],[Quantité]])/Tab_Compteur_7[[#This Row],[Delta Jour]],"")&lt;0,"",IFERROR(IF(Str_TypeDonneesCpt7=Cpt_Index,Tab_Compteur_7[[#This Row],[Index]]-E194,Tab_Compteur_7[[#This Row],[Quantité]])/Tab_Compteur_7[[#This Row],[Delta Jour]],""))</f>
        <v/>
      </c>
      <c r="H195" s="219" t="str">
        <f>IFERROR(Tab_Compteur_7[[#This Row],[Montant]]/Tab_Compteur_7[[#This Row],[Delta Jour]],"")</f>
        <v/>
      </c>
      <c r="I195" s="184" t="str">
        <f>IF(SUM(Tab_Compteur_7[[#This Row],[Quantité]],Tab_Compteur_7[[#This Row],[Index]])&lt;=0,"",G195)</f>
        <v/>
      </c>
      <c r="J195" s="185"/>
      <c r="K195" s="36"/>
      <c r="L195" s="36"/>
      <c r="M195" s="36"/>
    </row>
    <row r="196" spans="1:13">
      <c r="A196" s="2">
        <f t="shared" si="5"/>
        <v>1</v>
      </c>
      <c r="B196" s="505"/>
      <c r="C196" s="503"/>
      <c r="D196" s="491"/>
      <c r="E196" s="502"/>
      <c r="F196" s="219">
        <f t="shared" si="6"/>
        <v>0</v>
      </c>
      <c r="G196" s="219" t="str">
        <f>IF(IFERROR(IF(Str_TypeDonneesCpt7=Cpt_Index,Tab_Compteur_7[[#This Row],[Index]]-E195,Tab_Compteur_7[[#This Row],[Quantité]])/Tab_Compteur_7[[#This Row],[Delta Jour]],"")&lt;0,"",IFERROR(IF(Str_TypeDonneesCpt7=Cpt_Index,Tab_Compteur_7[[#This Row],[Index]]-E195,Tab_Compteur_7[[#This Row],[Quantité]])/Tab_Compteur_7[[#This Row],[Delta Jour]],""))</f>
        <v/>
      </c>
      <c r="H196" s="219" t="str">
        <f>IFERROR(Tab_Compteur_7[[#This Row],[Montant]]/Tab_Compteur_7[[#This Row],[Delta Jour]],"")</f>
        <v/>
      </c>
      <c r="I196" s="184" t="str">
        <f>IF(SUM(Tab_Compteur_7[[#This Row],[Quantité]],Tab_Compteur_7[[#This Row],[Index]])&lt;=0,"",G196)</f>
        <v/>
      </c>
      <c r="J196" s="185"/>
      <c r="K196" s="36"/>
      <c r="L196" s="36"/>
      <c r="M196" s="36"/>
    </row>
    <row r="197" spans="1:13">
      <c r="A197" s="2">
        <f t="shared" si="5"/>
        <v>1</v>
      </c>
      <c r="B197" s="505"/>
      <c r="C197" s="503"/>
      <c r="D197" s="491"/>
      <c r="E197" s="502"/>
      <c r="F197" s="219">
        <f t="shared" si="6"/>
        <v>0</v>
      </c>
      <c r="G197" s="219" t="str">
        <f>IF(IFERROR(IF(Str_TypeDonneesCpt7=Cpt_Index,Tab_Compteur_7[[#This Row],[Index]]-E196,Tab_Compteur_7[[#This Row],[Quantité]])/Tab_Compteur_7[[#This Row],[Delta Jour]],"")&lt;0,"",IFERROR(IF(Str_TypeDonneesCpt7=Cpt_Index,Tab_Compteur_7[[#This Row],[Index]]-E196,Tab_Compteur_7[[#This Row],[Quantité]])/Tab_Compteur_7[[#This Row],[Delta Jour]],""))</f>
        <v/>
      </c>
      <c r="H197" s="219" t="str">
        <f>IFERROR(Tab_Compteur_7[[#This Row],[Montant]]/Tab_Compteur_7[[#This Row],[Delta Jour]],"")</f>
        <v/>
      </c>
      <c r="I197" s="184" t="str">
        <f>IF(SUM(Tab_Compteur_7[[#This Row],[Quantité]],Tab_Compteur_7[[#This Row],[Index]])&lt;=0,"",G197)</f>
        <v/>
      </c>
      <c r="J197" s="185"/>
      <c r="K197" s="36"/>
      <c r="L197" s="36"/>
      <c r="M197" s="36"/>
    </row>
    <row r="198" spans="1:13">
      <c r="A198" s="2">
        <f t="shared" ref="A198:A243" si="7">IFERROR(B197+1,0)</f>
        <v>1</v>
      </c>
      <c r="B198" s="505"/>
      <c r="C198" s="503"/>
      <c r="D198" s="491"/>
      <c r="E198" s="502"/>
      <c r="F198" s="219">
        <f t="shared" si="6"/>
        <v>0</v>
      </c>
      <c r="G198" s="219" t="str">
        <f>IF(IFERROR(IF(Str_TypeDonneesCpt7=Cpt_Index,Tab_Compteur_7[[#This Row],[Index]]-E197,Tab_Compteur_7[[#This Row],[Quantité]])/Tab_Compteur_7[[#This Row],[Delta Jour]],"")&lt;0,"",IFERROR(IF(Str_TypeDonneesCpt7=Cpt_Index,Tab_Compteur_7[[#This Row],[Index]]-E197,Tab_Compteur_7[[#This Row],[Quantité]])/Tab_Compteur_7[[#This Row],[Delta Jour]],""))</f>
        <v/>
      </c>
      <c r="H198" s="219" t="str">
        <f>IFERROR(Tab_Compteur_7[[#This Row],[Montant]]/Tab_Compteur_7[[#This Row],[Delta Jour]],"")</f>
        <v/>
      </c>
      <c r="I198" s="184" t="str">
        <f>IF(SUM(Tab_Compteur_7[[#This Row],[Quantité]],Tab_Compteur_7[[#This Row],[Index]])&lt;=0,"",G198)</f>
        <v/>
      </c>
      <c r="J198" s="185"/>
      <c r="K198" s="36"/>
      <c r="L198" s="36"/>
      <c r="M198" s="36"/>
    </row>
    <row r="199" spans="1:13">
      <c r="A199" s="2">
        <f t="shared" si="7"/>
        <v>1</v>
      </c>
      <c r="B199" s="505"/>
      <c r="C199" s="503"/>
      <c r="D199" s="491"/>
      <c r="E199" s="502"/>
      <c r="F199" s="219">
        <f t="shared" si="6"/>
        <v>0</v>
      </c>
      <c r="G199" s="219" t="str">
        <f>IF(IFERROR(IF(Str_TypeDonneesCpt7=Cpt_Index,Tab_Compteur_7[[#This Row],[Index]]-E198,Tab_Compteur_7[[#This Row],[Quantité]])/Tab_Compteur_7[[#This Row],[Delta Jour]],"")&lt;0,"",IFERROR(IF(Str_TypeDonneesCpt7=Cpt_Index,Tab_Compteur_7[[#This Row],[Index]]-E198,Tab_Compteur_7[[#This Row],[Quantité]])/Tab_Compteur_7[[#This Row],[Delta Jour]],""))</f>
        <v/>
      </c>
      <c r="H199" s="219" t="str">
        <f>IFERROR(Tab_Compteur_7[[#This Row],[Montant]]/Tab_Compteur_7[[#This Row],[Delta Jour]],"")</f>
        <v/>
      </c>
      <c r="I199" s="184" t="str">
        <f>IF(SUM(Tab_Compteur_7[[#This Row],[Quantité]],Tab_Compteur_7[[#This Row],[Index]])&lt;=0,"",G199)</f>
        <v/>
      </c>
      <c r="J199" s="185"/>
      <c r="K199" s="36"/>
      <c r="L199" s="36"/>
      <c r="M199" s="36"/>
    </row>
    <row r="200" spans="1:13">
      <c r="A200" s="2">
        <f t="shared" si="7"/>
        <v>1</v>
      </c>
      <c r="B200" s="505"/>
      <c r="C200" s="503"/>
      <c r="D200" s="491"/>
      <c r="E200" s="502"/>
      <c r="F200" s="219">
        <f t="shared" si="6"/>
        <v>0</v>
      </c>
      <c r="G200" s="219" t="str">
        <f>IF(IFERROR(IF(Str_TypeDonneesCpt7=Cpt_Index,Tab_Compteur_7[[#This Row],[Index]]-E199,Tab_Compteur_7[[#This Row],[Quantité]])/Tab_Compteur_7[[#This Row],[Delta Jour]],"")&lt;0,"",IFERROR(IF(Str_TypeDonneesCpt7=Cpt_Index,Tab_Compteur_7[[#This Row],[Index]]-E199,Tab_Compteur_7[[#This Row],[Quantité]])/Tab_Compteur_7[[#This Row],[Delta Jour]],""))</f>
        <v/>
      </c>
      <c r="H200" s="219" t="str">
        <f>IFERROR(Tab_Compteur_7[[#This Row],[Montant]]/Tab_Compteur_7[[#This Row],[Delta Jour]],"")</f>
        <v/>
      </c>
      <c r="I200" s="184" t="str">
        <f>IF(SUM(Tab_Compteur_7[[#This Row],[Quantité]],Tab_Compteur_7[[#This Row],[Index]])&lt;=0,"",G200)</f>
        <v/>
      </c>
      <c r="J200" s="185"/>
      <c r="K200" s="36"/>
      <c r="L200" s="36"/>
      <c r="M200" s="36"/>
    </row>
    <row r="201" spans="1:13">
      <c r="A201" s="2">
        <f t="shared" si="7"/>
        <v>1</v>
      </c>
      <c r="B201" s="505"/>
      <c r="C201" s="503"/>
      <c r="D201" s="491"/>
      <c r="E201" s="502"/>
      <c r="F201" s="219">
        <f t="shared" si="6"/>
        <v>0</v>
      </c>
      <c r="G201" s="219" t="str">
        <f>IF(IFERROR(IF(Str_TypeDonneesCpt7=Cpt_Index,Tab_Compteur_7[[#This Row],[Index]]-E200,Tab_Compteur_7[[#This Row],[Quantité]])/Tab_Compteur_7[[#This Row],[Delta Jour]],"")&lt;0,"",IFERROR(IF(Str_TypeDonneesCpt7=Cpt_Index,Tab_Compteur_7[[#This Row],[Index]]-E200,Tab_Compteur_7[[#This Row],[Quantité]])/Tab_Compteur_7[[#This Row],[Delta Jour]],""))</f>
        <v/>
      </c>
      <c r="H201" s="219" t="str">
        <f>IFERROR(Tab_Compteur_7[[#This Row],[Montant]]/Tab_Compteur_7[[#This Row],[Delta Jour]],"")</f>
        <v/>
      </c>
      <c r="I201" s="184" t="str">
        <f>IF(SUM(Tab_Compteur_7[[#This Row],[Quantité]],Tab_Compteur_7[[#This Row],[Index]])&lt;=0,"",G201)</f>
        <v/>
      </c>
      <c r="J201" s="185"/>
      <c r="K201" s="36"/>
      <c r="L201" s="36"/>
      <c r="M201" s="36"/>
    </row>
    <row r="202" spans="1:13">
      <c r="A202" s="2">
        <f t="shared" si="7"/>
        <v>1</v>
      </c>
      <c r="B202" s="505"/>
      <c r="C202" s="503"/>
      <c r="D202" s="491"/>
      <c r="E202" s="502"/>
      <c r="F202" s="219">
        <f t="shared" si="6"/>
        <v>0</v>
      </c>
      <c r="G202" s="219" t="str">
        <f>IF(IFERROR(IF(Str_TypeDonneesCpt7=Cpt_Index,Tab_Compteur_7[[#This Row],[Index]]-E201,Tab_Compteur_7[[#This Row],[Quantité]])/Tab_Compteur_7[[#This Row],[Delta Jour]],"")&lt;0,"",IFERROR(IF(Str_TypeDonneesCpt7=Cpt_Index,Tab_Compteur_7[[#This Row],[Index]]-E201,Tab_Compteur_7[[#This Row],[Quantité]])/Tab_Compteur_7[[#This Row],[Delta Jour]],""))</f>
        <v/>
      </c>
      <c r="H202" s="219" t="str">
        <f>IFERROR(Tab_Compteur_7[[#This Row],[Montant]]/Tab_Compteur_7[[#This Row],[Delta Jour]],"")</f>
        <v/>
      </c>
      <c r="I202" s="184" t="str">
        <f>IF(SUM(Tab_Compteur_7[[#This Row],[Quantité]],Tab_Compteur_7[[#This Row],[Index]])&lt;=0,"",G202)</f>
        <v/>
      </c>
      <c r="J202" s="185"/>
      <c r="K202" s="36"/>
      <c r="L202" s="36"/>
      <c r="M202" s="36"/>
    </row>
    <row r="203" spans="1:13">
      <c r="A203" s="2">
        <f t="shared" si="7"/>
        <v>1</v>
      </c>
      <c r="B203" s="505"/>
      <c r="C203" s="503"/>
      <c r="D203" s="491"/>
      <c r="E203" s="502"/>
      <c r="F203" s="219">
        <f t="shared" si="6"/>
        <v>0</v>
      </c>
      <c r="G203" s="219" t="str">
        <f>IF(IFERROR(IF(Str_TypeDonneesCpt7=Cpt_Index,Tab_Compteur_7[[#This Row],[Index]]-E202,Tab_Compteur_7[[#This Row],[Quantité]])/Tab_Compteur_7[[#This Row],[Delta Jour]],"")&lt;0,"",IFERROR(IF(Str_TypeDonneesCpt7=Cpt_Index,Tab_Compteur_7[[#This Row],[Index]]-E202,Tab_Compteur_7[[#This Row],[Quantité]])/Tab_Compteur_7[[#This Row],[Delta Jour]],""))</f>
        <v/>
      </c>
      <c r="H203" s="219" t="str">
        <f>IFERROR(Tab_Compteur_7[[#This Row],[Montant]]/Tab_Compteur_7[[#This Row],[Delta Jour]],"")</f>
        <v/>
      </c>
      <c r="I203" s="184" t="str">
        <f>IF(SUM(Tab_Compteur_7[[#This Row],[Quantité]],Tab_Compteur_7[[#This Row],[Index]])&lt;=0,"",G203)</f>
        <v/>
      </c>
      <c r="J203" s="185"/>
      <c r="K203" s="36"/>
      <c r="L203" s="36"/>
      <c r="M203" s="36"/>
    </row>
    <row r="204" spans="1:13">
      <c r="A204" s="2">
        <f t="shared" si="7"/>
        <v>1</v>
      </c>
      <c r="B204" s="505"/>
      <c r="C204" s="503"/>
      <c r="D204" s="491"/>
      <c r="E204" s="502"/>
      <c r="F204" s="219">
        <f t="shared" si="6"/>
        <v>0</v>
      </c>
      <c r="G204" s="219" t="str">
        <f>IF(IFERROR(IF(Str_TypeDonneesCpt7=Cpt_Index,Tab_Compteur_7[[#This Row],[Index]]-E203,Tab_Compteur_7[[#This Row],[Quantité]])/Tab_Compteur_7[[#This Row],[Delta Jour]],"")&lt;0,"",IFERROR(IF(Str_TypeDonneesCpt7=Cpt_Index,Tab_Compteur_7[[#This Row],[Index]]-E203,Tab_Compteur_7[[#This Row],[Quantité]])/Tab_Compteur_7[[#This Row],[Delta Jour]],""))</f>
        <v/>
      </c>
      <c r="H204" s="219" t="str">
        <f>IFERROR(Tab_Compteur_7[[#This Row],[Montant]]/Tab_Compteur_7[[#This Row],[Delta Jour]],"")</f>
        <v/>
      </c>
      <c r="I204" s="184" t="str">
        <f>IF(SUM(Tab_Compteur_7[[#This Row],[Quantité]],Tab_Compteur_7[[#This Row],[Index]])&lt;=0,"",G204)</f>
        <v/>
      </c>
      <c r="J204" s="185"/>
      <c r="K204" s="36"/>
      <c r="L204" s="36"/>
      <c r="M204" s="36"/>
    </row>
    <row r="205" spans="1:13">
      <c r="A205" s="2">
        <f t="shared" si="7"/>
        <v>1</v>
      </c>
      <c r="B205" s="505"/>
      <c r="C205" s="503"/>
      <c r="D205" s="491"/>
      <c r="E205" s="502"/>
      <c r="F205" s="219">
        <f t="shared" si="6"/>
        <v>0</v>
      </c>
      <c r="G205" s="219" t="str">
        <f>IF(IFERROR(IF(Str_TypeDonneesCpt7=Cpt_Index,Tab_Compteur_7[[#This Row],[Index]]-E204,Tab_Compteur_7[[#This Row],[Quantité]])/Tab_Compteur_7[[#This Row],[Delta Jour]],"")&lt;0,"",IFERROR(IF(Str_TypeDonneesCpt7=Cpt_Index,Tab_Compteur_7[[#This Row],[Index]]-E204,Tab_Compteur_7[[#This Row],[Quantité]])/Tab_Compteur_7[[#This Row],[Delta Jour]],""))</f>
        <v/>
      </c>
      <c r="H205" s="219" t="str">
        <f>IFERROR(Tab_Compteur_7[[#This Row],[Montant]]/Tab_Compteur_7[[#This Row],[Delta Jour]],"")</f>
        <v/>
      </c>
      <c r="I205" s="184" t="str">
        <f>IF(SUM(Tab_Compteur_7[[#This Row],[Quantité]],Tab_Compteur_7[[#This Row],[Index]])&lt;=0,"",G205)</f>
        <v/>
      </c>
      <c r="J205" s="185"/>
      <c r="K205" s="36"/>
      <c r="L205" s="36"/>
      <c r="M205" s="36"/>
    </row>
    <row r="206" spans="1:13">
      <c r="A206" s="2">
        <f t="shared" si="7"/>
        <v>1</v>
      </c>
      <c r="B206" s="505"/>
      <c r="C206" s="503"/>
      <c r="D206" s="491"/>
      <c r="E206" s="502"/>
      <c r="F206" s="219">
        <f t="shared" si="6"/>
        <v>0</v>
      </c>
      <c r="G206" s="219" t="str">
        <f>IF(IFERROR(IF(Str_TypeDonneesCpt7=Cpt_Index,Tab_Compteur_7[[#This Row],[Index]]-E205,Tab_Compteur_7[[#This Row],[Quantité]])/Tab_Compteur_7[[#This Row],[Delta Jour]],"")&lt;0,"",IFERROR(IF(Str_TypeDonneesCpt7=Cpt_Index,Tab_Compteur_7[[#This Row],[Index]]-E205,Tab_Compteur_7[[#This Row],[Quantité]])/Tab_Compteur_7[[#This Row],[Delta Jour]],""))</f>
        <v/>
      </c>
      <c r="H206" s="219" t="str">
        <f>IFERROR(Tab_Compteur_7[[#This Row],[Montant]]/Tab_Compteur_7[[#This Row],[Delta Jour]],"")</f>
        <v/>
      </c>
      <c r="I206" s="184" t="str">
        <f>IF(SUM(Tab_Compteur_7[[#This Row],[Quantité]],Tab_Compteur_7[[#This Row],[Index]])&lt;=0,"",G206)</f>
        <v/>
      </c>
      <c r="J206" s="185"/>
      <c r="K206" s="36"/>
      <c r="L206" s="36"/>
      <c r="M206" s="36"/>
    </row>
    <row r="207" spans="1:13">
      <c r="A207" s="2">
        <f t="shared" si="7"/>
        <v>1</v>
      </c>
      <c r="B207" s="505"/>
      <c r="C207" s="503"/>
      <c r="D207" s="491"/>
      <c r="E207" s="502"/>
      <c r="F207" s="219">
        <f t="shared" si="6"/>
        <v>0</v>
      </c>
      <c r="G207" s="219" t="str">
        <f>IF(IFERROR(IF(Str_TypeDonneesCpt7=Cpt_Index,Tab_Compteur_7[[#This Row],[Index]]-E206,Tab_Compteur_7[[#This Row],[Quantité]])/Tab_Compteur_7[[#This Row],[Delta Jour]],"")&lt;0,"",IFERROR(IF(Str_TypeDonneesCpt7=Cpt_Index,Tab_Compteur_7[[#This Row],[Index]]-E206,Tab_Compteur_7[[#This Row],[Quantité]])/Tab_Compteur_7[[#This Row],[Delta Jour]],""))</f>
        <v/>
      </c>
      <c r="H207" s="219" t="str">
        <f>IFERROR(Tab_Compteur_7[[#This Row],[Montant]]/Tab_Compteur_7[[#This Row],[Delta Jour]],"")</f>
        <v/>
      </c>
      <c r="I207" s="184" t="str">
        <f>IF(SUM(Tab_Compteur_7[[#This Row],[Quantité]],Tab_Compteur_7[[#This Row],[Index]])&lt;=0,"",G207)</f>
        <v/>
      </c>
      <c r="J207" s="185"/>
      <c r="K207" s="36"/>
      <c r="L207" s="36"/>
      <c r="M207" s="36"/>
    </row>
    <row r="208" spans="1:13">
      <c r="A208" s="2">
        <f t="shared" si="7"/>
        <v>1</v>
      </c>
      <c r="B208" s="505"/>
      <c r="C208" s="503"/>
      <c r="D208" s="491"/>
      <c r="E208" s="502"/>
      <c r="F208" s="219">
        <f t="shared" si="6"/>
        <v>0</v>
      </c>
      <c r="G208" s="219" t="str">
        <f>IF(IFERROR(IF(Str_TypeDonneesCpt7=Cpt_Index,Tab_Compteur_7[[#This Row],[Index]]-E207,Tab_Compteur_7[[#This Row],[Quantité]])/Tab_Compteur_7[[#This Row],[Delta Jour]],"")&lt;0,"",IFERROR(IF(Str_TypeDonneesCpt7=Cpt_Index,Tab_Compteur_7[[#This Row],[Index]]-E207,Tab_Compteur_7[[#This Row],[Quantité]])/Tab_Compteur_7[[#This Row],[Delta Jour]],""))</f>
        <v/>
      </c>
      <c r="H208" s="219" t="str">
        <f>IFERROR(Tab_Compteur_7[[#This Row],[Montant]]/Tab_Compteur_7[[#This Row],[Delta Jour]],"")</f>
        <v/>
      </c>
      <c r="I208" s="184" t="str">
        <f>IF(SUM(Tab_Compteur_7[[#This Row],[Quantité]],Tab_Compteur_7[[#This Row],[Index]])&lt;=0,"",G208)</f>
        <v/>
      </c>
      <c r="J208" s="185"/>
      <c r="K208" s="36"/>
      <c r="L208" s="36"/>
      <c r="M208" s="36"/>
    </row>
    <row r="209" spans="1:13">
      <c r="A209" s="2">
        <f t="shared" si="7"/>
        <v>1</v>
      </c>
      <c r="B209" s="505"/>
      <c r="C209" s="503"/>
      <c r="D209" s="491"/>
      <c r="E209" s="502"/>
      <c r="F209" s="219">
        <f t="shared" si="6"/>
        <v>0</v>
      </c>
      <c r="G209" s="219" t="str">
        <f>IF(IFERROR(IF(Str_TypeDonneesCpt7=Cpt_Index,Tab_Compteur_7[[#This Row],[Index]]-E208,Tab_Compteur_7[[#This Row],[Quantité]])/Tab_Compteur_7[[#This Row],[Delta Jour]],"")&lt;0,"",IFERROR(IF(Str_TypeDonneesCpt7=Cpt_Index,Tab_Compteur_7[[#This Row],[Index]]-E208,Tab_Compteur_7[[#This Row],[Quantité]])/Tab_Compteur_7[[#This Row],[Delta Jour]],""))</f>
        <v/>
      </c>
      <c r="H209" s="219" t="str">
        <f>IFERROR(Tab_Compteur_7[[#This Row],[Montant]]/Tab_Compteur_7[[#This Row],[Delta Jour]],"")</f>
        <v/>
      </c>
      <c r="I209" s="184" t="str">
        <f>IF(SUM(Tab_Compteur_7[[#This Row],[Quantité]],Tab_Compteur_7[[#This Row],[Index]])&lt;=0,"",G209)</f>
        <v/>
      </c>
      <c r="J209" s="185"/>
      <c r="K209" s="36"/>
      <c r="L209" s="36"/>
      <c r="M209" s="36"/>
    </row>
    <row r="210" spans="1:13">
      <c r="A210" s="2">
        <f t="shared" si="7"/>
        <v>1</v>
      </c>
      <c r="B210" s="505"/>
      <c r="C210" s="503"/>
      <c r="D210" s="491"/>
      <c r="E210" s="502"/>
      <c r="F210" s="219">
        <f t="shared" si="6"/>
        <v>0</v>
      </c>
      <c r="G210" s="219" t="str">
        <f>IF(IFERROR(IF(Str_TypeDonneesCpt7=Cpt_Index,Tab_Compteur_7[[#This Row],[Index]]-E209,Tab_Compteur_7[[#This Row],[Quantité]])/Tab_Compteur_7[[#This Row],[Delta Jour]],"")&lt;0,"",IFERROR(IF(Str_TypeDonneesCpt7=Cpt_Index,Tab_Compteur_7[[#This Row],[Index]]-E209,Tab_Compteur_7[[#This Row],[Quantité]])/Tab_Compteur_7[[#This Row],[Delta Jour]],""))</f>
        <v/>
      </c>
      <c r="H210" s="219" t="str">
        <f>IFERROR(Tab_Compteur_7[[#This Row],[Montant]]/Tab_Compteur_7[[#This Row],[Delta Jour]],"")</f>
        <v/>
      </c>
      <c r="I210" s="184" t="str">
        <f>IF(SUM(Tab_Compteur_7[[#This Row],[Quantité]],Tab_Compteur_7[[#This Row],[Index]])&lt;=0,"",G210)</f>
        <v/>
      </c>
      <c r="J210" s="185"/>
      <c r="K210" s="36"/>
      <c r="L210" s="36"/>
      <c r="M210" s="36"/>
    </row>
    <row r="211" spans="1:13">
      <c r="A211" s="2">
        <f t="shared" si="7"/>
        <v>1</v>
      </c>
      <c r="B211" s="505"/>
      <c r="C211" s="503"/>
      <c r="D211" s="491"/>
      <c r="E211" s="502"/>
      <c r="F211" s="219">
        <f t="shared" si="6"/>
        <v>0</v>
      </c>
      <c r="G211" s="219" t="str">
        <f>IF(IFERROR(IF(Str_TypeDonneesCpt7=Cpt_Index,Tab_Compteur_7[[#This Row],[Index]]-E210,Tab_Compteur_7[[#This Row],[Quantité]])/Tab_Compteur_7[[#This Row],[Delta Jour]],"")&lt;0,"",IFERROR(IF(Str_TypeDonneesCpt7=Cpt_Index,Tab_Compteur_7[[#This Row],[Index]]-E210,Tab_Compteur_7[[#This Row],[Quantité]])/Tab_Compteur_7[[#This Row],[Delta Jour]],""))</f>
        <v/>
      </c>
      <c r="H211" s="219" t="str">
        <f>IFERROR(Tab_Compteur_7[[#This Row],[Montant]]/Tab_Compteur_7[[#This Row],[Delta Jour]],"")</f>
        <v/>
      </c>
      <c r="I211" s="184" t="str">
        <f>IF(SUM(Tab_Compteur_7[[#This Row],[Quantité]],Tab_Compteur_7[[#This Row],[Index]])&lt;=0,"",G211)</f>
        <v/>
      </c>
      <c r="J211" s="185"/>
      <c r="K211" s="36"/>
      <c r="L211" s="36"/>
      <c r="M211" s="36"/>
    </row>
    <row r="212" spans="1:13">
      <c r="A212" s="2">
        <f t="shared" si="7"/>
        <v>1</v>
      </c>
      <c r="B212" s="505"/>
      <c r="C212" s="503"/>
      <c r="D212" s="491"/>
      <c r="E212" s="502"/>
      <c r="F212" s="219">
        <f t="shared" si="6"/>
        <v>0</v>
      </c>
      <c r="G212" s="219" t="str">
        <f>IF(IFERROR(IF(Str_TypeDonneesCpt7=Cpt_Index,Tab_Compteur_7[[#This Row],[Index]]-E211,Tab_Compteur_7[[#This Row],[Quantité]])/Tab_Compteur_7[[#This Row],[Delta Jour]],"")&lt;0,"",IFERROR(IF(Str_TypeDonneesCpt7=Cpt_Index,Tab_Compteur_7[[#This Row],[Index]]-E211,Tab_Compteur_7[[#This Row],[Quantité]])/Tab_Compteur_7[[#This Row],[Delta Jour]],""))</f>
        <v/>
      </c>
      <c r="H212" s="219" t="str">
        <f>IFERROR(Tab_Compteur_7[[#This Row],[Montant]]/Tab_Compteur_7[[#This Row],[Delta Jour]],"")</f>
        <v/>
      </c>
      <c r="I212" s="184" t="str">
        <f>IF(SUM(Tab_Compteur_7[[#This Row],[Quantité]],Tab_Compteur_7[[#This Row],[Index]])&lt;=0,"",G212)</f>
        <v/>
      </c>
      <c r="J212" s="185"/>
      <c r="K212" s="36"/>
      <c r="L212" s="36"/>
      <c r="M212" s="36"/>
    </row>
    <row r="213" spans="1:13">
      <c r="A213" s="2">
        <f t="shared" si="7"/>
        <v>1</v>
      </c>
      <c r="B213" s="505"/>
      <c r="C213" s="503"/>
      <c r="D213" s="491"/>
      <c r="E213" s="502"/>
      <c r="F213" s="219">
        <f t="shared" si="6"/>
        <v>0</v>
      </c>
      <c r="G213" s="219" t="str">
        <f>IF(IFERROR(IF(Str_TypeDonneesCpt7=Cpt_Index,Tab_Compteur_7[[#This Row],[Index]]-E212,Tab_Compteur_7[[#This Row],[Quantité]])/Tab_Compteur_7[[#This Row],[Delta Jour]],"")&lt;0,"",IFERROR(IF(Str_TypeDonneesCpt7=Cpt_Index,Tab_Compteur_7[[#This Row],[Index]]-E212,Tab_Compteur_7[[#This Row],[Quantité]])/Tab_Compteur_7[[#This Row],[Delta Jour]],""))</f>
        <v/>
      </c>
      <c r="H213" s="219" t="str">
        <f>IFERROR(Tab_Compteur_7[[#This Row],[Montant]]/Tab_Compteur_7[[#This Row],[Delta Jour]],"")</f>
        <v/>
      </c>
      <c r="I213" s="184" t="str">
        <f>IF(SUM(Tab_Compteur_7[[#This Row],[Quantité]],Tab_Compteur_7[[#This Row],[Index]])&lt;=0,"",G213)</f>
        <v/>
      </c>
      <c r="J213" s="185"/>
      <c r="K213" s="36"/>
      <c r="L213" s="36"/>
      <c r="M213" s="36"/>
    </row>
    <row r="214" spans="1:13">
      <c r="A214" s="2">
        <f t="shared" si="7"/>
        <v>1</v>
      </c>
      <c r="B214" s="505"/>
      <c r="C214" s="503"/>
      <c r="D214" s="491"/>
      <c r="E214" s="502"/>
      <c r="F214" s="219">
        <f t="shared" si="6"/>
        <v>0</v>
      </c>
      <c r="G214" s="219" t="str">
        <f>IF(IFERROR(IF(Str_TypeDonneesCpt7=Cpt_Index,Tab_Compteur_7[[#This Row],[Index]]-E213,Tab_Compteur_7[[#This Row],[Quantité]])/Tab_Compteur_7[[#This Row],[Delta Jour]],"")&lt;0,"",IFERROR(IF(Str_TypeDonneesCpt7=Cpt_Index,Tab_Compteur_7[[#This Row],[Index]]-E213,Tab_Compteur_7[[#This Row],[Quantité]])/Tab_Compteur_7[[#This Row],[Delta Jour]],""))</f>
        <v/>
      </c>
      <c r="H214" s="219" t="str">
        <f>IFERROR(Tab_Compteur_7[[#This Row],[Montant]]/Tab_Compteur_7[[#This Row],[Delta Jour]],"")</f>
        <v/>
      </c>
      <c r="I214" s="184" t="str">
        <f>IF(SUM(Tab_Compteur_7[[#This Row],[Quantité]],Tab_Compteur_7[[#This Row],[Index]])&lt;=0,"",G214)</f>
        <v/>
      </c>
      <c r="J214" s="185"/>
      <c r="K214" s="36"/>
      <c r="L214" s="36"/>
      <c r="M214" s="36"/>
    </row>
    <row r="215" spans="1:13">
      <c r="A215" s="2">
        <f t="shared" si="7"/>
        <v>1</v>
      </c>
      <c r="B215" s="505"/>
      <c r="C215" s="503"/>
      <c r="D215" s="491"/>
      <c r="E215" s="502"/>
      <c r="F215" s="219">
        <f t="shared" si="6"/>
        <v>0</v>
      </c>
      <c r="G215" s="219" t="str">
        <f>IF(IFERROR(IF(Str_TypeDonneesCpt7=Cpt_Index,Tab_Compteur_7[[#This Row],[Index]]-E214,Tab_Compteur_7[[#This Row],[Quantité]])/Tab_Compteur_7[[#This Row],[Delta Jour]],"")&lt;0,"",IFERROR(IF(Str_TypeDonneesCpt7=Cpt_Index,Tab_Compteur_7[[#This Row],[Index]]-E214,Tab_Compteur_7[[#This Row],[Quantité]])/Tab_Compteur_7[[#This Row],[Delta Jour]],""))</f>
        <v/>
      </c>
      <c r="H215" s="219" t="str">
        <f>IFERROR(Tab_Compteur_7[[#This Row],[Montant]]/Tab_Compteur_7[[#This Row],[Delta Jour]],"")</f>
        <v/>
      </c>
      <c r="I215" s="184" t="str">
        <f>IF(SUM(Tab_Compteur_7[[#This Row],[Quantité]],Tab_Compteur_7[[#This Row],[Index]])&lt;=0,"",G215)</f>
        <v/>
      </c>
      <c r="J215" s="185"/>
      <c r="K215" s="36"/>
      <c r="L215" s="36"/>
      <c r="M215" s="36"/>
    </row>
    <row r="216" spans="1:13">
      <c r="A216" s="2">
        <f t="shared" si="7"/>
        <v>1</v>
      </c>
      <c r="B216" s="505"/>
      <c r="C216" s="503"/>
      <c r="D216" s="491"/>
      <c r="E216" s="502"/>
      <c r="F216" s="219">
        <f t="shared" si="6"/>
        <v>0</v>
      </c>
      <c r="G216" s="219" t="str">
        <f>IF(IFERROR(IF(Str_TypeDonneesCpt7=Cpt_Index,Tab_Compteur_7[[#This Row],[Index]]-E215,Tab_Compteur_7[[#This Row],[Quantité]])/Tab_Compteur_7[[#This Row],[Delta Jour]],"")&lt;0,"",IFERROR(IF(Str_TypeDonneesCpt7=Cpt_Index,Tab_Compteur_7[[#This Row],[Index]]-E215,Tab_Compteur_7[[#This Row],[Quantité]])/Tab_Compteur_7[[#This Row],[Delta Jour]],""))</f>
        <v/>
      </c>
      <c r="H216" s="219" t="str">
        <f>IFERROR(Tab_Compteur_7[[#This Row],[Montant]]/Tab_Compteur_7[[#This Row],[Delta Jour]],"")</f>
        <v/>
      </c>
      <c r="I216" s="184" t="str">
        <f>IF(SUM(Tab_Compteur_7[[#This Row],[Quantité]],Tab_Compteur_7[[#This Row],[Index]])&lt;=0,"",G216)</f>
        <v/>
      </c>
      <c r="J216" s="185"/>
      <c r="K216" s="36"/>
      <c r="L216" s="36"/>
      <c r="M216" s="36"/>
    </row>
    <row r="217" spans="1:13">
      <c r="A217" s="2">
        <f t="shared" si="7"/>
        <v>1</v>
      </c>
      <c r="B217" s="505"/>
      <c r="C217" s="503"/>
      <c r="D217" s="491"/>
      <c r="E217" s="502"/>
      <c r="F217" s="219">
        <f t="shared" si="6"/>
        <v>0</v>
      </c>
      <c r="G217" s="219" t="str">
        <f>IF(IFERROR(IF(Str_TypeDonneesCpt7=Cpt_Index,Tab_Compteur_7[[#This Row],[Index]]-E216,Tab_Compteur_7[[#This Row],[Quantité]])/Tab_Compteur_7[[#This Row],[Delta Jour]],"")&lt;0,"",IFERROR(IF(Str_TypeDonneesCpt7=Cpt_Index,Tab_Compteur_7[[#This Row],[Index]]-E216,Tab_Compteur_7[[#This Row],[Quantité]])/Tab_Compteur_7[[#This Row],[Delta Jour]],""))</f>
        <v/>
      </c>
      <c r="H217" s="219" t="str">
        <f>IFERROR(Tab_Compteur_7[[#This Row],[Montant]]/Tab_Compteur_7[[#This Row],[Delta Jour]],"")</f>
        <v/>
      </c>
      <c r="I217" s="184" t="str">
        <f>IF(SUM(Tab_Compteur_7[[#This Row],[Quantité]],Tab_Compteur_7[[#This Row],[Index]])&lt;=0,"",G217)</f>
        <v/>
      </c>
      <c r="J217" s="185"/>
      <c r="K217" s="36"/>
      <c r="L217" s="36"/>
      <c r="M217" s="36"/>
    </row>
    <row r="218" spans="1:13">
      <c r="A218" s="2">
        <f t="shared" si="7"/>
        <v>1</v>
      </c>
      <c r="B218" s="505"/>
      <c r="C218" s="503"/>
      <c r="D218" s="491"/>
      <c r="E218" s="502"/>
      <c r="F218" s="219">
        <f t="shared" si="6"/>
        <v>0</v>
      </c>
      <c r="G218" s="219" t="str">
        <f>IF(IFERROR(IF(Str_TypeDonneesCpt7=Cpt_Index,Tab_Compteur_7[[#This Row],[Index]]-E217,Tab_Compteur_7[[#This Row],[Quantité]])/Tab_Compteur_7[[#This Row],[Delta Jour]],"")&lt;0,"",IFERROR(IF(Str_TypeDonneesCpt7=Cpt_Index,Tab_Compteur_7[[#This Row],[Index]]-E217,Tab_Compteur_7[[#This Row],[Quantité]])/Tab_Compteur_7[[#This Row],[Delta Jour]],""))</f>
        <v/>
      </c>
      <c r="H218" s="219" t="str">
        <f>IFERROR(Tab_Compteur_7[[#This Row],[Montant]]/Tab_Compteur_7[[#This Row],[Delta Jour]],"")</f>
        <v/>
      </c>
      <c r="I218" s="184" t="str">
        <f>IF(SUM(Tab_Compteur_7[[#This Row],[Quantité]],Tab_Compteur_7[[#This Row],[Index]])&lt;=0,"",G218)</f>
        <v/>
      </c>
      <c r="J218" s="185"/>
      <c r="K218" s="36"/>
      <c r="L218" s="36"/>
      <c r="M218" s="36"/>
    </row>
    <row r="219" spans="1:13">
      <c r="A219" s="2">
        <f t="shared" si="7"/>
        <v>1</v>
      </c>
      <c r="B219" s="505"/>
      <c r="C219" s="503"/>
      <c r="D219" s="491"/>
      <c r="E219" s="502"/>
      <c r="F219" s="219">
        <f t="shared" si="6"/>
        <v>0</v>
      </c>
      <c r="G219" s="219" t="str">
        <f>IF(IFERROR(IF(Str_TypeDonneesCpt7=Cpt_Index,Tab_Compteur_7[[#This Row],[Index]]-E218,Tab_Compteur_7[[#This Row],[Quantité]])/Tab_Compteur_7[[#This Row],[Delta Jour]],"")&lt;0,"",IFERROR(IF(Str_TypeDonneesCpt7=Cpt_Index,Tab_Compteur_7[[#This Row],[Index]]-E218,Tab_Compteur_7[[#This Row],[Quantité]])/Tab_Compteur_7[[#This Row],[Delta Jour]],""))</f>
        <v/>
      </c>
      <c r="H219" s="219" t="str">
        <f>IFERROR(Tab_Compteur_7[[#This Row],[Montant]]/Tab_Compteur_7[[#This Row],[Delta Jour]],"")</f>
        <v/>
      </c>
      <c r="I219" s="184" t="str">
        <f>IF(SUM(Tab_Compteur_7[[#This Row],[Quantité]],Tab_Compteur_7[[#This Row],[Index]])&lt;=0,"",G219)</f>
        <v/>
      </c>
      <c r="J219" s="185"/>
      <c r="K219" s="36"/>
      <c r="L219" s="36"/>
      <c r="M219" s="36"/>
    </row>
    <row r="220" spans="1:13">
      <c r="A220" s="2">
        <f t="shared" si="7"/>
        <v>1</v>
      </c>
      <c r="B220" s="505"/>
      <c r="C220" s="503"/>
      <c r="D220" s="491"/>
      <c r="E220" s="502"/>
      <c r="F220" s="219">
        <f t="shared" si="6"/>
        <v>0</v>
      </c>
      <c r="G220" s="219" t="str">
        <f>IF(IFERROR(IF(Str_TypeDonneesCpt7=Cpt_Index,Tab_Compteur_7[[#This Row],[Index]]-E219,Tab_Compteur_7[[#This Row],[Quantité]])/Tab_Compteur_7[[#This Row],[Delta Jour]],"")&lt;0,"",IFERROR(IF(Str_TypeDonneesCpt7=Cpt_Index,Tab_Compteur_7[[#This Row],[Index]]-E219,Tab_Compteur_7[[#This Row],[Quantité]])/Tab_Compteur_7[[#This Row],[Delta Jour]],""))</f>
        <v/>
      </c>
      <c r="H220" s="219" t="str">
        <f>IFERROR(Tab_Compteur_7[[#This Row],[Montant]]/Tab_Compteur_7[[#This Row],[Delta Jour]],"")</f>
        <v/>
      </c>
      <c r="I220" s="184" t="str">
        <f>IF(SUM(Tab_Compteur_7[[#This Row],[Quantité]],Tab_Compteur_7[[#This Row],[Index]])&lt;=0,"",G220)</f>
        <v/>
      </c>
      <c r="J220" s="185"/>
      <c r="K220" s="36"/>
      <c r="L220" s="36"/>
      <c r="M220" s="36"/>
    </row>
    <row r="221" spans="1:13">
      <c r="A221" s="2">
        <f t="shared" si="7"/>
        <v>1</v>
      </c>
      <c r="B221" s="505"/>
      <c r="C221" s="503"/>
      <c r="D221" s="491"/>
      <c r="E221" s="502"/>
      <c r="F221" s="219">
        <f t="shared" si="6"/>
        <v>0</v>
      </c>
      <c r="G221" s="219" t="str">
        <f>IF(IFERROR(IF(Str_TypeDonneesCpt7=Cpt_Index,Tab_Compteur_7[[#This Row],[Index]]-E220,Tab_Compteur_7[[#This Row],[Quantité]])/Tab_Compteur_7[[#This Row],[Delta Jour]],"")&lt;0,"",IFERROR(IF(Str_TypeDonneesCpt7=Cpt_Index,Tab_Compteur_7[[#This Row],[Index]]-E220,Tab_Compteur_7[[#This Row],[Quantité]])/Tab_Compteur_7[[#This Row],[Delta Jour]],""))</f>
        <v/>
      </c>
      <c r="H221" s="219" t="str">
        <f>IFERROR(Tab_Compteur_7[[#This Row],[Montant]]/Tab_Compteur_7[[#This Row],[Delta Jour]],"")</f>
        <v/>
      </c>
      <c r="I221" s="184" t="str">
        <f>IF(SUM(Tab_Compteur_7[[#This Row],[Quantité]],Tab_Compteur_7[[#This Row],[Index]])&lt;=0,"",G221)</f>
        <v/>
      </c>
      <c r="J221" s="185"/>
      <c r="K221" s="36"/>
      <c r="L221" s="36"/>
      <c r="M221" s="36"/>
    </row>
    <row r="222" spans="1:13">
      <c r="A222" s="2">
        <f t="shared" si="7"/>
        <v>1</v>
      </c>
      <c r="B222" s="505"/>
      <c r="C222" s="503"/>
      <c r="D222" s="491"/>
      <c r="E222" s="502"/>
      <c r="F222" s="219">
        <f t="shared" si="6"/>
        <v>0</v>
      </c>
      <c r="G222" s="219" t="str">
        <f>IF(IFERROR(IF(Str_TypeDonneesCpt7=Cpt_Index,Tab_Compteur_7[[#This Row],[Index]]-E221,Tab_Compteur_7[[#This Row],[Quantité]])/Tab_Compteur_7[[#This Row],[Delta Jour]],"")&lt;0,"",IFERROR(IF(Str_TypeDonneesCpt7=Cpt_Index,Tab_Compteur_7[[#This Row],[Index]]-E221,Tab_Compteur_7[[#This Row],[Quantité]])/Tab_Compteur_7[[#This Row],[Delta Jour]],""))</f>
        <v/>
      </c>
      <c r="H222" s="219" t="str">
        <f>IFERROR(Tab_Compteur_7[[#This Row],[Montant]]/Tab_Compteur_7[[#This Row],[Delta Jour]],"")</f>
        <v/>
      </c>
      <c r="I222" s="184" t="str">
        <f>IF(SUM(Tab_Compteur_7[[#This Row],[Quantité]],Tab_Compteur_7[[#This Row],[Index]])&lt;=0,"",G222)</f>
        <v/>
      </c>
      <c r="J222" s="185"/>
      <c r="K222" s="36"/>
      <c r="L222" s="36"/>
      <c r="M222" s="36"/>
    </row>
    <row r="223" spans="1:13">
      <c r="A223" s="2">
        <f t="shared" si="7"/>
        <v>1</v>
      </c>
      <c r="B223" s="505"/>
      <c r="C223" s="503"/>
      <c r="D223" s="491"/>
      <c r="E223" s="502"/>
      <c r="F223" s="219">
        <f t="shared" si="6"/>
        <v>0</v>
      </c>
      <c r="G223" s="219" t="str">
        <f>IF(IFERROR(IF(Str_TypeDonneesCpt7=Cpt_Index,Tab_Compteur_7[[#This Row],[Index]]-E222,Tab_Compteur_7[[#This Row],[Quantité]])/Tab_Compteur_7[[#This Row],[Delta Jour]],"")&lt;0,"",IFERROR(IF(Str_TypeDonneesCpt7=Cpt_Index,Tab_Compteur_7[[#This Row],[Index]]-E222,Tab_Compteur_7[[#This Row],[Quantité]])/Tab_Compteur_7[[#This Row],[Delta Jour]],""))</f>
        <v/>
      </c>
      <c r="H223" s="219" t="str">
        <f>IFERROR(Tab_Compteur_7[[#This Row],[Montant]]/Tab_Compteur_7[[#This Row],[Delta Jour]],"")</f>
        <v/>
      </c>
      <c r="I223" s="184" t="str">
        <f>IF(SUM(Tab_Compteur_7[[#This Row],[Quantité]],Tab_Compteur_7[[#This Row],[Index]])&lt;=0,"",G223)</f>
        <v/>
      </c>
      <c r="J223" s="185"/>
      <c r="K223" s="36"/>
      <c r="L223" s="36"/>
      <c r="M223" s="36"/>
    </row>
    <row r="224" spans="1:13">
      <c r="A224" s="2">
        <f t="shared" si="7"/>
        <v>1</v>
      </c>
      <c r="B224" s="505"/>
      <c r="C224" s="503"/>
      <c r="D224" s="491"/>
      <c r="E224" s="502"/>
      <c r="F224" s="219">
        <f t="shared" si="6"/>
        <v>0</v>
      </c>
      <c r="G224" s="219" t="str">
        <f>IF(IFERROR(IF(Str_TypeDonneesCpt7=Cpt_Index,Tab_Compteur_7[[#This Row],[Index]]-E223,Tab_Compteur_7[[#This Row],[Quantité]])/Tab_Compteur_7[[#This Row],[Delta Jour]],"")&lt;0,"",IFERROR(IF(Str_TypeDonneesCpt7=Cpt_Index,Tab_Compteur_7[[#This Row],[Index]]-E223,Tab_Compteur_7[[#This Row],[Quantité]])/Tab_Compteur_7[[#This Row],[Delta Jour]],""))</f>
        <v/>
      </c>
      <c r="H224" s="219" t="str">
        <f>IFERROR(Tab_Compteur_7[[#This Row],[Montant]]/Tab_Compteur_7[[#This Row],[Delta Jour]],"")</f>
        <v/>
      </c>
      <c r="I224" s="184" t="str">
        <f>IF(SUM(Tab_Compteur_7[[#This Row],[Quantité]],Tab_Compteur_7[[#This Row],[Index]])&lt;=0,"",G224)</f>
        <v/>
      </c>
      <c r="J224" s="185"/>
      <c r="K224" s="36"/>
      <c r="L224" s="36"/>
      <c r="M224" s="36"/>
    </row>
    <row r="225" spans="1:13">
      <c r="A225" s="2">
        <f t="shared" si="7"/>
        <v>1</v>
      </c>
      <c r="B225" s="505"/>
      <c r="C225" s="503"/>
      <c r="D225" s="491"/>
      <c r="E225" s="502"/>
      <c r="F225" s="219">
        <f t="shared" si="6"/>
        <v>0</v>
      </c>
      <c r="G225" s="219" t="str">
        <f>IF(IFERROR(IF(Str_TypeDonneesCpt7=Cpt_Index,Tab_Compteur_7[[#This Row],[Index]]-E224,Tab_Compteur_7[[#This Row],[Quantité]])/Tab_Compteur_7[[#This Row],[Delta Jour]],"")&lt;0,"",IFERROR(IF(Str_TypeDonneesCpt7=Cpt_Index,Tab_Compteur_7[[#This Row],[Index]]-E224,Tab_Compteur_7[[#This Row],[Quantité]])/Tab_Compteur_7[[#This Row],[Delta Jour]],""))</f>
        <v/>
      </c>
      <c r="H225" s="219" t="str">
        <f>IFERROR(Tab_Compteur_7[[#This Row],[Montant]]/Tab_Compteur_7[[#This Row],[Delta Jour]],"")</f>
        <v/>
      </c>
      <c r="I225" s="184" t="str">
        <f>IF(SUM(Tab_Compteur_7[[#This Row],[Quantité]],Tab_Compteur_7[[#This Row],[Index]])&lt;=0,"",G225)</f>
        <v/>
      </c>
      <c r="J225" s="185"/>
      <c r="K225" s="36"/>
      <c r="L225" s="36"/>
      <c r="M225" s="36"/>
    </row>
    <row r="226" spans="1:13">
      <c r="A226" s="2">
        <f t="shared" si="7"/>
        <v>1</v>
      </c>
      <c r="B226" s="505"/>
      <c r="C226" s="503"/>
      <c r="D226" s="491"/>
      <c r="E226" s="502"/>
      <c r="F226" s="219">
        <f t="shared" si="6"/>
        <v>0</v>
      </c>
      <c r="G226" s="219" t="str">
        <f>IF(IFERROR(IF(Str_TypeDonneesCpt7=Cpt_Index,Tab_Compteur_7[[#This Row],[Index]]-E225,Tab_Compteur_7[[#This Row],[Quantité]])/Tab_Compteur_7[[#This Row],[Delta Jour]],"")&lt;0,"",IFERROR(IF(Str_TypeDonneesCpt7=Cpt_Index,Tab_Compteur_7[[#This Row],[Index]]-E225,Tab_Compteur_7[[#This Row],[Quantité]])/Tab_Compteur_7[[#This Row],[Delta Jour]],""))</f>
        <v/>
      </c>
      <c r="H226" s="219" t="str">
        <f>IFERROR(Tab_Compteur_7[[#This Row],[Montant]]/Tab_Compteur_7[[#This Row],[Delta Jour]],"")</f>
        <v/>
      </c>
      <c r="I226" s="184" t="str">
        <f>IF(SUM(Tab_Compteur_7[[#This Row],[Quantité]],Tab_Compteur_7[[#This Row],[Index]])&lt;=0,"",G226)</f>
        <v/>
      </c>
      <c r="J226" s="185"/>
      <c r="K226" s="36"/>
      <c r="L226" s="36"/>
      <c r="M226" s="36"/>
    </row>
    <row r="227" spans="1:13">
      <c r="A227" s="2">
        <f t="shared" si="7"/>
        <v>1</v>
      </c>
      <c r="B227" s="505"/>
      <c r="C227" s="503"/>
      <c r="D227" s="491"/>
      <c r="E227" s="502"/>
      <c r="F227" s="219">
        <f t="shared" si="6"/>
        <v>0</v>
      </c>
      <c r="G227" s="219" t="str">
        <f>IF(IFERROR(IF(Str_TypeDonneesCpt7=Cpt_Index,Tab_Compteur_7[[#This Row],[Index]]-E226,Tab_Compteur_7[[#This Row],[Quantité]])/Tab_Compteur_7[[#This Row],[Delta Jour]],"")&lt;0,"",IFERROR(IF(Str_TypeDonneesCpt7=Cpt_Index,Tab_Compteur_7[[#This Row],[Index]]-E226,Tab_Compteur_7[[#This Row],[Quantité]])/Tab_Compteur_7[[#This Row],[Delta Jour]],""))</f>
        <v/>
      </c>
      <c r="H227" s="219" t="str">
        <f>IFERROR(Tab_Compteur_7[[#This Row],[Montant]]/Tab_Compteur_7[[#This Row],[Delta Jour]],"")</f>
        <v/>
      </c>
      <c r="I227" s="184" t="str">
        <f>IF(SUM(Tab_Compteur_7[[#This Row],[Quantité]],Tab_Compteur_7[[#This Row],[Index]])&lt;=0,"",G227)</f>
        <v/>
      </c>
      <c r="J227" s="185"/>
      <c r="K227" s="36"/>
      <c r="L227" s="36"/>
      <c r="M227" s="36"/>
    </row>
    <row r="228" spans="1:13">
      <c r="A228" s="2">
        <f t="shared" si="7"/>
        <v>1</v>
      </c>
      <c r="B228" s="505"/>
      <c r="C228" s="503"/>
      <c r="D228" s="491"/>
      <c r="E228" s="502"/>
      <c r="F228" s="219">
        <f t="shared" si="6"/>
        <v>0</v>
      </c>
      <c r="G228" s="219" t="str">
        <f>IF(IFERROR(IF(Str_TypeDonneesCpt7=Cpt_Index,Tab_Compteur_7[[#This Row],[Index]]-E227,Tab_Compteur_7[[#This Row],[Quantité]])/Tab_Compteur_7[[#This Row],[Delta Jour]],"")&lt;0,"",IFERROR(IF(Str_TypeDonneesCpt7=Cpt_Index,Tab_Compteur_7[[#This Row],[Index]]-E227,Tab_Compteur_7[[#This Row],[Quantité]])/Tab_Compteur_7[[#This Row],[Delta Jour]],""))</f>
        <v/>
      </c>
      <c r="H228" s="219" t="str">
        <f>IFERROR(Tab_Compteur_7[[#This Row],[Montant]]/Tab_Compteur_7[[#This Row],[Delta Jour]],"")</f>
        <v/>
      </c>
      <c r="I228" s="184" t="str">
        <f>IF(SUM(Tab_Compteur_7[[#This Row],[Quantité]],Tab_Compteur_7[[#This Row],[Index]])&lt;=0,"",G228)</f>
        <v/>
      </c>
      <c r="J228" s="185"/>
      <c r="K228" s="36"/>
      <c r="L228" s="36"/>
      <c r="M228" s="36"/>
    </row>
    <row r="229" spans="1:13">
      <c r="A229" s="2">
        <f t="shared" si="7"/>
        <v>1</v>
      </c>
      <c r="B229" s="505"/>
      <c r="C229" s="503"/>
      <c r="D229" s="491"/>
      <c r="E229" s="502"/>
      <c r="F229" s="219">
        <f t="shared" si="6"/>
        <v>0</v>
      </c>
      <c r="G229" s="219" t="str">
        <f>IF(IFERROR(IF(Str_TypeDonneesCpt7=Cpt_Index,Tab_Compteur_7[[#This Row],[Index]]-E228,Tab_Compteur_7[[#This Row],[Quantité]])/Tab_Compteur_7[[#This Row],[Delta Jour]],"")&lt;0,"",IFERROR(IF(Str_TypeDonneesCpt7=Cpt_Index,Tab_Compteur_7[[#This Row],[Index]]-E228,Tab_Compteur_7[[#This Row],[Quantité]])/Tab_Compteur_7[[#This Row],[Delta Jour]],""))</f>
        <v/>
      </c>
      <c r="H229" s="219" t="str">
        <f>IFERROR(Tab_Compteur_7[[#This Row],[Montant]]/Tab_Compteur_7[[#This Row],[Delta Jour]],"")</f>
        <v/>
      </c>
      <c r="I229" s="184" t="str">
        <f>IF(SUM(Tab_Compteur_7[[#This Row],[Quantité]],Tab_Compteur_7[[#This Row],[Index]])&lt;=0,"",G229)</f>
        <v/>
      </c>
      <c r="J229" s="185"/>
      <c r="K229" s="36"/>
      <c r="L229" s="36"/>
      <c r="M229" s="36"/>
    </row>
    <row r="230" spans="1:13">
      <c r="A230" s="2">
        <f t="shared" si="7"/>
        <v>1</v>
      </c>
      <c r="B230" s="505"/>
      <c r="C230" s="503"/>
      <c r="D230" s="491"/>
      <c r="E230" s="502"/>
      <c r="F230" s="219">
        <f t="shared" si="6"/>
        <v>0</v>
      </c>
      <c r="G230" s="219" t="str">
        <f>IF(IFERROR(IF(Str_TypeDonneesCpt7=Cpt_Index,Tab_Compteur_7[[#This Row],[Index]]-E229,Tab_Compteur_7[[#This Row],[Quantité]])/Tab_Compteur_7[[#This Row],[Delta Jour]],"")&lt;0,"",IFERROR(IF(Str_TypeDonneesCpt7=Cpt_Index,Tab_Compteur_7[[#This Row],[Index]]-E229,Tab_Compteur_7[[#This Row],[Quantité]])/Tab_Compteur_7[[#This Row],[Delta Jour]],""))</f>
        <v/>
      </c>
      <c r="H230" s="219" t="str">
        <f>IFERROR(Tab_Compteur_7[[#This Row],[Montant]]/Tab_Compteur_7[[#This Row],[Delta Jour]],"")</f>
        <v/>
      </c>
      <c r="I230" s="184" t="str">
        <f>IF(SUM(Tab_Compteur_7[[#This Row],[Quantité]],Tab_Compteur_7[[#This Row],[Index]])&lt;=0,"",G230)</f>
        <v/>
      </c>
      <c r="J230" s="185"/>
      <c r="K230" s="36"/>
      <c r="L230" s="36"/>
      <c r="M230" s="36"/>
    </row>
    <row r="231" spans="1:13">
      <c r="A231" s="2">
        <f t="shared" si="7"/>
        <v>1</v>
      </c>
      <c r="B231" s="505"/>
      <c r="C231" s="503"/>
      <c r="D231" s="491"/>
      <c r="E231" s="502"/>
      <c r="F231" s="219">
        <f t="shared" si="6"/>
        <v>0</v>
      </c>
      <c r="G231" s="219" t="str">
        <f>IF(IFERROR(IF(Str_TypeDonneesCpt7=Cpt_Index,Tab_Compteur_7[[#This Row],[Index]]-E230,Tab_Compteur_7[[#This Row],[Quantité]])/Tab_Compteur_7[[#This Row],[Delta Jour]],"")&lt;0,"",IFERROR(IF(Str_TypeDonneesCpt7=Cpt_Index,Tab_Compteur_7[[#This Row],[Index]]-E230,Tab_Compteur_7[[#This Row],[Quantité]])/Tab_Compteur_7[[#This Row],[Delta Jour]],""))</f>
        <v/>
      </c>
      <c r="H231" s="219" t="str">
        <f>IFERROR(Tab_Compteur_7[[#This Row],[Montant]]/Tab_Compteur_7[[#This Row],[Delta Jour]],"")</f>
        <v/>
      </c>
      <c r="I231" s="184" t="str">
        <f>IF(SUM(Tab_Compteur_7[[#This Row],[Quantité]],Tab_Compteur_7[[#This Row],[Index]])&lt;=0,"",G231)</f>
        <v/>
      </c>
      <c r="J231" s="185"/>
      <c r="K231" s="36"/>
      <c r="L231" s="36"/>
      <c r="M231" s="36"/>
    </row>
    <row r="232" spans="1:13">
      <c r="A232" s="2">
        <f t="shared" si="7"/>
        <v>1</v>
      </c>
      <c r="B232" s="505"/>
      <c r="C232" s="503"/>
      <c r="D232" s="491"/>
      <c r="E232" s="502"/>
      <c r="F232" s="219">
        <f t="shared" si="6"/>
        <v>0</v>
      </c>
      <c r="G232" s="219" t="str">
        <f>IF(IFERROR(IF(Str_TypeDonneesCpt7=Cpt_Index,Tab_Compteur_7[[#This Row],[Index]]-E231,Tab_Compteur_7[[#This Row],[Quantité]])/Tab_Compteur_7[[#This Row],[Delta Jour]],"")&lt;0,"",IFERROR(IF(Str_TypeDonneesCpt7=Cpt_Index,Tab_Compteur_7[[#This Row],[Index]]-E231,Tab_Compteur_7[[#This Row],[Quantité]])/Tab_Compteur_7[[#This Row],[Delta Jour]],""))</f>
        <v/>
      </c>
      <c r="H232" s="219" t="str">
        <f>IFERROR(Tab_Compteur_7[[#This Row],[Montant]]/Tab_Compteur_7[[#This Row],[Delta Jour]],"")</f>
        <v/>
      </c>
      <c r="I232" s="184" t="str">
        <f>IF(SUM(Tab_Compteur_7[[#This Row],[Quantité]],Tab_Compteur_7[[#This Row],[Index]])&lt;=0,"",G232)</f>
        <v/>
      </c>
      <c r="J232" s="185"/>
      <c r="K232" s="36"/>
      <c r="L232" s="36"/>
      <c r="M232" s="36"/>
    </row>
    <row r="233" spans="1:13">
      <c r="A233" s="2">
        <f t="shared" si="7"/>
        <v>1</v>
      </c>
      <c r="B233" s="505"/>
      <c r="C233" s="503"/>
      <c r="D233" s="491"/>
      <c r="E233" s="502"/>
      <c r="F233" s="219">
        <f t="shared" si="6"/>
        <v>0</v>
      </c>
      <c r="G233" s="219" t="str">
        <f>IF(IFERROR(IF(Str_TypeDonneesCpt7=Cpt_Index,Tab_Compteur_7[[#This Row],[Index]]-E232,Tab_Compteur_7[[#This Row],[Quantité]])/Tab_Compteur_7[[#This Row],[Delta Jour]],"")&lt;0,"",IFERROR(IF(Str_TypeDonneesCpt7=Cpt_Index,Tab_Compteur_7[[#This Row],[Index]]-E232,Tab_Compteur_7[[#This Row],[Quantité]])/Tab_Compteur_7[[#This Row],[Delta Jour]],""))</f>
        <v/>
      </c>
      <c r="H233" s="219" t="str">
        <f>IFERROR(Tab_Compteur_7[[#This Row],[Montant]]/Tab_Compteur_7[[#This Row],[Delta Jour]],"")</f>
        <v/>
      </c>
      <c r="I233" s="184" t="str">
        <f>IF(SUM(Tab_Compteur_7[[#This Row],[Quantité]],Tab_Compteur_7[[#This Row],[Index]])&lt;=0,"",G233)</f>
        <v/>
      </c>
      <c r="J233" s="185"/>
      <c r="K233" s="36"/>
      <c r="L233" s="36"/>
      <c r="M233" s="36"/>
    </row>
    <row r="234" spans="1:13">
      <c r="A234" s="2">
        <f t="shared" si="7"/>
        <v>1</v>
      </c>
      <c r="B234" s="505"/>
      <c r="C234" s="503"/>
      <c r="D234" s="491"/>
      <c r="E234" s="502"/>
      <c r="F234" s="219">
        <f t="shared" si="6"/>
        <v>0</v>
      </c>
      <c r="G234" s="219" t="str">
        <f>IF(IFERROR(IF(Str_TypeDonneesCpt7=Cpt_Index,Tab_Compteur_7[[#This Row],[Index]]-E233,Tab_Compteur_7[[#This Row],[Quantité]])/Tab_Compteur_7[[#This Row],[Delta Jour]],"")&lt;0,"",IFERROR(IF(Str_TypeDonneesCpt7=Cpt_Index,Tab_Compteur_7[[#This Row],[Index]]-E233,Tab_Compteur_7[[#This Row],[Quantité]])/Tab_Compteur_7[[#This Row],[Delta Jour]],""))</f>
        <v/>
      </c>
      <c r="H234" s="219" t="str">
        <f>IFERROR(Tab_Compteur_7[[#This Row],[Montant]]/Tab_Compteur_7[[#This Row],[Delta Jour]],"")</f>
        <v/>
      </c>
      <c r="I234" s="184" t="str">
        <f>IF(SUM(Tab_Compteur_7[[#This Row],[Quantité]],Tab_Compteur_7[[#This Row],[Index]])&lt;=0,"",G234)</f>
        <v/>
      </c>
      <c r="J234" s="185"/>
      <c r="K234" s="36"/>
      <c r="L234" s="36"/>
      <c r="M234" s="36"/>
    </row>
    <row r="235" spans="1:13">
      <c r="A235" s="2">
        <f t="shared" si="7"/>
        <v>1</v>
      </c>
      <c r="B235" s="505"/>
      <c r="C235" s="503"/>
      <c r="D235" s="491"/>
      <c r="E235" s="502"/>
      <c r="F235" s="219">
        <f t="shared" si="6"/>
        <v>0</v>
      </c>
      <c r="G235" s="219" t="str">
        <f>IF(IFERROR(IF(Str_TypeDonneesCpt7=Cpt_Index,Tab_Compteur_7[[#This Row],[Index]]-E234,Tab_Compteur_7[[#This Row],[Quantité]])/Tab_Compteur_7[[#This Row],[Delta Jour]],"")&lt;0,"",IFERROR(IF(Str_TypeDonneesCpt7=Cpt_Index,Tab_Compteur_7[[#This Row],[Index]]-E234,Tab_Compteur_7[[#This Row],[Quantité]])/Tab_Compteur_7[[#This Row],[Delta Jour]],""))</f>
        <v/>
      </c>
      <c r="H235" s="219" t="str">
        <f>IFERROR(Tab_Compteur_7[[#This Row],[Montant]]/Tab_Compteur_7[[#This Row],[Delta Jour]],"")</f>
        <v/>
      </c>
      <c r="I235" s="184" t="str">
        <f>IF(SUM(Tab_Compteur_7[[#This Row],[Quantité]],Tab_Compteur_7[[#This Row],[Index]])&lt;=0,"",G235)</f>
        <v/>
      </c>
      <c r="J235" s="185"/>
      <c r="K235" s="36"/>
      <c r="L235" s="36"/>
      <c r="M235" s="36"/>
    </row>
    <row r="236" spans="1:13">
      <c r="A236" s="2">
        <f t="shared" si="7"/>
        <v>1</v>
      </c>
      <c r="B236" s="505"/>
      <c r="C236" s="503"/>
      <c r="D236" s="491"/>
      <c r="E236" s="502"/>
      <c r="F236" s="219">
        <f t="shared" si="6"/>
        <v>0</v>
      </c>
      <c r="G236" s="219" t="str">
        <f>IF(IFERROR(IF(Str_TypeDonneesCpt7=Cpt_Index,Tab_Compteur_7[[#This Row],[Index]]-E235,Tab_Compteur_7[[#This Row],[Quantité]])/Tab_Compteur_7[[#This Row],[Delta Jour]],"")&lt;0,"",IFERROR(IF(Str_TypeDonneesCpt7=Cpt_Index,Tab_Compteur_7[[#This Row],[Index]]-E235,Tab_Compteur_7[[#This Row],[Quantité]])/Tab_Compteur_7[[#This Row],[Delta Jour]],""))</f>
        <v/>
      </c>
      <c r="H236" s="219" t="str">
        <f>IFERROR(Tab_Compteur_7[[#This Row],[Montant]]/Tab_Compteur_7[[#This Row],[Delta Jour]],"")</f>
        <v/>
      </c>
      <c r="I236" s="184" t="str">
        <f>IF(SUM(Tab_Compteur_7[[#This Row],[Quantité]],Tab_Compteur_7[[#This Row],[Index]])&lt;=0,"",G236)</f>
        <v/>
      </c>
      <c r="J236" s="185"/>
      <c r="K236" s="36"/>
      <c r="L236" s="36"/>
      <c r="M236" s="36"/>
    </row>
    <row r="237" spans="1:13">
      <c r="A237" s="2">
        <f t="shared" si="7"/>
        <v>1</v>
      </c>
      <c r="B237" s="505"/>
      <c r="C237" s="503"/>
      <c r="D237" s="491"/>
      <c r="E237" s="502"/>
      <c r="F237" s="219">
        <f t="shared" si="6"/>
        <v>0</v>
      </c>
      <c r="G237" s="219" t="str">
        <f>IF(IFERROR(IF(Str_TypeDonneesCpt7=Cpt_Index,Tab_Compteur_7[[#This Row],[Index]]-E236,Tab_Compteur_7[[#This Row],[Quantité]])/Tab_Compteur_7[[#This Row],[Delta Jour]],"")&lt;0,"",IFERROR(IF(Str_TypeDonneesCpt7=Cpt_Index,Tab_Compteur_7[[#This Row],[Index]]-E236,Tab_Compteur_7[[#This Row],[Quantité]])/Tab_Compteur_7[[#This Row],[Delta Jour]],""))</f>
        <v/>
      </c>
      <c r="H237" s="219" t="str">
        <f>IFERROR(Tab_Compteur_7[[#This Row],[Montant]]/Tab_Compteur_7[[#This Row],[Delta Jour]],"")</f>
        <v/>
      </c>
      <c r="I237" s="184" t="str">
        <f>IF(SUM(Tab_Compteur_7[[#This Row],[Quantité]],Tab_Compteur_7[[#This Row],[Index]])&lt;=0,"",G237)</f>
        <v/>
      </c>
      <c r="J237" s="185"/>
      <c r="K237" s="36"/>
      <c r="L237" s="36"/>
      <c r="M237" s="36"/>
    </row>
    <row r="238" spans="1:13">
      <c r="A238" s="2">
        <f t="shared" si="7"/>
        <v>1</v>
      </c>
      <c r="B238" s="505"/>
      <c r="C238" s="503"/>
      <c r="D238" s="491"/>
      <c r="E238" s="502"/>
      <c r="F238" s="219">
        <f t="shared" si="6"/>
        <v>0</v>
      </c>
      <c r="G238" s="219" t="str">
        <f>IF(IFERROR(IF(Str_TypeDonneesCpt7=Cpt_Index,Tab_Compteur_7[[#This Row],[Index]]-E237,Tab_Compteur_7[[#This Row],[Quantité]])/Tab_Compteur_7[[#This Row],[Delta Jour]],"")&lt;0,"",IFERROR(IF(Str_TypeDonneesCpt7=Cpt_Index,Tab_Compteur_7[[#This Row],[Index]]-E237,Tab_Compteur_7[[#This Row],[Quantité]])/Tab_Compteur_7[[#This Row],[Delta Jour]],""))</f>
        <v/>
      </c>
      <c r="H238" s="219" t="str">
        <f>IFERROR(Tab_Compteur_7[[#This Row],[Montant]]/Tab_Compteur_7[[#This Row],[Delta Jour]],"")</f>
        <v/>
      </c>
      <c r="I238" s="184" t="str">
        <f>IF(SUM(Tab_Compteur_7[[#This Row],[Quantité]],Tab_Compteur_7[[#This Row],[Index]])&lt;=0,"",G238)</f>
        <v/>
      </c>
      <c r="J238" s="185"/>
      <c r="K238" s="36"/>
      <c r="L238" s="36"/>
      <c r="M238" s="36"/>
    </row>
    <row r="239" spans="1:13">
      <c r="A239" s="2">
        <f t="shared" si="7"/>
        <v>1</v>
      </c>
      <c r="B239" s="505"/>
      <c r="C239" s="503"/>
      <c r="D239" s="491"/>
      <c r="E239" s="502"/>
      <c r="F239" s="219">
        <f t="shared" si="6"/>
        <v>0</v>
      </c>
      <c r="G239" s="219" t="str">
        <f>IF(IFERROR(IF(Str_TypeDonneesCpt7=Cpt_Index,Tab_Compteur_7[[#This Row],[Index]]-E238,Tab_Compteur_7[[#This Row],[Quantité]])/Tab_Compteur_7[[#This Row],[Delta Jour]],"")&lt;0,"",IFERROR(IF(Str_TypeDonneesCpt7=Cpt_Index,Tab_Compteur_7[[#This Row],[Index]]-E238,Tab_Compteur_7[[#This Row],[Quantité]])/Tab_Compteur_7[[#This Row],[Delta Jour]],""))</f>
        <v/>
      </c>
      <c r="H239" s="219" t="str">
        <f>IFERROR(Tab_Compteur_7[[#This Row],[Montant]]/Tab_Compteur_7[[#This Row],[Delta Jour]],"")</f>
        <v/>
      </c>
      <c r="I239" s="184" t="str">
        <f>IF(SUM(Tab_Compteur_7[[#This Row],[Quantité]],Tab_Compteur_7[[#This Row],[Index]])&lt;=0,"",G239)</f>
        <v/>
      </c>
      <c r="J239" s="185"/>
      <c r="K239" s="36"/>
      <c r="L239" s="36"/>
      <c r="M239" s="36"/>
    </row>
    <row r="240" spans="1:13">
      <c r="A240" s="2">
        <f t="shared" si="7"/>
        <v>1</v>
      </c>
      <c r="B240" s="505"/>
      <c r="C240" s="503"/>
      <c r="D240" s="491"/>
      <c r="E240" s="502"/>
      <c r="F240" s="219">
        <f t="shared" si="6"/>
        <v>0</v>
      </c>
      <c r="G240" s="219" t="str">
        <f>IF(IFERROR(IF(Str_TypeDonneesCpt7=Cpt_Index,Tab_Compteur_7[[#This Row],[Index]]-E239,Tab_Compteur_7[[#This Row],[Quantité]])/Tab_Compteur_7[[#This Row],[Delta Jour]],"")&lt;0,"",IFERROR(IF(Str_TypeDonneesCpt7=Cpt_Index,Tab_Compteur_7[[#This Row],[Index]]-E239,Tab_Compteur_7[[#This Row],[Quantité]])/Tab_Compteur_7[[#This Row],[Delta Jour]],""))</f>
        <v/>
      </c>
      <c r="H240" s="219" t="str">
        <f>IFERROR(Tab_Compteur_7[[#This Row],[Montant]]/Tab_Compteur_7[[#This Row],[Delta Jour]],"")</f>
        <v/>
      </c>
      <c r="I240" s="184" t="str">
        <f>IF(SUM(Tab_Compteur_7[[#This Row],[Quantité]],Tab_Compteur_7[[#This Row],[Index]])&lt;=0,"",G240)</f>
        <v/>
      </c>
      <c r="J240" s="185"/>
      <c r="K240" s="36"/>
      <c r="L240" s="36"/>
      <c r="M240" s="36"/>
    </row>
    <row r="241" spans="1:13">
      <c r="A241" s="2">
        <f t="shared" si="7"/>
        <v>1</v>
      </c>
      <c r="B241" s="505"/>
      <c r="C241" s="503"/>
      <c r="D241" s="491"/>
      <c r="E241" s="502"/>
      <c r="F241" s="219">
        <f t="shared" si="6"/>
        <v>0</v>
      </c>
      <c r="G241" s="219" t="str">
        <f>IF(IFERROR(IF(Str_TypeDonneesCpt7=Cpt_Index,Tab_Compteur_7[[#This Row],[Index]]-E240,Tab_Compteur_7[[#This Row],[Quantité]])/Tab_Compteur_7[[#This Row],[Delta Jour]],"")&lt;0,"",IFERROR(IF(Str_TypeDonneesCpt7=Cpt_Index,Tab_Compteur_7[[#This Row],[Index]]-E240,Tab_Compteur_7[[#This Row],[Quantité]])/Tab_Compteur_7[[#This Row],[Delta Jour]],""))</f>
        <v/>
      </c>
      <c r="H241" s="219" t="str">
        <f>IFERROR(Tab_Compteur_7[[#This Row],[Montant]]/Tab_Compteur_7[[#This Row],[Delta Jour]],"")</f>
        <v/>
      </c>
      <c r="I241" s="184" t="str">
        <f>IF(SUM(Tab_Compteur_7[[#This Row],[Quantité]],Tab_Compteur_7[[#This Row],[Index]])&lt;=0,"",G241)</f>
        <v/>
      </c>
      <c r="J241" s="185"/>
      <c r="K241" s="36"/>
      <c r="L241" s="36"/>
      <c r="M241" s="36"/>
    </row>
    <row r="242" spans="1:13">
      <c r="A242" s="2">
        <f t="shared" si="7"/>
        <v>1</v>
      </c>
      <c r="B242" s="505"/>
      <c r="C242" s="503"/>
      <c r="D242" s="491"/>
      <c r="E242" s="502"/>
      <c r="F242" s="219">
        <f t="shared" si="6"/>
        <v>0</v>
      </c>
      <c r="G242" s="219" t="str">
        <f>IF(IFERROR(IF(Str_TypeDonneesCpt7=Cpt_Index,Tab_Compteur_7[[#This Row],[Index]]-E241,Tab_Compteur_7[[#This Row],[Quantité]])/Tab_Compteur_7[[#This Row],[Delta Jour]],"")&lt;0,"",IFERROR(IF(Str_TypeDonneesCpt7=Cpt_Index,Tab_Compteur_7[[#This Row],[Index]]-E241,Tab_Compteur_7[[#This Row],[Quantité]])/Tab_Compteur_7[[#This Row],[Delta Jour]],""))</f>
        <v/>
      </c>
      <c r="H242" s="219" t="str">
        <f>IFERROR(Tab_Compteur_7[[#This Row],[Montant]]/Tab_Compteur_7[[#This Row],[Delta Jour]],"")</f>
        <v/>
      </c>
      <c r="I242" s="184" t="str">
        <f>IF(SUM(Tab_Compteur_7[[#This Row],[Quantité]],Tab_Compteur_7[[#This Row],[Index]])&lt;=0,"",G242)</f>
        <v/>
      </c>
      <c r="J242" s="185"/>
      <c r="K242" s="36"/>
      <c r="L242" s="36"/>
      <c r="M242" s="36"/>
    </row>
    <row r="243" spans="1:13">
      <c r="A243" s="2">
        <f t="shared" si="7"/>
        <v>1</v>
      </c>
      <c r="B243" s="505"/>
      <c r="C243" s="503"/>
      <c r="D243" s="491"/>
      <c r="E243" s="502"/>
      <c r="F243" s="219">
        <f t="shared" si="6"/>
        <v>0</v>
      </c>
      <c r="G243" s="219" t="str">
        <f>IF(IFERROR(IF(Str_TypeDonneesCpt7=Cpt_Index,Tab_Compteur_7[[#This Row],[Index]]-E242,Tab_Compteur_7[[#This Row],[Quantité]])/Tab_Compteur_7[[#This Row],[Delta Jour]],"")&lt;0,"",IFERROR(IF(Str_TypeDonneesCpt7=Cpt_Index,Tab_Compteur_7[[#This Row],[Index]]-E242,Tab_Compteur_7[[#This Row],[Quantité]])/Tab_Compteur_7[[#This Row],[Delta Jour]],""))</f>
        <v/>
      </c>
      <c r="H243" s="219" t="str">
        <f>IFERROR(Tab_Compteur_7[[#This Row],[Montant]]/Tab_Compteur_7[[#This Row],[Delta Jour]],"")</f>
        <v/>
      </c>
      <c r="I243" s="184" t="str">
        <f>IF(SUM(Tab_Compteur_7[[#This Row],[Quantité]],Tab_Compteur_7[[#This Row],[Index]])&lt;=0,"",G243)</f>
        <v/>
      </c>
      <c r="J243" s="185"/>
      <c r="K243" s="36"/>
      <c r="L243" s="36"/>
      <c r="M243" s="36"/>
    </row>
  </sheetData>
  <sheetProtection sheet="1" objects="1" scenarios="1" selectLockedCells="1"/>
  <protectedRanges>
    <protectedRange sqref="C4:D59" name="Donnée_compteur1"/>
    <protectedRange sqref="L2:M2 J34:M243 J8:M10 K5:M7 J2:J7 K3:M3 C60:D243 K244:N1048576 A4:B243" name="Données_compteur7"/>
    <protectedRange sqref="E2" name="Compteur_1_1"/>
    <protectedRange sqref="I2" name="Compteur_1_1_1"/>
    <protectedRange sqref="K4:L4" name="Compteur_1"/>
    <protectedRange sqref="L1 E1 I1" name="Compteur_1_2"/>
  </protectedRanges>
  <mergeCells count="2">
    <mergeCell ref="L2:M2"/>
    <mergeCell ref="K11:M33"/>
  </mergeCells>
  <conditionalFormatting sqref="B4:B243">
    <cfRule type="expression" dxfId="43" priority="1">
      <formula>$B4&lt;$A4</formula>
    </cfRule>
  </conditionalFormatting>
  <pageMargins left="0.7" right="0.7" top="0.75" bottom="0.75" header="0.3" footer="0.3"/>
  <pageSetup paperSize="9" orientation="portrait" r:id="rId1"/>
  <drawing r:id="rId2"/>
  <legacyDrawing r:id="rId3"/>
  <tableParts count="1">
    <tablePart r:id="rId4"/>
  </tablePart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31"/>
  <dimension ref="A1:O243"/>
  <sheetViews>
    <sheetView workbookViewId="0">
      <pane ySplit="3" topLeftCell="A4" activePane="bottomLeft" state="frozen"/>
      <selection pane="bottomLeft" activeCell="B4" sqref="B4"/>
    </sheetView>
  </sheetViews>
  <sheetFormatPr baseColWidth="10" defaultColWidth="0" defaultRowHeight="14.5" zeroHeight="1"/>
  <cols>
    <col min="1" max="1" width="17.6328125" style="219" customWidth="1"/>
    <col min="2" max="2" width="16.6328125" style="177" customWidth="1"/>
    <col min="3" max="3" width="13.81640625" customWidth="1"/>
    <col min="4" max="4" width="15.36328125" style="492" customWidth="1"/>
    <col min="5" max="5" width="11.36328125" style="177" customWidth="1"/>
    <col min="6" max="6" width="11.6328125" hidden="1" customWidth="1"/>
    <col min="7" max="8" width="11.36328125" hidden="1" customWidth="1"/>
    <col min="9" max="9" width="10.81640625" customWidth="1"/>
    <col min="10" max="10" width="13.7265625" style="184" customWidth="1"/>
    <col min="11" max="11" width="21.7265625" style="177" customWidth="1"/>
    <col min="12" max="13" width="11.36328125" customWidth="1"/>
    <col min="14" max="14" width="21.7265625" customWidth="1"/>
    <col min="15" max="15" width="0" hidden="1" customWidth="1"/>
    <col min="16" max="16384" width="11.36328125" hidden="1"/>
  </cols>
  <sheetData>
    <row r="1" spans="1:13" ht="33.75" customHeight="1">
      <c r="A1" s="453" t="s">
        <v>393</v>
      </c>
      <c r="B1" s="199" t="s">
        <v>394</v>
      </c>
      <c r="C1" s="122" t="s">
        <v>395</v>
      </c>
      <c r="D1" s="510" t="str">
        <f>CONCATENATE("Montant ",Controle_des_données!$A$40)</f>
        <v>Montant 0</v>
      </c>
      <c r="E1" s="225" t="s">
        <v>214</v>
      </c>
      <c r="F1" s="27" t="s">
        <v>396</v>
      </c>
      <c r="G1" s="28" t="s">
        <v>397</v>
      </c>
      <c r="H1" s="28" t="s">
        <v>398</v>
      </c>
      <c r="I1" s="28" t="s">
        <v>399</v>
      </c>
      <c r="J1" s="172" t="s">
        <v>400</v>
      </c>
      <c r="K1" s="164" t="s">
        <v>19</v>
      </c>
      <c r="L1" s="170" t="str">
        <f>IF(Site!C45="", "Compteur 8",Site!C45)</f>
        <v>Compteur 8</v>
      </c>
    </row>
    <row r="2" spans="1:13" ht="18.75" hidden="1" customHeight="1">
      <c r="A2" s="449" t="s">
        <v>393</v>
      </c>
      <c r="B2" s="82" t="s">
        <v>394</v>
      </c>
      <c r="C2" s="56" t="s">
        <v>395</v>
      </c>
      <c r="D2" s="489" t="s">
        <v>428</v>
      </c>
      <c r="E2" s="225" t="s">
        <v>214</v>
      </c>
      <c r="F2" s="27" t="s">
        <v>396</v>
      </c>
      <c r="G2" s="41" t="s">
        <v>397</v>
      </c>
      <c r="H2" s="42" t="s">
        <v>398</v>
      </c>
      <c r="I2" s="184" t="s">
        <v>399</v>
      </c>
      <c r="J2" s="175" t="s">
        <v>400</v>
      </c>
      <c r="K2" s="164" t="s">
        <v>19</v>
      </c>
      <c r="L2" s="824">
        <f>Site!C45</f>
        <v>0</v>
      </c>
      <c r="M2" s="825"/>
    </row>
    <row r="3" spans="1:13" hidden="1">
      <c r="A3" s="421"/>
      <c r="B3" s="203">
        <f>A4-1</f>
        <v>-1</v>
      </c>
      <c r="C3" s="182">
        <v>0</v>
      </c>
      <c r="D3" s="492">
        <v>0</v>
      </c>
      <c r="F3">
        <f>IFERROR(B3-A3+1,"")</f>
        <v>0</v>
      </c>
      <c r="G3">
        <v>0</v>
      </c>
      <c r="H3">
        <v>0</v>
      </c>
      <c r="I3" s="184" t="str">
        <f>IF(SUM(Tab_Compteur_8[[#This Row],[Quantité]],Tab_Compteur_8[[#This Row],[Index]])&lt;=0,"",G3)</f>
        <v/>
      </c>
      <c r="J3" s="176"/>
      <c r="K3" s="36"/>
      <c r="L3" s="36"/>
      <c r="M3" s="36"/>
    </row>
    <row r="4" spans="1:13">
      <c r="A4" s="421">
        <f>Site!I45</f>
        <v>0</v>
      </c>
      <c r="B4" s="505"/>
      <c r="C4" s="503"/>
      <c r="D4" s="491"/>
      <c r="E4" s="502"/>
      <c r="F4" s="177">
        <f>IFERROR(B4-A4+1,"")</f>
        <v>1</v>
      </c>
      <c r="G4" s="181">
        <f>IF(IFERROR(IF(Str_TypeDonneesCpt8=Cpt_Index,Tab_Compteur_8[[#This Row],[Index]]-L4,Tab_Compteur_8[[#This Row],[Quantité]])/Tab_Compteur_8[[#This Row],[Delta Jour]],"")&lt;0,"",IFERROR(IF(Str_TypeDonneesCpt8=Cpt_Index,Tab_Compteur_8[[#This Row],[Index]]-L4,Tab_Compteur_8[[#This Row],[Quantité]])/Tab_Compteur_8[[#This Row],[Delta Jour]],""))</f>
        <v>0</v>
      </c>
      <c r="H4" s="177">
        <f>IFERROR(Tab_Compteur_8[[#This Row],[Montant]]/Tab_Compteur_8[[#This Row],[Delta Jour]],"")</f>
        <v>0</v>
      </c>
      <c r="I4" s="184" t="str">
        <f>IF(SUM(Tab_Compteur_8[[#This Row],[Quantité]],Tab_Compteur_8[[#This Row],[Index]])&lt;=0,"",G4)</f>
        <v/>
      </c>
      <c r="J4" s="185"/>
      <c r="K4" s="192" t="s">
        <v>401</v>
      </c>
      <c r="L4" s="444">
        <v>0</v>
      </c>
    </row>
    <row r="5" spans="1:13">
      <c r="A5" s="421">
        <f>IFERROR(B4+1,0)</f>
        <v>1</v>
      </c>
      <c r="B5" s="501"/>
      <c r="C5" s="503"/>
      <c r="D5" s="491"/>
      <c r="E5" s="502"/>
      <c r="F5" s="177">
        <f t="shared" ref="F5:F68" si="0">IFERROR(B5-A5+1,"")</f>
        <v>0</v>
      </c>
      <c r="G5" s="177" t="str">
        <f>IF(IFERROR(IF(Str_TypeDonneesCpt8=Cpt_Index,Tab_Compteur_8[[#This Row],[Index]]-E4,Tab_Compteur_8[[#This Row],[Quantité]])/Tab_Compteur_8[[#This Row],[Delta Jour]],"")&lt;0,"",IFERROR(IF(Str_TypeDonneesCpt8=Cpt_Index,Tab_Compteur_8[[#This Row],[Index]]-E4,Tab_Compteur_8[[#This Row],[Quantité]])/Tab_Compteur_8[[#This Row],[Delta Jour]],""))</f>
        <v/>
      </c>
      <c r="H5" s="177" t="str">
        <f>IFERROR(Tab_Compteur_8[[#This Row],[Montant]]/Tab_Compteur_8[[#This Row],[Delta Jour]],"")</f>
        <v/>
      </c>
      <c r="I5" s="184" t="str">
        <f>IF(SUM(Tab_Compteur_8[[#This Row],[Quantité]],Tab_Compteur_8[[#This Row],[Index]])&lt;=0,"",G5)</f>
        <v/>
      </c>
      <c r="J5" s="185"/>
      <c r="K5" s="36"/>
      <c r="L5" s="36"/>
      <c r="M5" s="36"/>
    </row>
    <row r="6" spans="1:13">
      <c r="A6" s="421">
        <f t="shared" ref="A6:A69" si="1">IFERROR(B5+1,0)</f>
        <v>1</v>
      </c>
      <c r="B6" s="501"/>
      <c r="C6" s="503"/>
      <c r="D6" s="491"/>
      <c r="E6" s="502"/>
      <c r="F6" s="177">
        <f t="shared" si="0"/>
        <v>0</v>
      </c>
      <c r="G6" s="177" t="str">
        <f>IF(IFERROR(IF(Str_TypeDonneesCpt8=Cpt_Index,Tab_Compteur_8[[#This Row],[Index]]-E5,Tab_Compteur_8[[#This Row],[Quantité]])/Tab_Compteur_8[[#This Row],[Delta Jour]],"")&lt;0,"",IFERROR(IF(Str_TypeDonneesCpt8=Cpt_Index,Tab_Compteur_8[[#This Row],[Index]]-E5,Tab_Compteur_8[[#This Row],[Quantité]])/Tab_Compteur_8[[#This Row],[Delta Jour]],""))</f>
        <v/>
      </c>
      <c r="H6" s="177" t="str">
        <f>IFERROR(Tab_Compteur_8[[#This Row],[Montant]]/Tab_Compteur_8[[#This Row],[Delta Jour]],"")</f>
        <v/>
      </c>
      <c r="I6" s="184" t="str">
        <f>IF(SUM(Tab_Compteur_8[[#This Row],[Quantité]],Tab_Compteur_8[[#This Row],[Index]])&lt;=0,"",G6)</f>
        <v/>
      </c>
      <c r="J6" s="185"/>
      <c r="K6" s="36"/>
      <c r="L6" s="36"/>
      <c r="M6" s="36"/>
    </row>
    <row r="7" spans="1:13">
      <c r="A7" s="421">
        <f t="shared" si="1"/>
        <v>1</v>
      </c>
      <c r="B7" s="501"/>
      <c r="C7" s="503"/>
      <c r="D7" s="491"/>
      <c r="E7" s="502"/>
      <c r="F7" s="177">
        <f t="shared" si="0"/>
        <v>0</v>
      </c>
      <c r="G7" s="177" t="str">
        <f>IF(IFERROR(IF(Str_TypeDonneesCpt8=Cpt_Index,Tab_Compteur_8[[#This Row],[Index]]-E6,Tab_Compteur_8[[#This Row],[Quantité]])/Tab_Compteur_8[[#This Row],[Delta Jour]],"")&lt;0,"",IFERROR(IF(Str_TypeDonneesCpt8=Cpt_Index,Tab_Compteur_8[[#This Row],[Index]]-E6,Tab_Compteur_8[[#This Row],[Quantité]])/Tab_Compteur_8[[#This Row],[Delta Jour]],""))</f>
        <v/>
      </c>
      <c r="H7" s="177" t="str">
        <f>IFERROR(Tab_Compteur_8[[#This Row],[Montant]]/Tab_Compteur_8[[#This Row],[Delta Jour]],"")</f>
        <v/>
      </c>
      <c r="I7" s="184" t="str">
        <f>IF(SUM(Tab_Compteur_8[[#This Row],[Quantité]],Tab_Compteur_8[[#This Row],[Index]])&lt;=0,"",G7)</f>
        <v/>
      </c>
      <c r="J7" s="185"/>
      <c r="K7" s="36"/>
      <c r="L7" s="36"/>
      <c r="M7" s="36"/>
    </row>
    <row r="8" spans="1:13">
      <c r="A8" s="421">
        <f t="shared" si="1"/>
        <v>1</v>
      </c>
      <c r="B8" s="501"/>
      <c r="C8" s="503"/>
      <c r="D8" s="491"/>
      <c r="E8" s="502"/>
      <c r="F8" s="177">
        <f t="shared" si="0"/>
        <v>0</v>
      </c>
      <c r="G8" s="177" t="str">
        <f>IF(IFERROR(IF(Str_TypeDonneesCpt8=Cpt_Index,Tab_Compteur_8[[#This Row],[Index]]-E7,Tab_Compteur_8[[#This Row],[Quantité]])/Tab_Compteur_8[[#This Row],[Delta Jour]],"")&lt;0,"",IFERROR(IF(Str_TypeDonneesCpt8=Cpt_Index,Tab_Compteur_8[[#This Row],[Index]]-E7,Tab_Compteur_8[[#This Row],[Quantité]])/Tab_Compteur_8[[#This Row],[Delta Jour]],""))</f>
        <v/>
      </c>
      <c r="H8" s="177" t="str">
        <f>IFERROR(Tab_Compteur_8[[#This Row],[Montant]]/Tab_Compteur_8[[#This Row],[Delta Jour]],"")</f>
        <v/>
      </c>
      <c r="I8" s="184" t="str">
        <f>IF(SUM(Tab_Compteur_8[[#This Row],[Quantité]],Tab_Compteur_8[[#This Row],[Index]])&lt;=0,"",G8)</f>
        <v/>
      </c>
      <c r="J8" s="185"/>
      <c r="K8" s="165"/>
      <c r="L8" s="165"/>
      <c r="M8" s="165"/>
    </row>
    <row r="9" spans="1:13">
      <c r="A9" s="421">
        <f t="shared" si="1"/>
        <v>1</v>
      </c>
      <c r="B9" s="501"/>
      <c r="C9" s="503"/>
      <c r="D9" s="491"/>
      <c r="E9" s="502"/>
      <c r="F9" s="177">
        <f t="shared" si="0"/>
        <v>0</v>
      </c>
      <c r="G9" s="177" t="str">
        <f>IF(IFERROR(IF(Str_TypeDonneesCpt8=Cpt_Index,Tab_Compteur_8[[#This Row],[Index]]-E8,Tab_Compteur_8[[#This Row],[Quantité]])/Tab_Compteur_8[[#This Row],[Delta Jour]],"")&lt;0,"",IFERROR(IF(Str_TypeDonneesCpt8=Cpt_Index,Tab_Compteur_8[[#This Row],[Index]]-E8,Tab_Compteur_8[[#This Row],[Quantité]])/Tab_Compteur_8[[#This Row],[Delta Jour]],""))</f>
        <v/>
      </c>
      <c r="H9" s="177" t="str">
        <f>IFERROR(Tab_Compteur_8[[#This Row],[Montant]]/Tab_Compteur_8[[#This Row],[Delta Jour]],"")</f>
        <v/>
      </c>
      <c r="I9" s="184" t="str">
        <f>IF(SUM(Tab_Compteur_8[[#This Row],[Quantité]],Tab_Compteur_8[[#This Row],[Index]])&lt;=0,"",G9)</f>
        <v/>
      </c>
      <c r="J9" s="185"/>
      <c r="K9" s="165"/>
      <c r="L9" s="165"/>
      <c r="M9" s="165"/>
    </row>
    <row r="10" spans="1:13">
      <c r="A10" s="421">
        <f t="shared" si="1"/>
        <v>1</v>
      </c>
      <c r="B10" s="501"/>
      <c r="C10" s="503"/>
      <c r="D10" s="491"/>
      <c r="E10" s="502"/>
      <c r="F10" s="177">
        <f t="shared" si="0"/>
        <v>0</v>
      </c>
      <c r="G10" s="177" t="str">
        <f>IF(IFERROR(IF(Str_TypeDonneesCpt8=Cpt_Index,Tab_Compteur_8[[#This Row],[Index]]-E9,Tab_Compteur_8[[#This Row],[Quantité]])/Tab_Compteur_8[[#This Row],[Delta Jour]],"")&lt;0,"",IFERROR(IF(Str_TypeDonneesCpt8=Cpt_Index,Tab_Compteur_8[[#This Row],[Index]]-E9,Tab_Compteur_8[[#This Row],[Quantité]])/Tab_Compteur_8[[#This Row],[Delta Jour]],""))</f>
        <v/>
      </c>
      <c r="H10" s="177" t="str">
        <f>IFERROR(Tab_Compteur_8[[#This Row],[Montant]]/Tab_Compteur_8[[#This Row],[Delta Jour]],"")</f>
        <v/>
      </c>
      <c r="I10" s="184" t="str">
        <f>IF(SUM(Tab_Compteur_8[[#This Row],[Quantité]],Tab_Compteur_8[[#This Row],[Index]])&lt;=0,"",G10)</f>
        <v/>
      </c>
      <c r="J10" s="185"/>
      <c r="K10" s="165"/>
      <c r="L10" s="165"/>
      <c r="M10" s="165"/>
    </row>
    <row r="11" spans="1:13">
      <c r="A11" s="421">
        <f t="shared" si="1"/>
        <v>1</v>
      </c>
      <c r="B11" s="501"/>
      <c r="C11" s="503"/>
      <c r="D11" s="491"/>
      <c r="E11" s="502"/>
      <c r="F11" s="177">
        <f t="shared" si="0"/>
        <v>0</v>
      </c>
      <c r="G11" s="177" t="str">
        <f>IF(IFERROR(IF(Str_TypeDonneesCpt8=Cpt_Index,Tab_Compteur_8[[#This Row],[Index]]-E10,Tab_Compteur_8[[#This Row],[Quantité]])/Tab_Compteur_8[[#This Row],[Delta Jour]],"")&lt;0,"",IFERROR(IF(Str_TypeDonneesCpt8=Cpt_Index,Tab_Compteur_8[[#This Row],[Index]]-E10,Tab_Compteur_8[[#This Row],[Quantité]])/Tab_Compteur_8[[#This Row],[Delta Jour]],""))</f>
        <v/>
      </c>
      <c r="H11" s="177" t="str">
        <f>IFERROR(Tab_Compteur_8[[#This Row],[Montant]]/Tab_Compteur_8[[#This Row],[Delta Jour]],"")</f>
        <v/>
      </c>
      <c r="I11" s="184" t="str">
        <f>IF(SUM(Tab_Compteur_8[[#This Row],[Quantité]],Tab_Compteur_8[[#This Row],[Index]])&lt;=0,"",G11)</f>
        <v/>
      </c>
      <c r="J11" s="185"/>
      <c r="K11" s="823" t="str">
        <f>Compteur_1!$K$34</f>
        <v>Pour le bon fonctionnement des calculs, il est nécessaire de respecter l'ordre chonologique des données 
Dans le cas des consommations, la quantité doit correspondre à l'unité indiquée dans "Site". Pour les données de production l'unité par défaut est le kWh et pour l'eau, le m3.  
Dans le cas d'un manque de donnée sur une période donnée, indiquez les dates de début et de fin de cette période en laissant les cellules de Quantité et Montant vide
En cas de multiples factures/livraisons pour un même mois, merci d'additionner les quantités et les montants et de mettre la dernière date. 
Une fois toutes vos données de comptage complétées, Cliquez sur le bouton "Actualiser tout" la barre d'outils "Données" ou avec  le raccourcis clavier Ctrl+alt+F5</v>
      </c>
      <c r="L11" s="823"/>
      <c r="M11" s="823"/>
    </row>
    <row r="12" spans="1:13">
      <c r="A12" s="421">
        <f t="shared" si="1"/>
        <v>1</v>
      </c>
      <c r="B12" s="501"/>
      <c r="C12" s="503"/>
      <c r="D12" s="491"/>
      <c r="E12" s="502"/>
      <c r="F12" s="177">
        <f t="shared" si="0"/>
        <v>0</v>
      </c>
      <c r="G12" s="177" t="str">
        <f>IF(IFERROR(IF(Str_TypeDonneesCpt8=Cpt_Index,Tab_Compteur_8[[#This Row],[Index]]-E11,Tab_Compteur_8[[#This Row],[Quantité]])/Tab_Compteur_8[[#This Row],[Delta Jour]],"")&lt;0,"",IFERROR(IF(Str_TypeDonneesCpt8=Cpt_Index,Tab_Compteur_8[[#This Row],[Index]]-E11,Tab_Compteur_8[[#This Row],[Quantité]])/Tab_Compteur_8[[#This Row],[Delta Jour]],""))</f>
        <v/>
      </c>
      <c r="H12" s="177" t="str">
        <f>IFERROR(Tab_Compteur_8[[#This Row],[Montant]]/Tab_Compteur_8[[#This Row],[Delta Jour]],"")</f>
        <v/>
      </c>
      <c r="I12" s="184" t="str">
        <f>IF(SUM(Tab_Compteur_8[[#This Row],[Quantité]],Tab_Compteur_8[[#This Row],[Index]])&lt;=0,"",G12)</f>
        <v/>
      </c>
      <c r="J12" s="185"/>
      <c r="K12" s="823"/>
      <c r="L12" s="823"/>
      <c r="M12" s="823"/>
    </row>
    <row r="13" spans="1:13">
      <c r="A13" s="421">
        <f t="shared" si="1"/>
        <v>1</v>
      </c>
      <c r="B13" s="501"/>
      <c r="C13" s="503"/>
      <c r="D13" s="491"/>
      <c r="E13" s="502"/>
      <c r="F13" s="177">
        <f t="shared" si="0"/>
        <v>0</v>
      </c>
      <c r="G13" s="177" t="str">
        <f>IF(IFERROR(IF(Str_TypeDonneesCpt8=Cpt_Index,Tab_Compteur_8[[#This Row],[Index]]-E12,Tab_Compteur_8[[#This Row],[Quantité]])/Tab_Compteur_8[[#This Row],[Delta Jour]],"")&lt;0,"",IFERROR(IF(Str_TypeDonneesCpt8=Cpt_Index,Tab_Compteur_8[[#This Row],[Index]]-E12,Tab_Compteur_8[[#This Row],[Quantité]])/Tab_Compteur_8[[#This Row],[Delta Jour]],""))</f>
        <v/>
      </c>
      <c r="H13" s="177" t="str">
        <f>IFERROR(Tab_Compteur_8[[#This Row],[Montant]]/Tab_Compteur_8[[#This Row],[Delta Jour]],"")</f>
        <v/>
      </c>
      <c r="I13" s="184" t="str">
        <f>IF(SUM(Tab_Compteur_8[[#This Row],[Quantité]],Tab_Compteur_8[[#This Row],[Index]])&lt;=0,"",G13)</f>
        <v/>
      </c>
      <c r="J13" s="185"/>
      <c r="K13" s="823"/>
      <c r="L13" s="823"/>
      <c r="M13" s="823"/>
    </row>
    <row r="14" spans="1:13">
      <c r="A14" s="421">
        <f t="shared" si="1"/>
        <v>1</v>
      </c>
      <c r="B14" s="501"/>
      <c r="C14" s="503"/>
      <c r="D14" s="491"/>
      <c r="E14" s="502"/>
      <c r="F14" s="177">
        <f t="shared" si="0"/>
        <v>0</v>
      </c>
      <c r="G14" s="177" t="str">
        <f>IF(IFERROR(IF(Str_TypeDonneesCpt8=Cpt_Index,Tab_Compteur_8[[#This Row],[Index]]-E13,Tab_Compteur_8[[#This Row],[Quantité]])/Tab_Compteur_8[[#This Row],[Delta Jour]],"")&lt;0,"",IFERROR(IF(Str_TypeDonneesCpt8=Cpt_Index,Tab_Compteur_8[[#This Row],[Index]]-E13,Tab_Compteur_8[[#This Row],[Quantité]])/Tab_Compteur_8[[#This Row],[Delta Jour]],""))</f>
        <v/>
      </c>
      <c r="H14" s="177" t="str">
        <f>IFERROR(Tab_Compteur_8[[#This Row],[Montant]]/Tab_Compteur_8[[#This Row],[Delta Jour]],"")</f>
        <v/>
      </c>
      <c r="I14" s="184" t="str">
        <f>IF(SUM(Tab_Compteur_8[[#This Row],[Quantité]],Tab_Compteur_8[[#This Row],[Index]])&lt;=0,"",G14)</f>
        <v/>
      </c>
      <c r="J14" s="185"/>
      <c r="K14" s="823"/>
      <c r="L14" s="823"/>
      <c r="M14" s="823"/>
    </row>
    <row r="15" spans="1:13">
      <c r="A15" s="421">
        <f t="shared" si="1"/>
        <v>1</v>
      </c>
      <c r="B15" s="501"/>
      <c r="C15" s="503"/>
      <c r="D15" s="491"/>
      <c r="E15" s="502"/>
      <c r="F15" s="177">
        <f t="shared" si="0"/>
        <v>0</v>
      </c>
      <c r="G15" s="177" t="str">
        <f>IF(IFERROR(IF(Str_TypeDonneesCpt8=Cpt_Index,Tab_Compteur_8[[#This Row],[Index]]-E14,Tab_Compteur_8[[#This Row],[Quantité]])/Tab_Compteur_8[[#This Row],[Delta Jour]],"")&lt;0,"",IFERROR(IF(Str_TypeDonneesCpt8=Cpt_Index,Tab_Compteur_8[[#This Row],[Index]]-E14,Tab_Compteur_8[[#This Row],[Quantité]])/Tab_Compteur_8[[#This Row],[Delta Jour]],""))</f>
        <v/>
      </c>
      <c r="H15" s="177" t="str">
        <f>IFERROR(Tab_Compteur_8[[#This Row],[Montant]]/Tab_Compteur_8[[#This Row],[Delta Jour]],"")</f>
        <v/>
      </c>
      <c r="I15" s="184" t="str">
        <f>IF(SUM(Tab_Compteur_8[[#This Row],[Quantité]],Tab_Compteur_8[[#This Row],[Index]])&lt;=0,"",G15)</f>
        <v/>
      </c>
      <c r="J15" s="185"/>
      <c r="K15" s="823"/>
      <c r="L15" s="823"/>
      <c r="M15" s="823"/>
    </row>
    <row r="16" spans="1:13">
      <c r="A16" s="421">
        <f t="shared" si="1"/>
        <v>1</v>
      </c>
      <c r="B16" s="501"/>
      <c r="C16" s="503"/>
      <c r="D16" s="491"/>
      <c r="E16" s="502"/>
      <c r="F16" s="177">
        <f t="shared" si="0"/>
        <v>0</v>
      </c>
      <c r="G16" s="177" t="str">
        <f>IF(IFERROR(IF(Str_TypeDonneesCpt8=Cpt_Index,Tab_Compteur_8[[#This Row],[Index]]-E15,Tab_Compteur_8[[#This Row],[Quantité]])/Tab_Compteur_8[[#This Row],[Delta Jour]],"")&lt;0,"",IFERROR(IF(Str_TypeDonneesCpt8=Cpt_Index,Tab_Compteur_8[[#This Row],[Index]]-E15,Tab_Compteur_8[[#This Row],[Quantité]])/Tab_Compteur_8[[#This Row],[Delta Jour]],""))</f>
        <v/>
      </c>
      <c r="H16" s="177" t="str">
        <f>IFERROR(Tab_Compteur_8[[#This Row],[Montant]]/Tab_Compteur_8[[#This Row],[Delta Jour]],"")</f>
        <v/>
      </c>
      <c r="I16" s="184" t="str">
        <f>IF(SUM(Tab_Compteur_8[[#This Row],[Quantité]],Tab_Compteur_8[[#This Row],[Index]])&lt;=0,"",G16)</f>
        <v/>
      </c>
      <c r="J16" s="185"/>
      <c r="K16" s="823"/>
      <c r="L16" s="823"/>
      <c r="M16" s="823"/>
    </row>
    <row r="17" spans="1:13">
      <c r="A17" s="421">
        <f t="shared" si="1"/>
        <v>1</v>
      </c>
      <c r="B17" s="501"/>
      <c r="C17" s="503"/>
      <c r="D17" s="491"/>
      <c r="E17" s="502"/>
      <c r="F17" s="177">
        <f t="shared" si="0"/>
        <v>0</v>
      </c>
      <c r="G17" s="177" t="str">
        <f>IF(IFERROR(IF(Str_TypeDonneesCpt8=Cpt_Index,Tab_Compteur_8[[#This Row],[Index]]-E16,Tab_Compteur_8[[#This Row],[Quantité]])/Tab_Compteur_8[[#This Row],[Delta Jour]],"")&lt;0,"",IFERROR(IF(Str_TypeDonneesCpt8=Cpt_Index,Tab_Compteur_8[[#This Row],[Index]]-E16,Tab_Compteur_8[[#This Row],[Quantité]])/Tab_Compteur_8[[#This Row],[Delta Jour]],""))</f>
        <v/>
      </c>
      <c r="H17" s="177" t="str">
        <f>IFERROR(Tab_Compteur_8[[#This Row],[Montant]]/Tab_Compteur_8[[#This Row],[Delta Jour]],"")</f>
        <v/>
      </c>
      <c r="I17" s="184" t="str">
        <f>IF(SUM(Tab_Compteur_8[[#This Row],[Quantité]],Tab_Compteur_8[[#This Row],[Index]])&lt;=0,"",G17)</f>
        <v/>
      </c>
      <c r="J17" s="185"/>
      <c r="K17" s="823"/>
      <c r="L17" s="823"/>
      <c r="M17" s="823"/>
    </row>
    <row r="18" spans="1:13">
      <c r="A18" s="421">
        <f t="shared" si="1"/>
        <v>1</v>
      </c>
      <c r="B18" s="501"/>
      <c r="C18" s="178"/>
      <c r="D18" s="491"/>
      <c r="E18" s="502"/>
      <c r="F18" s="177">
        <f t="shared" si="0"/>
        <v>0</v>
      </c>
      <c r="G18" s="177" t="str">
        <f>IF(IFERROR(IF(Str_TypeDonneesCpt8=Cpt_Index,Tab_Compteur_8[[#This Row],[Index]]-E17,Tab_Compteur_8[[#This Row],[Quantité]])/Tab_Compteur_8[[#This Row],[Delta Jour]],"")&lt;0,"",IFERROR(IF(Str_TypeDonneesCpt8=Cpt_Index,Tab_Compteur_8[[#This Row],[Index]]-E17,Tab_Compteur_8[[#This Row],[Quantité]])/Tab_Compteur_8[[#This Row],[Delta Jour]],""))</f>
        <v/>
      </c>
      <c r="H18" s="177" t="str">
        <f>IFERROR(Tab_Compteur_8[[#This Row],[Montant]]/Tab_Compteur_8[[#This Row],[Delta Jour]],"")</f>
        <v/>
      </c>
      <c r="I18" s="184" t="str">
        <f>IF(SUM(Tab_Compteur_8[[#This Row],[Quantité]],Tab_Compteur_8[[#This Row],[Index]])&lt;=0,"",G18)</f>
        <v/>
      </c>
      <c r="J18" s="185"/>
      <c r="K18" s="823"/>
      <c r="L18" s="823"/>
      <c r="M18" s="823"/>
    </row>
    <row r="19" spans="1:13">
      <c r="A19" s="421">
        <f t="shared" si="1"/>
        <v>1</v>
      </c>
      <c r="B19" s="501"/>
      <c r="C19" s="179"/>
      <c r="D19" s="495"/>
      <c r="E19" s="502"/>
      <c r="F19" s="177">
        <f t="shared" si="0"/>
        <v>0</v>
      </c>
      <c r="G19" s="177" t="str">
        <f>IF(IFERROR(IF(Str_TypeDonneesCpt8=Cpt_Index,Tab_Compteur_8[[#This Row],[Index]]-E18,Tab_Compteur_8[[#This Row],[Quantité]])/Tab_Compteur_8[[#This Row],[Delta Jour]],"")&lt;0,"",IFERROR(IF(Str_TypeDonneesCpt8=Cpt_Index,Tab_Compteur_8[[#This Row],[Index]]-E18,Tab_Compteur_8[[#This Row],[Quantité]])/Tab_Compteur_8[[#This Row],[Delta Jour]],""))</f>
        <v/>
      </c>
      <c r="H19" s="177" t="str">
        <f>IFERROR(Tab_Compteur_8[[#This Row],[Montant]]/Tab_Compteur_8[[#This Row],[Delta Jour]],"")</f>
        <v/>
      </c>
      <c r="I19" s="184" t="str">
        <f>IF(SUM(Tab_Compteur_8[[#This Row],[Quantité]],Tab_Compteur_8[[#This Row],[Index]])&lt;=0,"",G19)</f>
        <v/>
      </c>
      <c r="J19" s="185"/>
      <c r="K19" s="823"/>
      <c r="L19" s="823"/>
      <c r="M19" s="823"/>
    </row>
    <row r="20" spans="1:13">
      <c r="A20" s="421">
        <f t="shared" si="1"/>
        <v>1</v>
      </c>
      <c r="B20" s="501"/>
      <c r="C20" s="180"/>
      <c r="D20" s="495"/>
      <c r="E20" s="502"/>
      <c r="F20" s="177">
        <f t="shared" si="0"/>
        <v>0</v>
      </c>
      <c r="G20" s="177" t="str">
        <f>IF(IFERROR(IF(Str_TypeDonneesCpt8=Cpt_Index,Tab_Compteur_8[[#This Row],[Index]]-E19,Tab_Compteur_8[[#This Row],[Quantité]])/Tab_Compteur_8[[#This Row],[Delta Jour]],"")&lt;0,"",IFERROR(IF(Str_TypeDonneesCpt8=Cpt_Index,Tab_Compteur_8[[#This Row],[Index]]-E19,Tab_Compteur_8[[#This Row],[Quantité]])/Tab_Compteur_8[[#This Row],[Delta Jour]],""))</f>
        <v/>
      </c>
      <c r="H20" s="177" t="str">
        <f>IFERROR(Tab_Compteur_8[[#This Row],[Montant]]/Tab_Compteur_8[[#This Row],[Delta Jour]],"")</f>
        <v/>
      </c>
      <c r="I20" s="184" t="str">
        <f>IF(SUM(Tab_Compteur_8[[#This Row],[Quantité]],Tab_Compteur_8[[#This Row],[Index]])&lt;=0,"",G20)</f>
        <v/>
      </c>
      <c r="J20" s="185"/>
      <c r="K20" s="823"/>
      <c r="L20" s="823"/>
      <c r="M20" s="823"/>
    </row>
    <row r="21" spans="1:13">
      <c r="A21" s="421">
        <f t="shared" si="1"/>
        <v>1</v>
      </c>
      <c r="B21" s="501"/>
      <c r="C21" s="180"/>
      <c r="D21" s="495"/>
      <c r="E21" s="502"/>
      <c r="F21" s="177">
        <f t="shared" si="0"/>
        <v>0</v>
      </c>
      <c r="G21" s="177" t="str">
        <f>IF(IFERROR(IF(Str_TypeDonneesCpt8=Cpt_Index,Tab_Compteur_8[[#This Row],[Index]]-E20,Tab_Compteur_8[[#This Row],[Quantité]])/Tab_Compteur_8[[#This Row],[Delta Jour]],"")&lt;0,"",IFERROR(IF(Str_TypeDonneesCpt8=Cpt_Index,Tab_Compteur_8[[#This Row],[Index]]-E20,Tab_Compteur_8[[#This Row],[Quantité]])/Tab_Compteur_8[[#This Row],[Delta Jour]],""))</f>
        <v/>
      </c>
      <c r="H21" s="177" t="str">
        <f>IFERROR(Tab_Compteur_8[[#This Row],[Montant]]/Tab_Compteur_8[[#This Row],[Delta Jour]],"")</f>
        <v/>
      </c>
      <c r="I21" s="184" t="str">
        <f>IF(SUM(Tab_Compteur_8[[#This Row],[Quantité]],Tab_Compteur_8[[#This Row],[Index]])&lt;=0,"",G21)</f>
        <v/>
      </c>
      <c r="J21" s="185"/>
      <c r="K21" s="823"/>
      <c r="L21" s="823"/>
      <c r="M21" s="823"/>
    </row>
    <row r="22" spans="1:13">
      <c r="A22" s="421">
        <f t="shared" si="1"/>
        <v>1</v>
      </c>
      <c r="B22" s="501"/>
      <c r="C22" s="180"/>
      <c r="D22" s="495"/>
      <c r="E22" s="502"/>
      <c r="F22" s="177">
        <f t="shared" si="0"/>
        <v>0</v>
      </c>
      <c r="G22" s="177" t="str">
        <f>IF(IFERROR(IF(Str_TypeDonneesCpt8=Cpt_Index,Tab_Compteur_8[[#This Row],[Index]]-E21,Tab_Compteur_8[[#This Row],[Quantité]])/Tab_Compteur_8[[#This Row],[Delta Jour]],"")&lt;0,"",IFERROR(IF(Str_TypeDonneesCpt8=Cpt_Index,Tab_Compteur_8[[#This Row],[Index]]-E21,Tab_Compteur_8[[#This Row],[Quantité]])/Tab_Compteur_8[[#This Row],[Delta Jour]],""))</f>
        <v/>
      </c>
      <c r="H22" s="177" t="str">
        <f>IFERROR(Tab_Compteur_8[[#This Row],[Montant]]/Tab_Compteur_8[[#This Row],[Delta Jour]],"")</f>
        <v/>
      </c>
      <c r="I22" s="184" t="str">
        <f>IF(SUM(Tab_Compteur_8[[#This Row],[Quantité]],Tab_Compteur_8[[#This Row],[Index]])&lt;=0,"",G22)</f>
        <v/>
      </c>
      <c r="J22" s="185"/>
      <c r="K22" s="823"/>
      <c r="L22" s="823"/>
      <c r="M22" s="823"/>
    </row>
    <row r="23" spans="1:13">
      <c r="A23" s="421">
        <f t="shared" si="1"/>
        <v>1</v>
      </c>
      <c r="B23" s="501"/>
      <c r="C23" s="180"/>
      <c r="D23" s="495"/>
      <c r="E23" s="502"/>
      <c r="F23" s="177">
        <f t="shared" si="0"/>
        <v>0</v>
      </c>
      <c r="G23" s="177" t="str">
        <f>IF(IFERROR(IF(Str_TypeDonneesCpt8=Cpt_Index,Tab_Compteur_8[[#This Row],[Index]]-E22,Tab_Compteur_8[[#This Row],[Quantité]])/Tab_Compteur_8[[#This Row],[Delta Jour]],"")&lt;0,"",IFERROR(IF(Str_TypeDonneesCpt8=Cpt_Index,Tab_Compteur_8[[#This Row],[Index]]-E22,Tab_Compteur_8[[#This Row],[Quantité]])/Tab_Compteur_8[[#This Row],[Delta Jour]],""))</f>
        <v/>
      </c>
      <c r="H23" s="177" t="str">
        <f>IFERROR(Tab_Compteur_8[[#This Row],[Montant]]/Tab_Compteur_8[[#This Row],[Delta Jour]],"")</f>
        <v/>
      </c>
      <c r="I23" s="184" t="str">
        <f>IF(SUM(Tab_Compteur_8[[#This Row],[Quantité]],Tab_Compteur_8[[#This Row],[Index]])&lt;=0,"",G23)</f>
        <v/>
      </c>
      <c r="J23" s="185"/>
      <c r="K23" s="823"/>
      <c r="L23" s="823"/>
      <c r="M23" s="823"/>
    </row>
    <row r="24" spans="1:13">
      <c r="A24" s="421">
        <f t="shared" si="1"/>
        <v>1</v>
      </c>
      <c r="B24" s="501"/>
      <c r="C24" s="180"/>
      <c r="D24" s="495"/>
      <c r="E24" s="502"/>
      <c r="F24" s="177">
        <f t="shared" si="0"/>
        <v>0</v>
      </c>
      <c r="G24" s="177" t="str">
        <f>IF(IFERROR(IF(Str_TypeDonneesCpt8=Cpt_Index,Tab_Compteur_8[[#This Row],[Index]]-E23,Tab_Compteur_8[[#This Row],[Quantité]])/Tab_Compteur_8[[#This Row],[Delta Jour]],"")&lt;0,"",IFERROR(IF(Str_TypeDonneesCpt8=Cpt_Index,Tab_Compteur_8[[#This Row],[Index]]-E23,Tab_Compteur_8[[#This Row],[Quantité]])/Tab_Compteur_8[[#This Row],[Delta Jour]],""))</f>
        <v/>
      </c>
      <c r="H24" s="177" t="str">
        <f>IFERROR(Tab_Compteur_8[[#This Row],[Montant]]/Tab_Compteur_8[[#This Row],[Delta Jour]],"")</f>
        <v/>
      </c>
      <c r="I24" s="184" t="str">
        <f>IF(SUM(Tab_Compteur_8[[#This Row],[Quantité]],Tab_Compteur_8[[#This Row],[Index]])&lt;=0,"",G24)</f>
        <v/>
      </c>
      <c r="J24" s="185"/>
      <c r="K24" s="823"/>
      <c r="L24" s="823"/>
      <c r="M24" s="823"/>
    </row>
    <row r="25" spans="1:13">
      <c r="A25" s="421">
        <f t="shared" si="1"/>
        <v>1</v>
      </c>
      <c r="B25" s="501"/>
      <c r="C25" s="180"/>
      <c r="D25" s="495"/>
      <c r="E25" s="502"/>
      <c r="F25" s="177">
        <f t="shared" si="0"/>
        <v>0</v>
      </c>
      <c r="G25" s="177" t="str">
        <f>IF(IFERROR(IF(Str_TypeDonneesCpt8=Cpt_Index,Tab_Compteur_8[[#This Row],[Index]]-E24,Tab_Compteur_8[[#This Row],[Quantité]])/Tab_Compteur_8[[#This Row],[Delta Jour]],"")&lt;0,"",IFERROR(IF(Str_TypeDonneesCpt8=Cpt_Index,Tab_Compteur_8[[#This Row],[Index]]-E24,Tab_Compteur_8[[#This Row],[Quantité]])/Tab_Compteur_8[[#This Row],[Delta Jour]],""))</f>
        <v/>
      </c>
      <c r="H25" s="177" t="str">
        <f>IFERROR(Tab_Compteur_8[[#This Row],[Montant]]/Tab_Compteur_8[[#This Row],[Delta Jour]],"")</f>
        <v/>
      </c>
      <c r="I25" s="184" t="str">
        <f>IF(SUM(Tab_Compteur_8[[#This Row],[Quantité]],Tab_Compteur_8[[#This Row],[Index]])&lt;=0,"",G25)</f>
        <v/>
      </c>
      <c r="J25" s="185"/>
      <c r="K25" s="823"/>
      <c r="L25" s="823"/>
      <c r="M25" s="823"/>
    </row>
    <row r="26" spans="1:13">
      <c r="A26" s="421">
        <f t="shared" si="1"/>
        <v>1</v>
      </c>
      <c r="B26" s="501"/>
      <c r="C26" s="180"/>
      <c r="D26" s="495"/>
      <c r="E26" s="502"/>
      <c r="F26" s="177">
        <f t="shared" si="0"/>
        <v>0</v>
      </c>
      <c r="G26" s="177" t="str">
        <f>IF(IFERROR(IF(Str_TypeDonneesCpt8=Cpt_Index,Tab_Compteur_8[[#This Row],[Index]]-E25,Tab_Compteur_8[[#This Row],[Quantité]])/Tab_Compteur_8[[#This Row],[Delta Jour]],"")&lt;0,"",IFERROR(IF(Str_TypeDonneesCpt8=Cpt_Index,Tab_Compteur_8[[#This Row],[Index]]-E25,Tab_Compteur_8[[#This Row],[Quantité]])/Tab_Compteur_8[[#This Row],[Delta Jour]],""))</f>
        <v/>
      </c>
      <c r="H26" s="177" t="str">
        <f>IFERROR(Tab_Compteur_8[[#This Row],[Montant]]/Tab_Compteur_8[[#This Row],[Delta Jour]],"")</f>
        <v/>
      </c>
      <c r="I26" s="184" t="str">
        <f>IF(SUM(Tab_Compteur_8[[#This Row],[Quantité]],Tab_Compteur_8[[#This Row],[Index]])&lt;=0,"",G26)</f>
        <v/>
      </c>
      <c r="J26" s="185"/>
      <c r="K26" s="823"/>
      <c r="L26" s="823"/>
      <c r="M26" s="823"/>
    </row>
    <row r="27" spans="1:13">
      <c r="A27" s="421">
        <f t="shared" si="1"/>
        <v>1</v>
      </c>
      <c r="B27" s="501"/>
      <c r="C27" s="180"/>
      <c r="D27" s="495"/>
      <c r="E27" s="502"/>
      <c r="F27" s="177">
        <f t="shared" si="0"/>
        <v>0</v>
      </c>
      <c r="G27" s="177" t="str">
        <f>IF(IFERROR(IF(Str_TypeDonneesCpt8=Cpt_Index,Tab_Compteur_8[[#This Row],[Index]]-E26,Tab_Compteur_8[[#This Row],[Quantité]])/Tab_Compteur_8[[#This Row],[Delta Jour]],"")&lt;0,"",IFERROR(IF(Str_TypeDonneesCpt8=Cpt_Index,Tab_Compteur_8[[#This Row],[Index]]-E26,Tab_Compteur_8[[#This Row],[Quantité]])/Tab_Compteur_8[[#This Row],[Delta Jour]],""))</f>
        <v/>
      </c>
      <c r="H27" s="177" t="str">
        <f>IFERROR(Tab_Compteur_8[[#This Row],[Montant]]/Tab_Compteur_8[[#This Row],[Delta Jour]],"")</f>
        <v/>
      </c>
      <c r="I27" s="184" t="str">
        <f>IF(SUM(Tab_Compteur_8[[#This Row],[Quantité]],Tab_Compteur_8[[#This Row],[Index]])&lt;=0,"",G27)</f>
        <v/>
      </c>
      <c r="J27" s="226"/>
      <c r="K27" s="823"/>
      <c r="L27" s="823"/>
      <c r="M27" s="823"/>
    </row>
    <row r="28" spans="1:13">
      <c r="A28" s="421">
        <f t="shared" si="1"/>
        <v>1</v>
      </c>
      <c r="B28" s="501"/>
      <c r="C28" s="180"/>
      <c r="D28" s="495"/>
      <c r="E28" s="502"/>
      <c r="F28" s="177">
        <f t="shared" si="0"/>
        <v>0</v>
      </c>
      <c r="G28" s="177" t="str">
        <f>IF(IFERROR(IF(Str_TypeDonneesCpt8=Cpt_Index,Tab_Compteur_8[[#This Row],[Index]]-E27,Tab_Compteur_8[[#This Row],[Quantité]])/Tab_Compteur_8[[#This Row],[Delta Jour]],"")&lt;0,"",IFERROR(IF(Str_TypeDonneesCpt8=Cpt_Index,Tab_Compteur_8[[#This Row],[Index]]-E27,Tab_Compteur_8[[#This Row],[Quantité]])/Tab_Compteur_8[[#This Row],[Delta Jour]],""))</f>
        <v/>
      </c>
      <c r="H28" s="177" t="str">
        <f>IFERROR(Tab_Compteur_8[[#This Row],[Montant]]/Tab_Compteur_8[[#This Row],[Delta Jour]],"")</f>
        <v/>
      </c>
      <c r="I28" s="184" t="str">
        <f>IF(SUM(Tab_Compteur_8[[#This Row],[Quantité]],Tab_Compteur_8[[#This Row],[Index]])&lt;=0,"",G28)</f>
        <v/>
      </c>
      <c r="J28" s="185"/>
      <c r="K28" s="823"/>
      <c r="L28" s="823"/>
      <c r="M28" s="823"/>
    </row>
    <row r="29" spans="1:13">
      <c r="A29" s="421">
        <f t="shared" si="1"/>
        <v>1</v>
      </c>
      <c r="B29" s="501"/>
      <c r="C29" s="179"/>
      <c r="D29" s="495"/>
      <c r="E29" s="502"/>
      <c r="F29" s="177">
        <f t="shared" si="0"/>
        <v>0</v>
      </c>
      <c r="G29" s="177" t="str">
        <f>IF(IFERROR(IF(Str_TypeDonneesCpt8=Cpt_Index,Tab_Compteur_8[[#This Row],[Index]]-E28,Tab_Compteur_8[[#This Row],[Quantité]])/Tab_Compteur_8[[#This Row],[Delta Jour]],"")&lt;0,"",IFERROR(IF(Str_TypeDonneesCpt8=Cpt_Index,Tab_Compteur_8[[#This Row],[Index]]-E28,Tab_Compteur_8[[#This Row],[Quantité]])/Tab_Compteur_8[[#This Row],[Delta Jour]],""))</f>
        <v/>
      </c>
      <c r="H29" s="177" t="str">
        <f>IFERROR(Tab_Compteur_8[[#This Row],[Montant]]/Tab_Compteur_8[[#This Row],[Delta Jour]],"")</f>
        <v/>
      </c>
      <c r="I29" s="184" t="str">
        <f>IF(SUM(Tab_Compteur_8[[#This Row],[Quantité]],Tab_Compteur_8[[#This Row],[Index]])&lt;=0,"",G29)</f>
        <v/>
      </c>
      <c r="J29" s="185"/>
      <c r="K29" s="823"/>
      <c r="L29" s="823"/>
      <c r="M29" s="823"/>
    </row>
    <row r="30" spans="1:13">
      <c r="A30" s="421">
        <f t="shared" si="1"/>
        <v>1</v>
      </c>
      <c r="B30" s="501"/>
      <c r="C30" s="179"/>
      <c r="D30" s="495"/>
      <c r="E30" s="502"/>
      <c r="F30" s="177">
        <f t="shared" si="0"/>
        <v>0</v>
      </c>
      <c r="G30" s="177" t="str">
        <f>IF(IFERROR(IF(Str_TypeDonneesCpt8=Cpt_Index,Tab_Compteur_8[[#This Row],[Index]]-E29,Tab_Compteur_8[[#This Row],[Quantité]])/Tab_Compteur_8[[#This Row],[Delta Jour]],"")&lt;0,"",IFERROR(IF(Str_TypeDonneesCpt8=Cpt_Index,Tab_Compteur_8[[#This Row],[Index]]-E29,Tab_Compteur_8[[#This Row],[Quantité]])/Tab_Compteur_8[[#This Row],[Delta Jour]],""))</f>
        <v/>
      </c>
      <c r="H30" s="177" t="str">
        <f>IFERROR(Tab_Compteur_8[[#This Row],[Montant]]/Tab_Compteur_8[[#This Row],[Delta Jour]],"")</f>
        <v/>
      </c>
      <c r="I30" s="184" t="str">
        <f>IF(SUM(Tab_Compteur_8[[#This Row],[Quantité]],Tab_Compteur_8[[#This Row],[Index]])&lt;=0,"",G30)</f>
        <v/>
      </c>
      <c r="J30" s="185"/>
      <c r="K30" s="823"/>
      <c r="L30" s="823"/>
      <c r="M30" s="823"/>
    </row>
    <row r="31" spans="1:13">
      <c r="A31" s="421">
        <f t="shared" si="1"/>
        <v>1</v>
      </c>
      <c r="B31" s="501"/>
      <c r="C31" s="179"/>
      <c r="D31" s="495"/>
      <c r="E31" s="502"/>
      <c r="F31" s="177">
        <f t="shared" si="0"/>
        <v>0</v>
      </c>
      <c r="G31" s="177" t="str">
        <f>IF(IFERROR(IF(Str_TypeDonneesCpt8=Cpt_Index,Tab_Compteur_8[[#This Row],[Index]]-E30,Tab_Compteur_8[[#This Row],[Quantité]])/Tab_Compteur_8[[#This Row],[Delta Jour]],"")&lt;0,"",IFERROR(IF(Str_TypeDonneesCpt8=Cpt_Index,Tab_Compteur_8[[#This Row],[Index]]-E30,Tab_Compteur_8[[#This Row],[Quantité]])/Tab_Compteur_8[[#This Row],[Delta Jour]],""))</f>
        <v/>
      </c>
      <c r="H31" s="177" t="str">
        <f>IFERROR(Tab_Compteur_8[[#This Row],[Montant]]/Tab_Compteur_8[[#This Row],[Delta Jour]],"")</f>
        <v/>
      </c>
      <c r="I31" s="184" t="str">
        <f>IF(SUM(Tab_Compteur_8[[#This Row],[Quantité]],Tab_Compteur_8[[#This Row],[Index]])&lt;=0,"",G31)</f>
        <v/>
      </c>
      <c r="J31" s="185"/>
      <c r="K31" s="823"/>
      <c r="L31" s="823"/>
      <c r="M31" s="823"/>
    </row>
    <row r="32" spans="1:13">
      <c r="A32" s="421">
        <f t="shared" si="1"/>
        <v>1</v>
      </c>
      <c r="B32" s="501"/>
      <c r="C32" s="180"/>
      <c r="D32" s="495"/>
      <c r="E32" s="502"/>
      <c r="F32" s="177">
        <f t="shared" si="0"/>
        <v>0</v>
      </c>
      <c r="G32" s="177" t="str">
        <f>IF(IFERROR(IF(Str_TypeDonneesCpt8=Cpt_Index,Tab_Compteur_8[[#This Row],[Index]]-E31,Tab_Compteur_8[[#This Row],[Quantité]])/Tab_Compteur_8[[#This Row],[Delta Jour]],"")&lt;0,"",IFERROR(IF(Str_TypeDonneesCpt8=Cpt_Index,Tab_Compteur_8[[#This Row],[Index]]-E31,Tab_Compteur_8[[#This Row],[Quantité]])/Tab_Compteur_8[[#This Row],[Delta Jour]],""))</f>
        <v/>
      </c>
      <c r="H32" s="177" t="str">
        <f>IFERROR(Tab_Compteur_8[[#This Row],[Montant]]/Tab_Compteur_8[[#This Row],[Delta Jour]],"")</f>
        <v/>
      </c>
      <c r="I32" s="184" t="str">
        <f>IF(SUM(Tab_Compteur_8[[#This Row],[Quantité]],Tab_Compteur_8[[#This Row],[Index]])&lt;=0,"",G32)</f>
        <v/>
      </c>
      <c r="J32" s="185"/>
      <c r="K32" s="823"/>
      <c r="L32" s="823"/>
      <c r="M32" s="823"/>
    </row>
    <row r="33" spans="1:13">
      <c r="A33" s="421">
        <f t="shared" si="1"/>
        <v>1</v>
      </c>
      <c r="B33" s="501"/>
      <c r="C33" s="180"/>
      <c r="D33" s="495"/>
      <c r="E33" s="502"/>
      <c r="F33" s="177">
        <f t="shared" si="0"/>
        <v>0</v>
      </c>
      <c r="G33" s="177" t="str">
        <f>IF(IFERROR(IF(Str_TypeDonneesCpt8=Cpt_Index,Tab_Compteur_8[[#This Row],[Index]]-E32,Tab_Compteur_8[[#This Row],[Quantité]])/Tab_Compteur_8[[#This Row],[Delta Jour]],"")&lt;0,"",IFERROR(IF(Str_TypeDonneesCpt8=Cpt_Index,Tab_Compteur_8[[#This Row],[Index]]-E32,Tab_Compteur_8[[#This Row],[Quantité]])/Tab_Compteur_8[[#This Row],[Delta Jour]],""))</f>
        <v/>
      </c>
      <c r="H33" s="177" t="str">
        <f>IFERROR(Tab_Compteur_8[[#This Row],[Montant]]/Tab_Compteur_8[[#This Row],[Delta Jour]],"")</f>
        <v/>
      </c>
      <c r="I33" s="184" t="str">
        <f>IF(SUM(Tab_Compteur_8[[#This Row],[Quantité]],Tab_Compteur_8[[#This Row],[Index]])&lt;=0,"",G33)</f>
        <v/>
      </c>
      <c r="J33" s="185"/>
      <c r="K33" s="823"/>
      <c r="L33" s="823"/>
      <c r="M33" s="823"/>
    </row>
    <row r="34" spans="1:13">
      <c r="A34" s="421">
        <f t="shared" si="1"/>
        <v>1</v>
      </c>
      <c r="B34" s="501"/>
      <c r="C34" s="180"/>
      <c r="D34" s="495"/>
      <c r="E34" s="502"/>
      <c r="F34" s="177">
        <f t="shared" si="0"/>
        <v>0</v>
      </c>
      <c r="G34" s="177" t="str">
        <f>IF(IFERROR(IF(Str_TypeDonneesCpt8=Cpt_Index,Tab_Compteur_8[[#This Row],[Index]]-E33,Tab_Compteur_8[[#This Row],[Quantité]])/Tab_Compteur_8[[#This Row],[Delta Jour]],"")&lt;0,"",IFERROR(IF(Str_TypeDonneesCpt8=Cpt_Index,Tab_Compteur_8[[#This Row],[Index]]-E33,Tab_Compteur_8[[#This Row],[Quantité]])/Tab_Compteur_8[[#This Row],[Delta Jour]],""))</f>
        <v/>
      </c>
      <c r="H34" s="177" t="str">
        <f>IFERROR(Tab_Compteur_8[[#This Row],[Montant]]/Tab_Compteur_8[[#This Row],[Delta Jour]],"")</f>
        <v/>
      </c>
      <c r="I34" s="184" t="str">
        <f>IF(SUM(Tab_Compteur_8[[#This Row],[Quantité]],Tab_Compteur_8[[#This Row],[Index]])&lt;=0,"",G34)</f>
        <v/>
      </c>
      <c r="J34" s="185"/>
      <c r="K34" s="36"/>
      <c r="L34" s="36"/>
      <c r="M34" s="36"/>
    </row>
    <row r="35" spans="1:13">
      <c r="A35" s="421">
        <f t="shared" si="1"/>
        <v>1</v>
      </c>
      <c r="B35" s="501"/>
      <c r="C35" s="180"/>
      <c r="D35" s="495"/>
      <c r="E35" s="502"/>
      <c r="F35" s="177">
        <f t="shared" si="0"/>
        <v>0</v>
      </c>
      <c r="G35" s="177" t="str">
        <f>IF(IFERROR(IF(Str_TypeDonneesCpt8=Cpt_Index,Tab_Compteur_8[[#This Row],[Index]]-E34,Tab_Compteur_8[[#This Row],[Quantité]])/Tab_Compteur_8[[#This Row],[Delta Jour]],"")&lt;0,"",IFERROR(IF(Str_TypeDonneesCpt8=Cpt_Index,Tab_Compteur_8[[#This Row],[Index]]-E34,Tab_Compteur_8[[#This Row],[Quantité]])/Tab_Compteur_8[[#This Row],[Delta Jour]],""))</f>
        <v/>
      </c>
      <c r="H35" s="177" t="str">
        <f>IFERROR(Tab_Compteur_8[[#This Row],[Montant]]/Tab_Compteur_8[[#This Row],[Delta Jour]],"")</f>
        <v/>
      </c>
      <c r="I35" s="184" t="str">
        <f>IF(SUM(Tab_Compteur_8[[#This Row],[Quantité]],Tab_Compteur_8[[#This Row],[Index]])&lt;=0,"",G35)</f>
        <v/>
      </c>
      <c r="J35" s="185"/>
      <c r="K35" s="36"/>
      <c r="L35" s="36"/>
      <c r="M35" s="36"/>
    </row>
    <row r="36" spans="1:13">
      <c r="A36" s="421">
        <f t="shared" si="1"/>
        <v>1</v>
      </c>
      <c r="B36" s="501"/>
      <c r="C36" s="180"/>
      <c r="D36" s="495"/>
      <c r="E36" s="502"/>
      <c r="F36" s="177">
        <f t="shared" si="0"/>
        <v>0</v>
      </c>
      <c r="G36" s="177" t="str">
        <f>IF(IFERROR(IF(Str_TypeDonneesCpt8=Cpt_Index,Tab_Compteur_8[[#This Row],[Index]]-E35,Tab_Compteur_8[[#This Row],[Quantité]])/Tab_Compteur_8[[#This Row],[Delta Jour]],"")&lt;0,"",IFERROR(IF(Str_TypeDonneesCpt8=Cpt_Index,Tab_Compteur_8[[#This Row],[Index]]-E35,Tab_Compteur_8[[#This Row],[Quantité]])/Tab_Compteur_8[[#This Row],[Delta Jour]],""))</f>
        <v/>
      </c>
      <c r="H36" s="177" t="str">
        <f>IFERROR(Tab_Compteur_8[[#This Row],[Montant]]/Tab_Compteur_8[[#This Row],[Delta Jour]],"")</f>
        <v/>
      </c>
      <c r="I36" s="184" t="str">
        <f>IF(SUM(Tab_Compteur_8[[#This Row],[Quantité]],Tab_Compteur_8[[#This Row],[Index]])&lt;=0,"",G36)</f>
        <v/>
      </c>
      <c r="J36" s="185"/>
      <c r="K36" s="36"/>
      <c r="L36" s="36"/>
      <c r="M36" s="36"/>
    </row>
    <row r="37" spans="1:13">
      <c r="A37" s="421">
        <f t="shared" si="1"/>
        <v>1</v>
      </c>
      <c r="B37" s="501"/>
      <c r="C37" s="180"/>
      <c r="D37" s="495"/>
      <c r="E37" s="502"/>
      <c r="F37" s="177">
        <f t="shared" si="0"/>
        <v>0</v>
      </c>
      <c r="G37" s="177" t="str">
        <f>IF(IFERROR(IF(Str_TypeDonneesCpt8=Cpt_Index,Tab_Compteur_8[[#This Row],[Index]]-E36,Tab_Compteur_8[[#This Row],[Quantité]])/Tab_Compteur_8[[#This Row],[Delta Jour]],"")&lt;0,"",IFERROR(IF(Str_TypeDonneesCpt8=Cpt_Index,Tab_Compteur_8[[#This Row],[Index]]-E36,Tab_Compteur_8[[#This Row],[Quantité]])/Tab_Compteur_8[[#This Row],[Delta Jour]],""))</f>
        <v/>
      </c>
      <c r="H37" s="177" t="str">
        <f>IFERROR(Tab_Compteur_8[[#This Row],[Montant]]/Tab_Compteur_8[[#This Row],[Delta Jour]],"")</f>
        <v/>
      </c>
      <c r="I37" s="184" t="str">
        <f>IF(SUM(Tab_Compteur_8[[#This Row],[Quantité]],Tab_Compteur_8[[#This Row],[Index]])&lt;=0,"",G37)</f>
        <v/>
      </c>
      <c r="J37" s="185"/>
      <c r="K37" s="36"/>
      <c r="L37" s="36"/>
      <c r="M37" s="36"/>
    </row>
    <row r="38" spans="1:13">
      <c r="A38" s="421">
        <f t="shared" si="1"/>
        <v>1</v>
      </c>
      <c r="B38" s="501"/>
      <c r="C38" s="180"/>
      <c r="D38" s="495"/>
      <c r="E38" s="502"/>
      <c r="F38" s="177">
        <f t="shared" si="0"/>
        <v>0</v>
      </c>
      <c r="G38" s="177" t="str">
        <f>IF(IFERROR(IF(Str_TypeDonneesCpt8=Cpt_Index,Tab_Compteur_8[[#This Row],[Index]]-E37,Tab_Compteur_8[[#This Row],[Quantité]])/Tab_Compteur_8[[#This Row],[Delta Jour]],"")&lt;0,"",IFERROR(IF(Str_TypeDonneesCpt8=Cpt_Index,Tab_Compteur_8[[#This Row],[Index]]-E37,Tab_Compteur_8[[#This Row],[Quantité]])/Tab_Compteur_8[[#This Row],[Delta Jour]],""))</f>
        <v/>
      </c>
      <c r="H38" s="177" t="str">
        <f>IFERROR(Tab_Compteur_8[[#This Row],[Montant]]/Tab_Compteur_8[[#This Row],[Delta Jour]],"")</f>
        <v/>
      </c>
      <c r="I38" s="184" t="str">
        <f>IF(SUM(Tab_Compteur_8[[#This Row],[Quantité]],Tab_Compteur_8[[#This Row],[Index]])&lt;=0,"",G38)</f>
        <v/>
      </c>
      <c r="J38" s="185"/>
      <c r="K38" s="36"/>
      <c r="L38" s="36"/>
      <c r="M38" s="36"/>
    </row>
    <row r="39" spans="1:13">
      <c r="A39" s="421">
        <f t="shared" si="1"/>
        <v>1</v>
      </c>
      <c r="B39" s="501"/>
      <c r="C39" s="180"/>
      <c r="D39" s="512"/>
      <c r="E39" s="502"/>
      <c r="F39" s="177">
        <f t="shared" si="0"/>
        <v>0</v>
      </c>
      <c r="G39" s="177" t="str">
        <f>IF(IFERROR(IF(Str_TypeDonneesCpt8=Cpt_Index,Tab_Compteur_8[[#This Row],[Index]]-E38,Tab_Compteur_8[[#This Row],[Quantité]])/Tab_Compteur_8[[#This Row],[Delta Jour]],"")&lt;0,"",IFERROR(IF(Str_TypeDonneesCpt8=Cpt_Index,Tab_Compteur_8[[#This Row],[Index]]-E38,Tab_Compteur_8[[#This Row],[Quantité]])/Tab_Compteur_8[[#This Row],[Delta Jour]],""))</f>
        <v/>
      </c>
      <c r="H39" s="177" t="str">
        <f>IFERROR(Tab_Compteur_8[[#This Row],[Montant]]/Tab_Compteur_8[[#This Row],[Delta Jour]],"")</f>
        <v/>
      </c>
      <c r="I39" s="184" t="str">
        <f>IF(SUM(Tab_Compteur_8[[#This Row],[Quantité]],Tab_Compteur_8[[#This Row],[Index]])&lt;=0,"",G39)</f>
        <v/>
      </c>
      <c r="J39" s="185"/>
      <c r="K39" s="36"/>
      <c r="L39" s="36"/>
      <c r="M39" s="36"/>
    </row>
    <row r="40" spans="1:13">
      <c r="A40" s="421">
        <f t="shared" si="1"/>
        <v>1</v>
      </c>
      <c r="B40" s="501"/>
      <c r="C40" s="180"/>
      <c r="D40" s="512"/>
      <c r="E40" s="502"/>
      <c r="F40" s="177">
        <f t="shared" si="0"/>
        <v>0</v>
      </c>
      <c r="G40" s="177" t="str">
        <f>IF(IFERROR(IF(Str_TypeDonneesCpt8=Cpt_Index,Tab_Compteur_8[[#This Row],[Index]]-E39,Tab_Compteur_8[[#This Row],[Quantité]])/Tab_Compteur_8[[#This Row],[Delta Jour]],"")&lt;0,"",IFERROR(IF(Str_TypeDonneesCpt8=Cpt_Index,Tab_Compteur_8[[#This Row],[Index]]-E39,Tab_Compteur_8[[#This Row],[Quantité]])/Tab_Compteur_8[[#This Row],[Delta Jour]],""))</f>
        <v/>
      </c>
      <c r="H40" s="177" t="str">
        <f>IFERROR(Tab_Compteur_8[[#This Row],[Montant]]/Tab_Compteur_8[[#This Row],[Delta Jour]],"")</f>
        <v/>
      </c>
      <c r="I40" s="184" t="str">
        <f>IF(SUM(Tab_Compteur_8[[#This Row],[Quantité]],Tab_Compteur_8[[#This Row],[Index]])&lt;=0,"",G40)</f>
        <v/>
      </c>
      <c r="J40" s="185"/>
      <c r="K40" s="36"/>
      <c r="L40" s="36"/>
      <c r="M40" s="36"/>
    </row>
    <row r="41" spans="1:13">
      <c r="A41" s="421">
        <f t="shared" si="1"/>
        <v>1</v>
      </c>
      <c r="B41" s="501"/>
      <c r="C41" s="179"/>
      <c r="D41" s="512"/>
      <c r="E41" s="502"/>
      <c r="F41" s="177">
        <f t="shared" si="0"/>
        <v>0</v>
      </c>
      <c r="G41" s="177" t="str">
        <f>IF(IFERROR(IF(Str_TypeDonneesCpt8=Cpt_Index,Tab_Compteur_8[[#This Row],[Index]]-E40,Tab_Compteur_8[[#This Row],[Quantité]])/Tab_Compteur_8[[#This Row],[Delta Jour]],"")&lt;0,"",IFERROR(IF(Str_TypeDonneesCpt8=Cpt_Index,Tab_Compteur_8[[#This Row],[Index]]-E40,Tab_Compteur_8[[#This Row],[Quantité]])/Tab_Compteur_8[[#This Row],[Delta Jour]],""))</f>
        <v/>
      </c>
      <c r="H41" s="177" t="str">
        <f>IFERROR(Tab_Compteur_8[[#This Row],[Montant]]/Tab_Compteur_8[[#This Row],[Delta Jour]],"")</f>
        <v/>
      </c>
      <c r="I41" s="184" t="str">
        <f>IF(SUM(Tab_Compteur_8[[#This Row],[Quantité]],Tab_Compteur_8[[#This Row],[Index]])&lt;=0,"",G41)</f>
        <v/>
      </c>
      <c r="J41" s="185"/>
      <c r="K41" s="36"/>
      <c r="L41" s="36"/>
      <c r="M41" s="36"/>
    </row>
    <row r="42" spans="1:13">
      <c r="A42" s="421">
        <f t="shared" si="1"/>
        <v>1</v>
      </c>
      <c r="B42" s="501"/>
      <c r="C42" s="179"/>
      <c r="D42" s="512"/>
      <c r="E42" s="502"/>
      <c r="F42" s="177">
        <f t="shared" si="0"/>
        <v>0</v>
      </c>
      <c r="G42" s="177" t="str">
        <f>IF(IFERROR(IF(Str_TypeDonneesCpt8=Cpt_Index,Tab_Compteur_8[[#This Row],[Index]]-E41,Tab_Compteur_8[[#This Row],[Quantité]])/Tab_Compteur_8[[#This Row],[Delta Jour]],"")&lt;0,"",IFERROR(IF(Str_TypeDonneesCpt8=Cpt_Index,Tab_Compteur_8[[#This Row],[Index]]-E41,Tab_Compteur_8[[#This Row],[Quantité]])/Tab_Compteur_8[[#This Row],[Delta Jour]],""))</f>
        <v/>
      </c>
      <c r="H42" s="177" t="str">
        <f>IFERROR(Tab_Compteur_8[[#This Row],[Montant]]/Tab_Compteur_8[[#This Row],[Delta Jour]],"")</f>
        <v/>
      </c>
      <c r="I42" s="184" t="str">
        <f>IF(SUM(Tab_Compteur_8[[#This Row],[Quantité]],Tab_Compteur_8[[#This Row],[Index]])&lt;=0,"",G42)</f>
        <v/>
      </c>
      <c r="J42" s="185"/>
      <c r="K42" s="36"/>
      <c r="L42" s="36"/>
      <c r="M42" s="36"/>
    </row>
    <row r="43" spans="1:13">
      <c r="A43" s="421">
        <f t="shared" si="1"/>
        <v>1</v>
      </c>
      <c r="B43" s="501"/>
      <c r="C43" s="180"/>
      <c r="D43" s="512"/>
      <c r="E43" s="502"/>
      <c r="F43" s="177">
        <f t="shared" si="0"/>
        <v>0</v>
      </c>
      <c r="G43" s="177" t="str">
        <f>IF(IFERROR(IF(Str_TypeDonneesCpt8=Cpt_Index,Tab_Compteur_8[[#This Row],[Index]]-E42,Tab_Compteur_8[[#This Row],[Quantité]])/Tab_Compteur_8[[#This Row],[Delta Jour]],"")&lt;0,"",IFERROR(IF(Str_TypeDonneesCpt8=Cpt_Index,Tab_Compteur_8[[#This Row],[Index]]-E42,Tab_Compteur_8[[#This Row],[Quantité]])/Tab_Compteur_8[[#This Row],[Delta Jour]],""))</f>
        <v/>
      </c>
      <c r="H43" s="177" t="str">
        <f>IFERROR(Tab_Compteur_8[[#This Row],[Montant]]/Tab_Compteur_8[[#This Row],[Delta Jour]],"")</f>
        <v/>
      </c>
      <c r="I43" s="184" t="str">
        <f>IF(SUM(Tab_Compteur_8[[#This Row],[Quantité]],Tab_Compteur_8[[#This Row],[Index]])&lt;=0,"",G43)</f>
        <v/>
      </c>
      <c r="J43" s="185"/>
      <c r="K43" s="36"/>
      <c r="L43" s="36"/>
      <c r="M43" s="36"/>
    </row>
    <row r="44" spans="1:13">
      <c r="A44" s="421">
        <f t="shared" si="1"/>
        <v>1</v>
      </c>
      <c r="B44" s="501"/>
      <c r="C44" s="180"/>
      <c r="D44" s="512"/>
      <c r="E44" s="502"/>
      <c r="F44" s="177">
        <f t="shared" si="0"/>
        <v>0</v>
      </c>
      <c r="G44" s="177" t="str">
        <f>IF(IFERROR(IF(Str_TypeDonneesCpt8=Cpt_Index,Tab_Compteur_8[[#This Row],[Index]]-E43,Tab_Compteur_8[[#This Row],[Quantité]])/Tab_Compteur_8[[#This Row],[Delta Jour]],"")&lt;0,"",IFERROR(IF(Str_TypeDonneesCpt8=Cpt_Index,Tab_Compteur_8[[#This Row],[Index]]-E43,Tab_Compteur_8[[#This Row],[Quantité]])/Tab_Compteur_8[[#This Row],[Delta Jour]],""))</f>
        <v/>
      </c>
      <c r="H44" s="177" t="str">
        <f>IFERROR(Tab_Compteur_8[[#This Row],[Montant]]/Tab_Compteur_8[[#This Row],[Delta Jour]],"")</f>
        <v/>
      </c>
      <c r="I44" s="184" t="str">
        <f>IF(SUM(Tab_Compteur_8[[#This Row],[Quantité]],Tab_Compteur_8[[#This Row],[Index]])&lt;=0,"",G44)</f>
        <v/>
      </c>
      <c r="J44" s="185"/>
      <c r="K44" s="36"/>
      <c r="L44" s="36"/>
      <c r="M44" s="36"/>
    </row>
    <row r="45" spans="1:13">
      <c r="A45" s="421">
        <f t="shared" si="1"/>
        <v>1</v>
      </c>
      <c r="B45" s="501"/>
      <c r="C45" s="180"/>
      <c r="D45" s="512"/>
      <c r="E45" s="502"/>
      <c r="F45" s="177">
        <f t="shared" si="0"/>
        <v>0</v>
      </c>
      <c r="G45" s="177" t="str">
        <f>IF(IFERROR(IF(Str_TypeDonneesCpt8=Cpt_Index,Tab_Compteur_8[[#This Row],[Index]]-E44,Tab_Compteur_8[[#This Row],[Quantité]])/Tab_Compteur_8[[#This Row],[Delta Jour]],"")&lt;0,"",IFERROR(IF(Str_TypeDonneesCpt8=Cpt_Index,Tab_Compteur_8[[#This Row],[Index]]-E44,Tab_Compteur_8[[#This Row],[Quantité]])/Tab_Compteur_8[[#This Row],[Delta Jour]],""))</f>
        <v/>
      </c>
      <c r="H45" s="177" t="str">
        <f>IFERROR(Tab_Compteur_8[[#This Row],[Montant]]/Tab_Compteur_8[[#This Row],[Delta Jour]],"")</f>
        <v/>
      </c>
      <c r="I45" s="184" t="str">
        <f>IF(SUM(Tab_Compteur_8[[#This Row],[Quantité]],Tab_Compteur_8[[#This Row],[Index]])&lt;=0,"",G45)</f>
        <v/>
      </c>
      <c r="J45" s="185"/>
      <c r="K45" s="36"/>
      <c r="L45" s="36"/>
      <c r="M45" s="36"/>
    </row>
    <row r="46" spans="1:13">
      <c r="A46" s="421">
        <f t="shared" si="1"/>
        <v>1</v>
      </c>
      <c r="B46" s="501"/>
      <c r="C46" s="180"/>
      <c r="D46" s="512"/>
      <c r="E46" s="502"/>
      <c r="F46" s="177">
        <f t="shared" si="0"/>
        <v>0</v>
      </c>
      <c r="G46" s="177" t="str">
        <f>IF(IFERROR(IF(Str_TypeDonneesCpt8=Cpt_Index,Tab_Compteur_8[[#This Row],[Index]]-E45,Tab_Compteur_8[[#This Row],[Quantité]])/Tab_Compteur_8[[#This Row],[Delta Jour]],"")&lt;0,"",IFERROR(IF(Str_TypeDonneesCpt8=Cpt_Index,Tab_Compteur_8[[#This Row],[Index]]-E45,Tab_Compteur_8[[#This Row],[Quantité]])/Tab_Compteur_8[[#This Row],[Delta Jour]],""))</f>
        <v/>
      </c>
      <c r="H46" s="177" t="str">
        <f>IFERROR(Tab_Compteur_8[[#This Row],[Montant]]/Tab_Compteur_8[[#This Row],[Delta Jour]],"")</f>
        <v/>
      </c>
      <c r="I46" s="184" t="str">
        <f>IF(SUM(Tab_Compteur_8[[#This Row],[Quantité]],Tab_Compteur_8[[#This Row],[Index]])&lt;=0,"",G46)</f>
        <v/>
      </c>
      <c r="J46" s="185"/>
      <c r="K46" s="36"/>
      <c r="L46" s="36"/>
      <c r="M46" s="36"/>
    </row>
    <row r="47" spans="1:13">
      <c r="A47" s="421">
        <f t="shared" si="1"/>
        <v>1</v>
      </c>
      <c r="B47" s="501"/>
      <c r="C47" s="180"/>
      <c r="D47" s="512"/>
      <c r="E47" s="502"/>
      <c r="F47" s="177">
        <f t="shared" si="0"/>
        <v>0</v>
      </c>
      <c r="G47" s="177" t="str">
        <f>IF(IFERROR(IF(Str_TypeDonneesCpt8=Cpt_Index,Tab_Compteur_8[[#This Row],[Index]]-E46,Tab_Compteur_8[[#This Row],[Quantité]])/Tab_Compteur_8[[#This Row],[Delta Jour]],"")&lt;0,"",IFERROR(IF(Str_TypeDonneesCpt8=Cpt_Index,Tab_Compteur_8[[#This Row],[Index]]-E46,Tab_Compteur_8[[#This Row],[Quantité]])/Tab_Compteur_8[[#This Row],[Delta Jour]],""))</f>
        <v/>
      </c>
      <c r="H47" s="177" t="str">
        <f>IFERROR(Tab_Compteur_8[[#This Row],[Montant]]/Tab_Compteur_8[[#This Row],[Delta Jour]],"")</f>
        <v/>
      </c>
      <c r="I47" s="184" t="str">
        <f>IF(SUM(Tab_Compteur_8[[#This Row],[Quantité]],Tab_Compteur_8[[#This Row],[Index]])&lt;=0,"",G47)</f>
        <v/>
      </c>
      <c r="J47" s="185"/>
      <c r="K47" s="36"/>
      <c r="L47" s="36"/>
      <c r="M47" s="36"/>
    </row>
    <row r="48" spans="1:13">
      <c r="A48" s="421">
        <f t="shared" si="1"/>
        <v>1</v>
      </c>
      <c r="B48" s="501"/>
      <c r="C48" s="180"/>
      <c r="D48" s="512"/>
      <c r="E48" s="502"/>
      <c r="F48" s="177">
        <f t="shared" si="0"/>
        <v>0</v>
      </c>
      <c r="G48" s="177" t="str">
        <f>IF(IFERROR(IF(Str_TypeDonneesCpt8=Cpt_Index,Tab_Compteur_8[[#This Row],[Index]]-E47,Tab_Compteur_8[[#This Row],[Quantité]])/Tab_Compteur_8[[#This Row],[Delta Jour]],"")&lt;0,"",IFERROR(IF(Str_TypeDonneesCpt8=Cpt_Index,Tab_Compteur_8[[#This Row],[Index]]-E47,Tab_Compteur_8[[#This Row],[Quantité]])/Tab_Compteur_8[[#This Row],[Delta Jour]],""))</f>
        <v/>
      </c>
      <c r="H48" s="177" t="str">
        <f>IFERROR(Tab_Compteur_8[[#This Row],[Montant]]/Tab_Compteur_8[[#This Row],[Delta Jour]],"")</f>
        <v/>
      </c>
      <c r="I48" s="184" t="str">
        <f>IF(SUM(Tab_Compteur_8[[#This Row],[Quantité]],Tab_Compteur_8[[#This Row],[Index]])&lt;=0,"",G48)</f>
        <v/>
      </c>
      <c r="J48" s="185"/>
      <c r="K48" s="36"/>
      <c r="L48" s="36"/>
      <c r="M48" s="36"/>
    </row>
    <row r="49" spans="1:13">
      <c r="A49" s="421">
        <f t="shared" si="1"/>
        <v>1</v>
      </c>
      <c r="B49" s="501"/>
      <c r="C49" s="180"/>
      <c r="D49" s="512"/>
      <c r="E49" s="502"/>
      <c r="F49" s="177">
        <f t="shared" si="0"/>
        <v>0</v>
      </c>
      <c r="G49" s="177" t="str">
        <f>IF(IFERROR(IF(Str_TypeDonneesCpt8=Cpt_Index,Tab_Compteur_8[[#This Row],[Index]]-E48,Tab_Compteur_8[[#This Row],[Quantité]])/Tab_Compteur_8[[#This Row],[Delta Jour]],"")&lt;0,"",IFERROR(IF(Str_TypeDonneesCpt8=Cpt_Index,Tab_Compteur_8[[#This Row],[Index]]-E48,Tab_Compteur_8[[#This Row],[Quantité]])/Tab_Compteur_8[[#This Row],[Delta Jour]],""))</f>
        <v/>
      </c>
      <c r="H49" s="177" t="str">
        <f>IFERROR(Tab_Compteur_8[[#This Row],[Montant]]/Tab_Compteur_8[[#This Row],[Delta Jour]],"")</f>
        <v/>
      </c>
      <c r="I49" s="184" t="str">
        <f>IF(SUM(Tab_Compteur_8[[#This Row],[Quantité]],Tab_Compteur_8[[#This Row],[Index]])&lt;=0,"",G49)</f>
        <v/>
      </c>
      <c r="J49" s="185"/>
      <c r="K49" s="36"/>
      <c r="L49" s="36"/>
      <c r="M49" s="36"/>
    </row>
    <row r="50" spans="1:13">
      <c r="A50" s="421">
        <f t="shared" si="1"/>
        <v>1</v>
      </c>
      <c r="B50" s="501"/>
      <c r="C50" s="180"/>
      <c r="D50" s="512"/>
      <c r="E50" s="502"/>
      <c r="F50" s="177">
        <f t="shared" si="0"/>
        <v>0</v>
      </c>
      <c r="G50" s="177" t="str">
        <f>IF(IFERROR(IF(Str_TypeDonneesCpt8=Cpt_Index,Tab_Compteur_8[[#This Row],[Index]]-E49,Tab_Compteur_8[[#This Row],[Quantité]])/Tab_Compteur_8[[#This Row],[Delta Jour]],"")&lt;0,"",IFERROR(IF(Str_TypeDonneesCpt8=Cpt_Index,Tab_Compteur_8[[#This Row],[Index]]-E49,Tab_Compteur_8[[#This Row],[Quantité]])/Tab_Compteur_8[[#This Row],[Delta Jour]],""))</f>
        <v/>
      </c>
      <c r="H50" s="177" t="str">
        <f>IFERROR(Tab_Compteur_8[[#This Row],[Montant]]/Tab_Compteur_8[[#This Row],[Delta Jour]],"")</f>
        <v/>
      </c>
      <c r="I50" s="184" t="str">
        <f>IF(SUM(Tab_Compteur_8[[#This Row],[Quantité]],Tab_Compteur_8[[#This Row],[Index]])&lt;=0,"",G50)</f>
        <v/>
      </c>
      <c r="J50" s="185"/>
      <c r="K50" s="36"/>
      <c r="L50" s="36"/>
      <c r="M50" s="36"/>
    </row>
    <row r="51" spans="1:13">
      <c r="A51" s="421">
        <f t="shared" si="1"/>
        <v>1</v>
      </c>
      <c r="B51" s="501"/>
      <c r="C51" s="180"/>
      <c r="D51" s="512"/>
      <c r="E51" s="502"/>
      <c r="F51" s="177">
        <f t="shared" si="0"/>
        <v>0</v>
      </c>
      <c r="G51" s="177" t="str">
        <f>IF(IFERROR(IF(Str_TypeDonneesCpt8=Cpt_Index,Tab_Compteur_8[[#This Row],[Index]]-E50,Tab_Compteur_8[[#This Row],[Quantité]])/Tab_Compteur_8[[#This Row],[Delta Jour]],"")&lt;0,"",IFERROR(IF(Str_TypeDonneesCpt8=Cpt_Index,Tab_Compteur_8[[#This Row],[Index]]-E50,Tab_Compteur_8[[#This Row],[Quantité]])/Tab_Compteur_8[[#This Row],[Delta Jour]],""))</f>
        <v/>
      </c>
      <c r="H51" s="177" t="str">
        <f>IFERROR(Tab_Compteur_8[[#This Row],[Montant]]/Tab_Compteur_8[[#This Row],[Delta Jour]],"")</f>
        <v/>
      </c>
      <c r="I51" s="184" t="str">
        <f>IF(SUM(Tab_Compteur_8[[#This Row],[Quantité]],Tab_Compteur_8[[#This Row],[Index]])&lt;=0,"",G51)</f>
        <v/>
      </c>
      <c r="J51" s="185" t="s">
        <v>880</v>
      </c>
      <c r="K51" s="36"/>
      <c r="L51" s="36"/>
      <c r="M51" s="36"/>
    </row>
    <row r="52" spans="1:13">
      <c r="A52" s="421">
        <f t="shared" si="1"/>
        <v>1</v>
      </c>
      <c r="B52" s="501"/>
      <c r="C52" s="179"/>
      <c r="D52" s="512"/>
      <c r="E52" s="502"/>
      <c r="F52" s="177">
        <f t="shared" si="0"/>
        <v>0</v>
      </c>
      <c r="G52" s="177" t="str">
        <f>IF(IFERROR(IF(Str_TypeDonneesCpt8=Cpt_Index,Tab_Compteur_8[[#This Row],[Index]]-E51,Tab_Compteur_8[[#This Row],[Quantité]])/Tab_Compteur_8[[#This Row],[Delta Jour]],"")&lt;0,"",IFERROR(IF(Str_TypeDonneesCpt8=Cpt_Index,Tab_Compteur_8[[#This Row],[Index]]-E51,Tab_Compteur_8[[#This Row],[Quantité]])/Tab_Compteur_8[[#This Row],[Delta Jour]],""))</f>
        <v/>
      </c>
      <c r="H52" s="177" t="str">
        <f>IFERROR(Tab_Compteur_8[[#This Row],[Montant]]/Tab_Compteur_8[[#This Row],[Delta Jour]],"")</f>
        <v/>
      </c>
      <c r="I52" s="184" t="str">
        <f>IF(SUM(Tab_Compteur_8[[#This Row],[Quantité]],Tab_Compteur_8[[#This Row],[Index]])&lt;=0,"",G52)</f>
        <v/>
      </c>
      <c r="J52" s="185"/>
      <c r="K52" s="36"/>
      <c r="L52" s="36"/>
      <c r="M52" s="36"/>
    </row>
    <row r="53" spans="1:13">
      <c r="A53" s="421">
        <f t="shared" si="1"/>
        <v>1</v>
      </c>
      <c r="B53" s="501"/>
      <c r="C53" s="179"/>
      <c r="D53" s="512"/>
      <c r="E53" s="502"/>
      <c r="F53" s="177">
        <f t="shared" si="0"/>
        <v>0</v>
      </c>
      <c r="G53" s="177" t="str">
        <f>IF(IFERROR(IF(Str_TypeDonneesCpt8=Cpt_Index,Tab_Compteur_8[[#This Row],[Index]]-E52,Tab_Compteur_8[[#This Row],[Quantité]])/Tab_Compteur_8[[#This Row],[Delta Jour]],"")&lt;0,"",IFERROR(IF(Str_TypeDonneesCpt8=Cpt_Index,Tab_Compteur_8[[#This Row],[Index]]-E52,Tab_Compteur_8[[#This Row],[Quantité]])/Tab_Compteur_8[[#This Row],[Delta Jour]],""))</f>
        <v/>
      </c>
      <c r="H53" s="177" t="str">
        <f>IFERROR(Tab_Compteur_8[[#This Row],[Montant]]/Tab_Compteur_8[[#This Row],[Delta Jour]],"")</f>
        <v/>
      </c>
      <c r="I53" s="184" t="str">
        <f>IF(SUM(Tab_Compteur_8[[#This Row],[Quantité]],Tab_Compteur_8[[#This Row],[Index]])&lt;=0,"",G53)</f>
        <v/>
      </c>
      <c r="J53" s="185"/>
      <c r="K53" s="36"/>
      <c r="L53" s="36"/>
      <c r="M53" s="36"/>
    </row>
    <row r="54" spans="1:13">
      <c r="A54" s="421">
        <f t="shared" si="1"/>
        <v>1</v>
      </c>
      <c r="B54" s="501"/>
      <c r="C54" s="179"/>
      <c r="D54" s="512"/>
      <c r="E54" s="502"/>
      <c r="F54" s="177">
        <f t="shared" si="0"/>
        <v>0</v>
      </c>
      <c r="G54" s="177" t="str">
        <f>IF(IFERROR(IF(Str_TypeDonneesCpt8=Cpt_Index,Tab_Compteur_8[[#This Row],[Index]]-E53,Tab_Compteur_8[[#This Row],[Quantité]])/Tab_Compteur_8[[#This Row],[Delta Jour]],"")&lt;0,"",IFERROR(IF(Str_TypeDonneesCpt8=Cpt_Index,Tab_Compteur_8[[#This Row],[Index]]-E53,Tab_Compteur_8[[#This Row],[Quantité]])/Tab_Compteur_8[[#This Row],[Delta Jour]],""))</f>
        <v/>
      </c>
      <c r="H54" s="177" t="str">
        <f>IFERROR(Tab_Compteur_8[[#This Row],[Montant]]/Tab_Compteur_8[[#This Row],[Delta Jour]],"")</f>
        <v/>
      </c>
      <c r="I54" s="184" t="str">
        <f>IF(SUM(Tab_Compteur_8[[#This Row],[Quantité]],Tab_Compteur_8[[#This Row],[Index]])&lt;=0,"",G54)</f>
        <v/>
      </c>
      <c r="J54" s="185"/>
      <c r="K54" s="36"/>
      <c r="L54" s="36"/>
      <c r="M54" s="36"/>
    </row>
    <row r="55" spans="1:13">
      <c r="A55" s="421">
        <f t="shared" si="1"/>
        <v>1</v>
      </c>
      <c r="B55" s="501"/>
      <c r="C55" s="180"/>
      <c r="D55" s="512"/>
      <c r="E55" s="502"/>
      <c r="F55" s="177">
        <f t="shared" si="0"/>
        <v>0</v>
      </c>
      <c r="G55" s="177" t="str">
        <f>IF(IFERROR(IF(Str_TypeDonneesCpt8=Cpt_Index,Tab_Compteur_8[[#This Row],[Index]]-E54,Tab_Compteur_8[[#This Row],[Quantité]])/Tab_Compteur_8[[#This Row],[Delta Jour]],"")&lt;0,"",IFERROR(IF(Str_TypeDonneesCpt8=Cpt_Index,Tab_Compteur_8[[#This Row],[Index]]-E54,Tab_Compteur_8[[#This Row],[Quantité]])/Tab_Compteur_8[[#This Row],[Delta Jour]],""))</f>
        <v/>
      </c>
      <c r="H55" s="177" t="str">
        <f>IFERROR(Tab_Compteur_8[[#This Row],[Montant]]/Tab_Compteur_8[[#This Row],[Delta Jour]],"")</f>
        <v/>
      </c>
      <c r="I55" s="184" t="str">
        <f>IF(SUM(Tab_Compteur_8[[#This Row],[Quantité]],Tab_Compteur_8[[#This Row],[Index]])&lt;=0,"",G55)</f>
        <v/>
      </c>
      <c r="J55" s="185"/>
      <c r="K55" s="36"/>
      <c r="L55" s="36"/>
      <c r="M55" s="36"/>
    </row>
    <row r="56" spans="1:13">
      <c r="A56" s="421">
        <f t="shared" si="1"/>
        <v>1</v>
      </c>
      <c r="B56" s="501"/>
      <c r="C56" s="180"/>
      <c r="D56" s="512"/>
      <c r="E56" s="502"/>
      <c r="F56" s="177">
        <f t="shared" si="0"/>
        <v>0</v>
      </c>
      <c r="G56" s="177" t="str">
        <f>IF(IFERROR(IF(Str_TypeDonneesCpt8=Cpt_Index,Tab_Compteur_8[[#This Row],[Index]]-E55,Tab_Compteur_8[[#This Row],[Quantité]])/Tab_Compteur_8[[#This Row],[Delta Jour]],"")&lt;0,"",IFERROR(IF(Str_TypeDonneesCpt8=Cpt_Index,Tab_Compteur_8[[#This Row],[Index]]-E55,Tab_Compteur_8[[#This Row],[Quantité]])/Tab_Compteur_8[[#This Row],[Delta Jour]],""))</f>
        <v/>
      </c>
      <c r="H56" s="177" t="str">
        <f>IFERROR(Tab_Compteur_8[[#This Row],[Montant]]/Tab_Compteur_8[[#This Row],[Delta Jour]],"")</f>
        <v/>
      </c>
      <c r="I56" s="184" t="str">
        <f>IF(SUM(Tab_Compteur_8[[#This Row],[Quantité]],Tab_Compteur_8[[#This Row],[Index]])&lt;=0,"",G56)</f>
        <v/>
      </c>
      <c r="J56" s="185"/>
      <c r="K56" s="36"/>
      <c r="L56" s="36"/>
      <c r="M56" s="36"/>
    </row>
    <row r="57" spans="1:13">
      <c r="A57" s="421">
        <f t="shared" si="1"/>
        <v>1</v>
      </c>
      <c r="B57" s="501"/>
      <c r="C57" s="180"/>
      <c r="D57" s="512"/>
      <c r="E57" s="502"/>
      <c r="F57" s="177">
        <f t="shared" si="0"/>
        <v>0</v>
      </c>
      <c r="G57" s="177" t="str">
        <f>IF(IFERROR(IF(Str_TypeDonneesCpt8=Cpt_Index,Tab_Compteur_8[[#This Row],[Index]]-E56,Tab_Compteur_8[[#This Row],[Quantité]])/Tab_Compteur_8[[#This Row],[Delta Jour]],"")&lt;0,"",IFERROR(IF(Str_TypeDonneesCpt8=Cpt_Index,Tab_Compteur_8[[#This Row],[Index]]-E56,Tab_Compteur_8[[#This Row],[Quantité]])/Tab_Compteur_8[[#This Row],[Delta Jour]],""))</f>
        <v/>
      </c>
      <c r="H57" s="177" t="str">
        <f>IFERROR(Tab_Compteur_8[[#This Row],[Montant]]/Tab_Compteur_8[[#This Row],[Delta Jour]],"")</f>
        <v/>
      </c>
      <c r="I57" s="184" t="str">
        <f>IF(SUM(Tab_Compteur_8[[#This Row],[Quantité]],Tab_Compteur_8[[#This Row],[Index]])&lt;=0,"",G57)</f>
        <v/>
      </c>
      <c r="J57" s="185"/>
      <c r="K57" s="36"/>
      <c r="L57" s="36"/>
      <c r="M57" s="36"/>
    </row>
    <row r="58" spans="1:13">
      <c r="A58" s="421">
        <f t="shared" si="1"/>
        <v>1</v>
      </c>
      <c r="B58" s="501"/>
      <c r="C58" s="180"/>
      <c r="D58" s="512"/>
      <c r="E58" s="502"/>
      <c r="F58" s="177">
        <f t="shared" si="0"/>
        <v>0</v>
      </c>
      <c r="G58" s="177" t="str">
        <f>IF(IFERROR(IF(Str_TypeDonneesCpt8=Cpt_Index,Tab_Compteur_8[[#This Row],[Index]]-E57,Tab_Compteur_8[[#This Row],[Quantité]])/Tab_Compteur_8[[#This Row],[Delta Jour]],"")&lt;0,"",IFERROR(IF(Str_TypeDonneesCpt8=Cpt_Index,Tab_Compteur_8[[#This Row],[Index]]-E57,Tab_Compteur_8[[#This Row],[Quantité]])/Tab_Compteur_8[[#This Row],[Delta Jour]],""))</f>
        <v/>
      </c>
      <c r="H58" s="177" t="str">
        <f>IFERROR(Tab_Compteur_8[[#This Row],[Montant]]/Tab_Compteur_8[[#This Row],[Delta Jour]],"")</f>
        <v/>
      </c>
      <c r="I58" s="184" t="str">
        <f>IF(SUM(Tab_Compteur_8[[#This Row],[Quantité]],Tab_Compteur_8[[#This Row],[Index]])&lt;=0,"",G58)</f>
        <v/>
      </c>
      <c r="J58" s="185"/>
      <c r="K58" s="36"/>
      <c r="L58" s="36"/>
      <c r="M58" s="36"/>
    </row>
    <row r="59" spans="1:13">
      <c r="A59" s="421">
        <f t="shared" si="1"/>
        <v>1</v>
      </c>
      <c r="B59" s="501"/>
      <c r="C59" s="180"/>
      <c r="D59" s="512"/>
      <c r="E59" s="502"/>
      <c r="F59" s="177">
        <f t="shared" si="0"/>
        <v>0</v>
      </c>
      <c r="G59" s="177" t="str">
        <f>IF(IFERROR(IF(Str_TypeDonneesCpt8=Cpt_Index,Tab_Compteur_8[[#This Row],[Index]]-E58,Tab_Compteur_8[[#This Row],[Quantité]])/Tab_Compteur_8[[#This Row],[Delta Jour]],"")&lt;0,"",IFERROR(IF(Str_TypeDonneesCpt8=Cpt_Index,Tab_Compteur_8[[#This Row],[Index]]-E58,Tab_Compteur_8[[#This Row],[Quantité]])/Tab_Compteur_8[[#This Row],[Delta Jour]],""))</f>
        <v/>
      </c>
      <c r="H59" s="177" t="str">
        <f>IFERROR(Tab_Compteur_8[[#This Row],[Montant]]/Tab_Compteur_8[[#This Row],[Delta Jour]],"")</f>
        <v/>
      </c>
      <c r="I59" s="184" t="str">
        <f>IF(SUM(Tab_Compteur_8[[#This Row],[Quantité]],Tab_Compteur_8[[#This Row],[Index]])&lt;=0,"",G59)</f>
        <v/>
      </c>
      <c r="J59" s="185"/>
      <c r="K59" s="36"/>
      <c r="L59" s="36"/>
      <c r="M59" s="36"/>
    </row>
    <row r="60" spans="1:13">
      <c r="A60" s="421">
        <f t="shared" si="1"/>
        <v>1</v>
      </c>
      <c r="B60" s="501"/>
      <c r="C60" s="178"/>
      <c r="D60" s="491"/>
      <c r="E60" s="502"/>
      <c r="F60" s="177">
        <f t="shared" si="0"/>
        <v>0</v>
      </c>
      <c r="G60" s="177" t="str">
        <f>IF(IFERROR(IF(Str_TypeDonneesCpt8=Cpt_Index,Tab_Compteur_8[[#This Row],[Index]]-E59,Tab_Compteur_8[[#This Row],[Quantité]])/Tab_Compteur_8[[#This Row],[Delta Jour]],"")&lt;0,"",IFERROR(IF(Str_TypeDonneesCpt8=Cpt_Index,Tab_Compteur_8[[#This Row],[Index]]-E59,Tab_Compteur_8[[#This Row],[Quantité]])/Tab_Compteur_8[[#This Row],[Delta Jour]],""))</f>
        <v/>
      </c>
      <c r="H60" s="177" t="str">
        <f>IFERROR(Tab_Compteur_8[[#This Row],[Montant]]/Tab_Compteur_8[[#This Row],[Delta Jour]],"")</f>
        <v/>
      </c>
      <c r="I60" s="184" t="str">
        <f>IF(SUM(Tab_Compteur_8[[#This Row],[Quantité]],Tab_Compteur_8[[#This Row],[Index]])&lt;=0,"",G60)</f>
        <v/>
      </c>
      <c r="J60" s="185"/>
      <c r="K60" s="36"/>
      <c r="L60" s="36"/>
      <c r="M60" s="36"/>
    </row>
    <row r="61" spans="1:13">
      <c r="A61" s="421">
        <f t="shared" si="1"/>
        <v>1</v>
      </c>
      <c r="B61" s="501"/>
      <c r="C61" s="178"/>
      <c r="D61" s="491"/>
      <c r="E61" s="502"/>
      <c r="F61" s="177">
        <f t="shared" si="0"/>
        <v>0</v>
      </c>
      <c r="G61" s="177" t="str">
        <f>IF(IFERROR(IF(Str_TypeDonneesCpt8=Cpt_Index,Tab_Compteur_8[[#This Row],[Index]]-E60,Tab_Compteur_8[[#This Row],[Quantité]])/Tab_Compteur_8[[#This Row],[Delta Jour]],"")&lt;0,"",IFERROR(IF(Str_TypeDonneesCpt8=Cpt_Index,Tab_Compteur_8[[#This Row],[Index]]-E60,Tab_Compteur_8[[#This Row],[Quantité]])/Tab_Compteur_8[[#This Row],[Delta Jour]],""))</f>
        <v/>
      </c>
      <c r="H61" s="177" t="str">
        <f>IFERROR(Tab_Compteur_8[[#This Row],[Montant]]/Tab_Compteur_8[[#This Row],[Delta Jour]],"")</f>
        <v/>
      </c>
      <c r="I61" s="184" t="str">
        <f>IF(SUM(Tab_Compteur_8[[#This Row],[Quantité]],Tab_Compteur_8[[#This Row],[Index]])&lt;=0,"",G61)</f>
        <v/>
      </c>
      <c r="J61" s="185"/>
      <c r="K61" s="36"/>
      <c r="L61" s="36"/>
      <c r="M61" s="36"/>
    </row>
    <row r="62" spans="1:13">
      <c r="A62" s="421">
        <f t="shared" si="1"/>
        <v>1</v>
      </c>
      <c r="B62" s="501"/>
      <c r="C62" s="178"/>
      <c r="D62" s="491"/>
      <c r="E62" s="502"/>
      <c r="F62" s="177">
        <f t="shared" si="0"/>
        <v>0</v>
      </c>
      <c r="G62" s="177" t="str">
        <f>IF(IFERROR(IF(Str_TypeDonneesCpt8=Cpt_Index,Tab_Compteur_8[[#This Row],[Index]]-E61,Tab_Compteur_8[[#This Row],[Quantité]])/Tab_Compteur_8[[#This Row],[Delta Jour]],"")&lt;0,"",IFERROR(IF(Str_TypeDonneesCpt8=Cpt_Index,Tab_Compteur_8[[#This Row],[Index]]-E61,Tab_Compteur_8[[#This Row],[Quantité]])/Tab_Compteur_8[[#This Row],[Delta Jour]],""))</f>
        <v/>
      </c>
      <c r="H62" s="177" t="str">
        <f>IFERROR(Tab_Compteur_8[[#This Row],[Montant]]/Tab_Compteur_8[[#This Row],[Delta Jour]],"")</f>
        <v/>
      </c>
      <c r="I62" s="184" t="str">
        <f>IF(SUM(Tab_Compteur_8[[#This Row],[Quantité]],Tab_Compteur_8[[#This Row],[Index]])&lt;=0,"",G62)</f>
        <v/>
      </c>
      <c r="J62" s="185"/>
      <c r="K62" s="36"/>
      <c r="L62" s="36"/>
      <c r="M62" s="36"/>
    </row>
    <row r="63" spans="1:13">
      <c r="A63" s="421">
        <f t="shared" si="1"/>
        <v>1</v>
      </c>
      <c r="B63" s="501"/>
      <c r="C63" s="178"/>
      <c r="D63" s="491"/>
      <c r="E63" s="502"/>
      <c r="F63" s="177">
        <f t="shared" si="0"/>
        <v>0</v>
      </c>
      <c r="G63" s="177" t="str">
        <f>IF(IFERROR(IF(Str_TypeDonneesCpt8=Cpt_Index,Tab_Compteur_8[[#This Row],[Index]]-E62,Tab_Compteur_8[[#This Row],[Quantité]])/Tab_Compteur_8[[#This Row],[Delta Jour]],"")&lt;0,"",IFERROR(IF(Str_TypeDonneesCpt8=Cpt_Index,Tab_Compteur_8[[#This Row],[Index]]-E62,Tab_Compteur_8[[#This Row],[Quantité]])/Tab_Compteur_8[[#This Row],[Delta Jour]],""))</f>
        <v/>
      </c>
      <c r="H63" s="177" t="str">
        <f>IFERROR(Tab_Compteur_8[[#This Row],[Montant]]/Tab_Compteur_8[[#This Row],[Delta Jour]],"")</f>
        <v/>
      </c>
      <c r="I63" s="184" t="str">
        <f>IF(SUM(Tab_Compteur_8[[#This Row],[Quantité]],Tab_Compteur_8[[#This Row],[Index]])&lt;=0,"",G63)</f>
        <v/>
      </c>
      <c r="J63" s="185"/>
      <c r="K63" s="36"/>
      <c r="L63" s="36"/>
      <c r="M63" s="36"/>
    </row>
    <row r="64" spans="1:13">
      <c r="A64" s="421">
        <f t="shared" si="1"/>
        <v>1</v>
      </c>
      <c r="B64" s="501"/>
      <c r="C64" s="178"/>
      <c r="D64" s="491"/>
      <c r="E64" s="502"/>
      <c r="F64" s="177">
        <f t="shared" si="0"/>
        <v>0</v>
      </c>
      <c r="G64" s="177" t="str">
        <f>IF(IFERROR(IF(Str_TypeDonneesCpt8=Cpt_Index,Tab_Compteur_8[[#This Row],[Index]]-E63,Tab_Compteur_8[[#This Row],[Quantité]])/Tab_Compteur_8[[#This Row],[Delta Jour]],"")&lt;0,"",IFERROR(IF(Str_TypeDonneesCpt8=Cpt_Index,Tab_Compteur_8[[#This Row],[Index]]-E63,Tab_Compteur_8[[#This Row],[Quantité]])/Tab_Compteur_8[[#This Row],[Delta Jour]],""))</f>
        <v/>
      </c>
      <c r="H64" s="177" t="str">
        <f>IFERROR(Tab_Compteur_8[[#This Row],[Montant]]/Tab_Compteur_8[[#This Row],[Delta Jour]],"")</f>
        <v/>
      </c>
      <c r="I64" s="184" t="str">
        <f>IF(SUM(Tab_Compteur_8[[#This Row],[Quantité]],Tab_Compteur_8[[#This Row],[Index]])&lt;=0,"",G64)</f>
        <v/>
      </c>
      <c r="J64" s="185"/>
      <c r="K64" s="36"/>
      <c r="L64" s="36"/>
      <c r="M64" s="36"/>
    </row>
    <row r="65" spans="1:13">
      <c r="A65" s="421">
        <f t="shared" si="1"/>
        <v>1</v>
      </c>
      <c r="B65" s="501"/>
      <c r="C65" s="178"/>
      <c r="D65" s="491"/>
      <c r="E65" s="502"/>
      <c r="F65" s="177">
        <f t="shared" si="0"/>
        <v>0</v>
      </c>
      <c r="G65" s="177" t="str">
        <f>IF(IFERROR(IF(Str_TypeDonneesCpt8=Cpt_Index,Tab_Compteur_8[[#This Row],[Index]]-E64,Tab_Compteur_8[[#This Row],[Quantité]])/Tab_Compteur_8[[#This Row],[Delta Jour]],"")&lt;0,"",IFERROR(IF(Str_TypeDonneesCpt8=Cpt_Index,Tab_Compteur_8[[#This Row],[Index]]-E64,Tab_Compteur_8[[#This Row],[Quantité]])/Tab_Compteur_8[[#This Row],[Delta Jour]],""))</f>
        <v/>
      </c>
      <c r="H65" s="177" t="str">
        <f>IFERROR(Tab_Compteur_8[[#This Row],[Montant]]/Tab_Compteur_8[[#This Row],[Delta Jour]],"")</f>
        <v/>
      </c>
      <c r="I65" s="184" t="str">
        <f>IF(SUM(Tab_Compteur_8[[#This Row],[Quantité]],Tab_Compteur_8[[#This Row],[Index]])&lt;=0,"",G65)</f>
        <v/>
      </c>
      <c r="J65" s="185"/>
      <c r="K65" s="36"/>
      <c r="L65" s="36"/>
      <c r="M65" s="36"/>
    </row>
    <row r="66" spans="1:13">
      <c r="A66" s="421">
        <f t="shared" si="1"/>
        <v>1</v>
      </c>
      <c r="B66" s="501"/>
      <c r="C66" s="178"/>
      <c r="D66" s="491"/>
      <c r="E66" s="502"/>
      <c r="F66" s="177">
        <f t="shared" si="0"/>
        <v>0</v>
      </c>
      <c r="G66" s="177" t="str">
        <f>IF(IFERROR(IF(Str_TypeDonneesCpt8=Cpt_Index,Tab_Compteur_8[[#This Row],[Index]]-E65,Tab_Compteur_8[[#This Row],[Quantité]])/Tab_Compteur_8[[#This Row],[Delta Jour]],"")&lt;0,"",IFERROR(IF(Str_TypeDonneesCpt8=Cpt_Index,Tab_Compteur_8[[#This Row],[Index]]-E65,Tab_Compteur_8[[#This Row],[Quantité]])/Tab_Compteur_8[[#This Row],[Delta Jour]],""))</f>
        <v/>
      </c>
      <c r="H66" s="177" t="str">
        <f>IFERROR(Tab_Compteur_8[[#This Row],[Montant]]/Tab_Compteur_8[[#This Row],[Delta Jour]],"")</f>
        <v/>
      </c>
      <c r="I66" s="184" t="str">
        <f>IF(SUM(Tab_Compteur_8[[#This Row],[Quantité]],Tab_Compteur_8[[#This Row],[Index]])&lt;=0,"",G66)</f>
        <v/>
      </c>
      <c r="J66" s="185"/>
      <c r="K66" s="36"/>
      <c r="L66" s="36"/>
      <c r="M66" s="36"/>
    </row>
    <row r="67" spans="1:13">
      <c r="A67" s="421">
        <f t="shared" si="1"/>
        <v>1</v>
      </c>
      <c r="B67" s="501"/>
      <c r="C67" s="178"/>
      <c r="D67" s="491"/>
      <c r="E67" s="502"/>
      <c r="F67" s="177">
        <f t="shared" si="0"/>
        <v>0</v>
      </c>
      <c r="G67" s="177" t="str">
        <f>IF(IFERROR(IF(Str_TypeDonneesCpt8=Cpt_Index,Tab_Compteur_8[[#This Row],[Index]]-E66,Tab_Compteur_8[[#This Row],[Quantité]])/Tab_Compteur_8[[#This Row],[Delta Jour]],"")&lt;0,"",IFERROR(IF(Str_TypeDonneesCpt8=Cpt_Index,Tab_Compteur_8[[#This Row],[Index]]-E66,Tab_Compteur_8[[#This Row],[Quantité]])/Tab_Compteur_8[[#This Row],[Delta Jour]],""))</f>
        <v/>
      </c>
      <c r="H67" s="177" t="str">
        <f>IFERROR(Tab_Compteur_8[[#This Row],[Montant]]/Tab_Compteur_8[[#This Row],[Delta Jour]],"")</f>
        <v/>
      </c>
      <c r="I67" s="184" t="str">
        <f>IF(SUM(Tab_Compteur_8[[#This Row],[Quantité]],Tab_Compteur_8[[#This Row],[Index]])&lt;=0,"",G67)</f>
        <v/>
      </c>
      <c r="J67" s="185"/>
      <c r="K67" s="36"/>
      <c r="L67" s="36"/>
      <c r="M67" s="36"/>
    </row>
    <row r="68" spans="1:13">
      <c r="A68" s="421">
        <f t="shared" si="1"/>
        <v>1</v>
      </c>
      <c r="B68" s="501"/>
      <c r="C68" s="178"/>
      <c r="D68" s="491"/>
      <c r="E68" s="502"/>
      <c r="F68" s="177">
        <f t="shared" si="0"/>
        <v>0</v>
      </c>
      <c r="G68" s="177" t="str">
        <f>IF(IFERROR(IF(Str_TypeDonneesCpt8=Cpt_Index,Tab_Compteur_8[[#This Row],[Index]]-E67,Tab_Compteur_8[[#This Row],[Quantité]])/Tab_Compteur_8[[#This Row],[Delta Jour]],"")&lt;0,"",IFERROR(IF(Str_TypeDonneesCpt8=Cpt_Index,Tab_Compteur_8[[#This Row],[Index]]-E67,Tab_Compteur_8[[#This Row],[Quantité]])/Tab_Compteur_8[[#This Row],[Delta Jour]],""))</f>
        <v/>
      </c>
      <c r="H68" s="177" t="str">
        <f>IFERROR(Tab_Compteur_8[[#This Row],[Montant]]/Tab_Compteur_8[[#This Row],[Delta Jour]],"")</f>
        <v/>
      </c>
      <c r="I68" s="184" t="str">
        <f>IF(SUM(Tab_Compteur_8[[#This Row],[Quantité]],Tab_Compteur_8[[#This Row],[Index]])&lt;=0,"",G68)</f>
        <v/>
      </c>
      <c r="J68" s="185"/>
      <c r="K68" s="36"/>
      <c r="L68" s="36"/>
      <c r="M68" s="36"/>
    </row>
    <row r="69" spans="1:13">
      <c r="A69" s="421">
        <f t="shared" si="1"/>
        <v>1</v>
      </c>
      <c r="B69" s="501"/>
      <c r="C69" s="178"/>
      <c r="D69" s="491"/>
      <c r="E69" s="502"/>
      <c r="F69" s="177">
        <f t="shared" ref="F69:F132" si="2">IFERROR(B69-A69+1,"")</f>
        <v>0</v>
      </c>
      <c r="G69" s="177" t="str">
        <f>IF(IFERROR(IF(Str_TypeDonneesCpt8=Cpt_Index,Tab_Compteur_8[[#This Row],[Index]]-E68,Tab_Compteur_8[[#This Row],[Quantité]])/Tab_Compteur_8[[#This Row],[Delta Jour]],"")&lt;0,"",IFERROR(IF(Str_TypeDonneesCpt8=Cpt_Index,Tab_Compteur_8[[#This Row],[Index]]-E68,Tab_Compteur_8[[#This Row],[Quantité]])/Tab_Compteur_8[[#This Row],[Delta Jour]],""))</f>
        <v/>
      </c>
      <c r="H69" s="177" t="str">
        <f>IFERROR(Tab_Compteur_8[[#This Row],[Montant]]/Tab_Compteur_8[[#This Row],[Delta Jour]],"")</f>
        <v/>
      </c>
      <c r="I69" s="184" t="str">
        <f>IF(SUM(Tab_Compteur_8[[#This Row],[Quantité]],Tab_Compteur_8[[#This Row],[Index]])&lt;=0,"",G69)</f>
        <v/>
      </c>
      <c r="J69" s="185"/>
      <c r="K69" s="36"/>
      <c r="L69" s="36"/>
      <c r="M69" s="36"/>
    </row>
    <row r="70" spans="1:13">
      <c r="A70" s="421">
        <f t="shared" ref="A70:A133" si="3">IFERROR(B69+1,0)</f>
        <v>1</v>
      </c>
      <c r="B70" s="501"/>
      <c r="C70" s="178"/>
      <c r="D70" s="491"/>
      <c r="E70" s="502"/>
      <c r="F70" s="177">
        <f t="shared" si="2"/>
        <v>0</v>
      </c>
      <c r="G70" s="177" t="str">
        <f>IF(IFERROR(IF(Str_TypeDonneesCpt8=Cpt_Index,Tab_Compteur_8[[#This Row],[Index]]-E69,Tab_Compteur_8[[#This Row],[Quantité]])/Tab_Compteur_8[[#This Row],[Delta Jour]],"")&lt;0,"",IFERROR(IF(Str_TypeDonneesCpt8=Cpt_Index,Tab_Compteur_8[[#This Row],[Index]]-E69,Tab_Compteur_8[[#This Row],[Quantité]])/Tab_Compteur_8[[#This Row],[Delta Jour]],""))</f>
        <v/>
      </c>
      <c r="H70" s="177" t="str">
        <f>IFERROR(Tab_Compteur_8[[#This Row],[Montant]]/Tab_Compteur_8[[#This Row],[Delta Jour]],"")</f>
        <v/>
      </c>
      <c r="I70" s="184" t="str">
        <f>IF(SUM(Tab_Compteur_8[[#This Row],[Quantité]],Tab_Compteur_8[[#This Row],[Index]])&lt;=0,"",G70)</f>
        <v/>
      </c>
      <c r="J70" s="185"/>
      <c r="K70" s="36"/>
      <c r="L70" s="36"/>
      <c r="M70" s="36"/>
    </row>
    <row r="71" spans="1:13">
      <c r="A71" s="421">
        <f t="shared" si="3"/>
        <v>1</v>
      </c>
      <c r="B71" s="501"/>
      <c r="C71" s="178"/>
      <c r="D71" s="491"/>
      <c r="E71" s="502"/>
      <c r="F71" s="177">
        <f t="shared" si="2"/>
        <v>0</v>
      </c>
      <c r="G71" s="177" t="str">
        <f>IF(IFERROR(IF(Str_TypeDonneesCpt8=Cpt_Index,Tab_Compteur_8[[#This Row],[Index]]-E70,Tab_Compteur_8[[#This Row],[Quantité]])/Tab_Compteur_8[[#This Row],[Delta Jour]],"")&lt;0,"",IFERROR(IF(Str_TypeDonneesCpt8=Cpt_Index,Tab_Compteur_8[[#This Row],[Index]]-E70,Tab_Compteur_8[[#This Row],[Quantité]])/Tab_Compteur_8[[#This Row],[Delta Jour]],""))</f>
        <v/>
      </c>
      <c r="H71" s="177" t="str">
        <f>IFERROR(Tab_Compteur_8[[#This Row],[Montant]]/Tab_Compteur_8[[#This Row],[Delta Jour]],"")</f>
        <v/>
      </c>
      <c r="I71" s="184" t="str">
        <f>IF(SUM(Tab_Compteur_8[[#This Row],[Quantité]],Tab_Compteur_8[[#This Row],[Index]])&lt;=0,"",G71)</f>
        <v/>
      </c>
      <c r="J71" s="185"/>
      <c r="K71" s="36"/>
      <c r="L71" s="36"/>
      <c r="M71" s="36"/>
    </row>
    <row r="72" spans="1:13">
      <c r="A72" s="421">
        <f t="shared" si="3"/>
        <v>1</v>
      </c>
      <c r="B72" s="501"/>
      <c r="C72" s="178"/>
      <c r="D72" s="491"/>
      <c r="E72" s="502"/>
      <c r="F72" s="177">
        <f t="shared" si="2"/>
        <v>0</v>
      </c>
      <c r="G72" s="177" t="str">
        <f>IF(IFERROR(IF(Str_TypeDonneesCpt8=Cpt_Index,Tab_Compteur_8[[#This Row],[Index]]-E71,Tab_Compteur_8[[#This Row],[Quantité]])/Tab_Compteur_8[[#This Row],[Delta Jour]],"")&lt;0,"",IFERROR(IF(Str_TypeDonneesCpt8=Cpt_Index,Tab_Compteur_8[[#This Row],[Index]]-E71,Tab_Compteur_8[[#This Row],[Quantité]])/Tab_Compteur_8[[#This Row],[Delta Jour]],""))</f>
        <v/>
      </c>
      <c r="H72" s="177" t="str">
        <f>IFERROR(Tab_Compteur_8[[#This Row],[Montant]]/Tab_Compteur_8[[#This Row],[Delta Jour]],"")</f>
        <v/>
      </c>
      <c r="I72" s="184" t="str">
        <f>IF(SUM(Tab_Compteur_8[[#This Row],[Quantité]],Tab_Compteur_8[[#This Row],[Index]])&lt;=0,"",G72)</f>
        <v/>
      </c>
      <c r="J72" s="185"/>
      <c r="K72" s="36"/>
      <c r="L72" s="36"/>
      <c r="M72" s="36"/>
    </row>
    <row r="73" spans="1:13">
      <c r="A73" s="421">
        <f t="shared" si="3"/>
        <v>1</v>
      </c>
      <c r="B73" s="501"/>
      <c r="C73" s="178"/>
      <c r="D73" s="491"/>
      <c r="E73" s="502"/>
      <c r="F73" s="177">
        <f t="shared" si="2"/>
        <v>0</v>
      </c>
      <c r="G73" s="177" t="str">
        <f>IF(IFERROR(IF(Str_TypeDonneesCpt8=Cpt_Index,Tab_Compteur_8[[#This Row],[Index]]-E72,Tab_Compteur_8[[#This Row],[Quantité]])/Tab_Compteur_8[[#This Row],[Delta Jour]],"")&lt;0,"",IFERROR(IF(Str_TypeDonneesCpt8=Cpt_Index,Tab_Compteur_8[[#This Row],[Index]]-E72,Tab_Compteur_8[[#This Row],[Quantité]])/Tab_Compteur_8[[#This Row],[Delta Jour]],""))</f>
        <v/>
      </c>
      <c r="H73" s="177" t="str">
        <f>IFERROR(Tab_Compteur_8[[#This Row],[Montant]]/Tab_Compteur_8[[#This Row],[Delta Jour]],"")</f>
        <v/>
      </c>
      <c r="I73" s="184" t="str">
        <f>IF(SUM(Tab_Compteur_8[[#This Row],[Quantité]],Tab_Compteur_8[[#This Row],[Index]])&lt;=0,"",G73)</f>
        <v/>
      </c>
      <c r="J73" s="185"/>
      <c r="K73" s="36"/>
      <c r="L73" s="36"/>
      <c r="M73" s="36"/>
    </row>
    <row r="74" spans="1:13">
      <c r="A74" s="421">
        <f t="shared" si="3"/>
        <v>1</v>
      </c>
      <c r="B74" s="501"/>
      <c r="C74" s="178"/>
      <c r="D74" s="491"/>
      <c r="E74" s="502"/>
      <c r="F74" s="177">
        <f t="shared" si="2"/>
        <v>0</v>
      </c>
      <c r="G74" s="177" t="str">
        <f>IF(IFERROR(IF(Str_TypeDonneesCpt8=Cpt_Index,Tab_Compteur_8[[#This Row],[Index]]-E73,Tab_Compteur_8[[#This Row],[Quantité]])/Tab_Compteur_8[[#This Row],[Delta Jour]],"")&lt;0,"",IFERROR(IF(Str_TypeDonneesCpt8=Cpt_Index,Tab_Compteur_8[[#This Row],[Index]]-E73,Tab_Compteur_8[[#This Row],[Quantité]])/Tab_Compteur_8[[#This Row],[Delta Jour]],""))</f>
        <v/>
      </c>
      <c r="H74" s="177" t="str">
        <f>IFERROR(Tab_Compteur_8[[#This Row],[Montant]]/Tab_Compteur_8[[#This Row],[Delta Jour]],"")</f>
        <v/>
      </c>
      <c r="I74" s="184" t="str">
        <f>IF(SUM(Tab_Compteur_8[[#This Row],[Quantité]],Tab_Compteur_8[[#This Row],[Index]])&lt;=0,"",G74)</f>
        <v/>
      </c>
      <c r="J74" s="185"/>
      <c r="K74" s="36"/>
      <c r="L74" s="36"/>
      <c r="M74" s="36"/>
    </row>
    <row r="75" spans="1:13">
      <c r="A75" s="421">
        <f t="shared" si="3"/>
        <v>1</v>
      </c>
      <c r="B75" s="501"/>
      <c r="C75" s="178"/>
      <c r="D75" s="491"/>
      <c r="E75" s="502"/>
      <c r="F75" s="177">
        <f t="shared" si="2"/>
        <v>0</v>
      </c>
      <c r="G75" s="177" t="str">
        <f>IF(IFERROR(IF(Str_TypeDonneesCpt8=Cpt_Index,Tab_Compteur_8[[#This Row],[Index]]-E74,Tab_Compteur_8[[#This Row],[Quantité]])/Tab_Compteur_8[[#This Row],[Delta Jour]],"")&lt;0,"",IFERROR(IF(Str_TypeDonneesCpt8=Cpt_Index,Tab_Compteur_8[[#This Row],[Index]]-E74,Tab_Compteur_8[[#This Row],[Quantité]])/Tab_Compteur_8[[#This Row],[Delta Jour]],""))</f>
        <v/>
      </c>
      <c r="H75" s="177" t="str">
        <f>IFERROR(Tab_Compteur_8[[#This Row],[Montant]]/Tab_Compteur_8[[#This Row],[Delta Jour]],"")</f>
        <v/>
      </c>
      <c r="I75" s="184" t="str">
        <f>IF(SUM(Tab_Compteur_8[[#This Row],[Quantité]],Tab_Compteur_8[[#This Row],[Index]])&lt;=0,"",G75)</f>
        <v/>
      </c>
      <c r="J75" s="185"/>
      <c r="K75" s="36"/>
      <c r="L75" s="36"/>
      <c r="M75" s="36"/>
    </row>
    <row r="76" spans="1:13">
      <c r="A76" s="421">
        <f t="shared" si="3"/>
        <v>1</v>
      </c>
      <c r="B76" s="501"/>
      <c r="C76" s="178"/>
      <c r="D76" s="491"/>
      <c r="E76" s="502"/>
      <c r="F76" s="177">
        <f t="shared" si="2"/>
        <v>0</v>
      </c>
      <c r="G76" s="177" t="str">
        <f>IF(IFERROR(IF(Str_TypeDonneesCpt8=Cpt_Index,Tab_Compteur_8[[#This Row],[Index]]-E75,Tab_Compteur_8[[#This Row],[Quantité]])/Tab_Compteur_8[[#This Row],[Delta Jour]],"")&lt;0,"",IFERROR(IF(Str_TypeDonneesCpt8=Cpt_Index,Tab_Compteur_8[[#This Row],[Index]]-E75,Tab_Compteur_8[[#This Row],[Quantité]])/Tab_Compteur_8[[#This Row],[Delta Jour]],""))</f>
        <v/>
      </c>
      <c r="H76" s="177" t="str">
        <f>IFERROR(Tab_Compteur_8[[#This Row],[Montant]]/Tab_Compteur_8[[#This Row],[Delta Jour]],"")</f>
        <v/>
      </c>
      <c r="I76" s="184" t="str">
        <f>IF(SUM(Tab_Compteur_8[[#This Row],[Quantité]],Tab_Compteur_8[[#This Row],[Index]])&lt;=0,"",G76)</f>
        <v/>
      </c>
      <c r="J76" s="185"/>
      <c r="K76" s="36"/>
      <c r="L76" s="36"/>
      <c r="M76" s="36"/>
    </row>
    <row r="77" spans="1:13">
      <c r="A77" s="421">
        <f t="shared" si="3"/>
        <v>1</v>
      </c>
      <c r="B77" s="501"/>
      <c r="C77" s="178"/>
      <c r="D77" s="491"/>
      <c r="E77" s="502"/>
      <c r="F77" s="177">
        <f t="shared" si="2"/>
        <v>0</v>
      </c>
      <c r="G77" s="177" t="str">
        <f>IF(IFERROR(IF(Str_TypeDonneesCpt8=Cpt_Index,Tab_Compteur_8[[#This Row],[Index]]-E76,Tab_Compteur_8[[#This Row],[Quantité]])/Tab_Compteur_8[[#This Row],[Delta Jour]],"")&lt;0,"",IFERROR(IF(Str_TypeDonneesCpt8=Cpt_Index,Tab_Compteur_8[[#This Row],[Index]]-E76,Tab_Compteur_8[[#This Row],[Quantité]])/Tab_Compteur_8[[#This Row],[Delta Jour]],""))</f>
        <v/>
      </c>
      <c r="H77" s="177" t="str">
        <f>IFERROR(Tab_Compteur_8[[#This Row],[Montant]]/Tab_Compteur_8[[#This Row],[Delta Jour]],"")</f>
        <v/>
      </c>
      <c r="I77" s="184" t="str">
        <f>IF(SUM(Tab_Compteur_8[[#This Row],[Quantité]],Tab_Compteur_8[[#This Row],[Index]])&lt;=0,"",G77)</f>
        <v/>
      </c>
      <c r="J77" s="185"/>
      <c r="K77" s="36"/>
      <c r="L77" s="36"/>
      <c r="M77" s="36"/>
    </row>
    <row r="78" spans="1:13">
      <c r="A78" s="421">
        <f t="shared" si="3"/>
        <v>1</v>
      </c>
      <c r="B78" s="501"/>
      <c r="C78" s="178"/>
      <c r="D78" s="491"/>
      <c r="E78" s="502"/>
      <c r="F78" s="177">
        <f t="shared" si="2"/>
        <v>0</v>
      </c>
      <c r="G78" s="177" t="str">
        <f>IF(IFERROR(IF(Str_TypeDonneesCpt8=Cpt_Index,Tab_Compteur_8[[#This Row],[Index]]-E77,Tab_Compteur_8[[#This Row],[Quantité]])/Tab_Compteur_8[[#This Row],[Delta Jour]],"")&lt;0,"",IFERROR(IF(Str_TypeDonneesCpt8=Cpt_Index,Tab_Compteur_8[[#This Row],[Index]]-E77,Tab_Compteur_8[[#This Row],[Quantité]])/Tab_Compteur_8[[#This Row],[Delta Jour]],""))</f>
        <v/>
      </c>
      <c r="H78" s="177" t="str">
        <f>IFERROR(Tab_Compteur_8[[#This Row],[Montant]]/Tab_Compteur_8[[#This Row],[Delta Jour]],"")</f>
        <v/>
      </c>
      <c r="I78" s="184" t="str">
        <f>IF(SUM(Tab_Compteur_8[[#This Row],[Quantité]],Tab_Compteur_8[[#This Row],[Index]])&lt;=0,"",G78)</f>
        <v/>
      </c>
      <c r="J78" s="185"/>
      <c r="K78" s="36"/>
      <c r="L78" s="36"/>
      <c r="M78" s="36"/>
    </row>
    <row r="79" spans="1:13">
      <c r="A79" s="421">
        <f t="shared" si="3"/>
        <v>1</v>
      </c>
      <c r="B79" s="501"/>
      <c r="C79" s="178"/>
      <c r="D79" s="491"/>
      <c r="E79" s="502"/>
      <c r="F79" s="177">
        <f t="shared" si="2"/>
        <v>0</v>
      </c>
      <c r="G79" s="177" t="str">
        <f>IF(IFERROR(IF(Str_TypeDonneesCpt8=Cpt_Index,Tab_Compteur_8[[#This Row],[Index]]-E78,Tab_Compteur_8[[#This Row],[Quantité]])/Tab_Compteur_8[[#This Row],[Delta Jour]],"")&lt;0,"",IFERROR(IF(Str_TypeDonneesCpt8=Cpt_Index,Tab_Compteur_8[[#This Row],[Index]]-E78,Tab_Compteur_8[[#This Row],[Quantité]])/Tab_Compteur_8[[#This Row],[Delta Jour]],""))</f>
        <v/>
      </c>
      <c r="H79" s="177" t="str">
        <f>IFERROR(Tab_Compteur_8[[#This Row],[Montant]]/Tab_Compteur_8[[#This Row],[Delta Jour]],"")</f>
        <v/>
      </c>
      <c r="I79" s="184" t="str">
        <f>IF(SUM(Tab_Compteur_8[[#This Row],[Quantité]],Tab_Compteur_8[[#This Row],[Index]])&lt;=0,"",G79)</f>
        <v/>
      </c>
      <c r="J79" s="185"/>
      <c r="K79" s="36"/>
      <c r="L79" s="36"/>
      <c r="M79" s="36"/>
    </row>
    <row r="80" spans="1:13">
      <c r="A80" s="421">
        <f t="shared" si="3"/>
        <v>1</v>
      </c>
      <c r="B80" s="501"/>
      <c r="C80" s="178"/>
      <c r="D80" s="491"/>
      <c r="E80" s="502"/>
      <c r="F80" s="177">
        <f t="shared" si="2"/>
        <v>0</v>
      </c>
      <c r="G80" s="177" t="str">
        <f>IF(IFERROR(IF(Str_TypeDonneesCpt8=Cpt_Index,Tab_Compteur_8[[#This Row],[Index]]-E79,Tab_Compteur_8[[#This Row],[Quantité]])/Tab_Compteur_8[[#This Row],[Delta Jour]],"")&lt;0,"",IFERROR(IF(Str_TypeDonneesCpt8=Cpt_Index,Tab_Compteur_8[[#This Row],[Index]]-E79,Tab_Compteur_8[[#This Row],[Quantité]])/Tab_Compteur_8[[#This Row],[Delta Jour]],""))</f>
        <v/>
      </c>
      <c r="H80" s="177" t="str">
        <f>IFERROR(Tab_Compteur_8[[#This Row],[Montant]]/Tab_Compteur_8[[#This Row],[Delta Jour]],"")</f>
        <v/>
      </c>
      <c r="I80" s="184" t="str">
        <f>IF(SUM(Tab_Compteur_8[[#This Row],[Quantité]],Tab_Compteur_8[[#This Row],[Index]])&lt;=0,"",G80)</f>
        <v/>
      </c>
      <c r="J80" s="185"/>
      <c r="K80" s="36"/>
      <c r="L80" s="36"/>
      <c r="M80" s="36"/>
    </row>
    <row r="81" spans="1:13">
      <c r="A81" s="421">
        <f t="shared" si="3"/>
        <v>1</v>
      </c>
      <c r="B81" s="501"/>
      <c r="C81" s="178"/>
      <c r="D81" s="491"/>
      <c r="E81" s="502"/>
      <c r="F81" s="177">
        <f t="shared" si="2"/>
        <v>0</v>
      </c>
      <c r="G81" s="177" t="str">
        <f>IF(IFERROR(IF(Str_TypeDonneesCpt8=Cpt_Index,Tab_Compteur_8[[#This Row],[Index]]-E80,Tab_Compteur_8[[#This Row],[Quantité]])/Tab_Compteur_8[[#This Row],[Delta Jour]],"")&lt;0,"",IFERROR(IF(Str_TypeDonneesCpt8=Cpt_Index,Tab_Compteur_8[[#This Row],[Index]]-E80,Tab_Compteur_8[[#This Row],[Quantité]])/Tab_Compteur_8[[#This Row],[Delta Jour]],""))</f>
        <v/>
      </c>
      <c r="H81" s="177" t="str">
        <f>IFERROR(Tab_Compteur_8[[#This Row],[Montant]]/Tab_Compteur_8[[#This Row],[Delta Jour]],"")</f>
        <v/>
      </c>
      <c r="I81" s="184" t="str">
        <f>IF(SUM(Tab_Compteur_8[[#This Row],[Quantité]],Tab_Compteur_8[[#This Row],[Index]])&lt;=0,"",G81)</f>
        <v/>
      </c>
      <c r="J81" s="185"/>
      <c r="K81" s="36"/>
      <c r="L81" s="36"/>
      <c r="M81" s="36"/>
    </row>
    <row r="82" spans="1:13">
      <c r="A82" s="421">
        <f t="shared" si="3"/>
        <v>1</v>
      </c>
      <c r="B82" s="501"/>
      <c r="C82" s="178"/>
      <c r="D82" s="491"/>
      <c r="E82" s="502"/>
      <c r="F82" s="177">
        <f t="shared" si="2"/>
        <v>0</v>
      </c>
      <c r="G82" s="177" t="str">
        <f>IF(IFERROR(IF(Str_TypeDonneesCpt8=Cpt_Index,Tab_Compteur_8[[#This Row],[Index]]-E81,Tab_Compteur_8[[#This Row],[Quantité]])/Tab_Compteur_8[[#This Row],[Delta Jour]],"")&lt;0,"",IFERROR(IF(Str_TypeDonneesCpt8=Cpt_Index,Tab_Compteur_8[[#This Row],[Index]]-E81,Tab_Compteur_8[[#This Row],[Quantité]])/Tab_Compteur_8[[#This Row],[Delta Jour]],""))</f>
        <v/>
      </c>
      <c r="H82" s="177" t="str">
        <f>IFERROR(Tab_Compteur_8[[#This Row],[Montant]]/Tab_Compteur_8[[#This Row],[Delta Jour]],"")</f>
        <v/>
      </c>
      <c r="I82" s="184" t="str">
        <f>IF(SUM(Tab_Compteur_8[[#This Row],[Quantité]],Tab_Compteur_8[[#This Row],[Index]])&lt;=0,"",G82)</f>
        <v/>
      </c>
      <c r="J82" s="185"/>
      <c r="K82" s="36"/>
      <c r="L82" s="36"/>
      <c r="M82" s="36"/>
    </row>
    <row r="83" spans="1:13">
      <c r="A83" s="421">
        <f t="shared" si="3"/>
        <v>1</v>
      </c>
      <c r="B83" s="501"/>
      <c r="C83" s="178"/>
      <c r="D83" s="491"/>
      <c r="E83" s="502"/>
      <c r="F83" s="177">
        <f t="shared" si="2"/>
        <v>0</v>
      </c>
      <c r="G83" s="177" t="str">
        <f>IF(IFERROR(IF(Str_TypeDonneesCpt8=Cpt_Index,Tab_Compteur_8[[#This Row],[Index]]-E82,Tab_Compteur_8[[#This Row],[Quantité]])/Tab_Compteur_8[[#This Row],[Delta Jour]],"")&lt;0,"",IFERROR(IF(Str_TypeDonneesCpt8=Cpt_Index,Tab_Compteur_8[[#This Row],[Index]]-E82,Tab_Compteur_8[[#This Row],[Quantité]])/Tab_Compteur_8[[#This Row],[Delta Jour]],""))</f>
        <v/>
      </c>
      <c r="H83" s="177" t="str">
        <f>IFERROR(Tab_Compteur_8[[#This Row],[Montant]]/Tab_Compteur_8[[#This Row],[Delta Jour]],"")</f>
        <v/>
      </c>
      <c r="I83" s="184" t="str">
        <f>IF(SUM(Tab_Compteur_8[[#This Row],[Quantité]],Tab_Compteur_8[[#This Row],[Index]])&lt;=0,"",G83)</f>
        <v/>
      </c>
      <c r="J83" s="185"/>
      <c r="K83" s="36"/>
      <c r="L83" s="36"/>
      <c r="M83" s="36"/>
    </row>
    <row r="84" spans="1:13">
      <c r="A84" s="421">
        <f t="shared" si="3"/>
        <v>1</v>
      </c>
      <c r="B84" s="501"/>
      <c r="C84" s="178"/>
      <c r="D84" s="491"/>
      <c r="E84" s="502"/>
      <c r="F84" s="177">
        <f t="shared" si="2"/>
        <v>0</v>
      </c>
      <c r="G84" s="177" t="str">
        <f>IF(IFERROR(IF(Str_TypeDonneesCpt8=Cpt_Index,Tab_Compteur_8[[#This Row],[Index]]-E83,Tab_Compteur_8[[#This Row],[Quantité]])/Tab_Compteur_8[[#This Row],[Delta Jour]],"")&lt;0,"",IFERROR(IF(Str_TypeDonneesCpt8=Cpt_Index,Tab_Compteur_8[[#This Row],[Index]]-E83,Tab_Compteur_8[[#This Row],[Quantité]])/Tab_Compteur_8[[#This Row],[Delta Jour]],""))</f>
        <v/>
      </c>
      <c r="H84" s="177" t="str">
        <f>IFERROR(Tab_Compteur_8[[#This Row],[Montant]]/Tab_Compteur_8[[#This Row],[Delta Jour]],"")</f>
        <v/>
      </c>
      <c r="I84" s="184" t="str">
        <f>IF(SUM(Tab_Compteur_8[[#This Row],[Quantité]],Tab_Compteur_8[[#This Row],[Index]])&lt;=0,"",G84)</f>
        <v/>
      </c>
      <c r="J84" s="185"/>
      <c r="K84" s="36"/>
      <c r="L84" s="36"/>
      <c r="M84" s="36"/>
    </row>
    <row r="85" spans="1:13">
      <c r="A85" s="421">
        <f t="shared" si="3"/>
        <v>1</v>
      </c>
      <c r="B85" s="501"/>
      <c r="C85" s="178"/>
      <c r="D85" s="491"/>
      <c r="E85" s="502"/>
      <c r="F85" s="177">
        <f t="shared" si="2"/>
        <v>0</v>
      </c>
      <c r="G85" s="177" t="str">
        <f>IF(IFERROR(IF(Str_TypeDonneesCpt8=Cpt_Index,Tab_Compteur_8[[#This Row],[Index]]-E84,Tab_Compteur_8[[#This Row],[Quantité]])/Tab_Compteur_8[[#This Row],[Delta Jour]],"")&lt;0,"",IFERROR(IF(Str_TypeDonneesCpt8=Cpt_Index,Tab_Compteur_8[[#This Row],[Index]]-E84,Tab_Compteur_8[[#This Row],[Quantité]])/Tab_Compteur_8[[#This Row],[Delta Jour]],""))</f>
        <v/>
      </c>
      <c r="H85" s="177" t="str">
        <f>IFERROR(Tab_Compteur_8[[#This Row],[Montant]]/Tab_Compteur_8[[#This Row],[Delta Jour]],"")</f>
        <v/>
      </c>
      <c r="I85" s="184" t="str">
        <f>IF(SUM(Tab_Compteur_8[[#This Row],[Quantité]],Tab_Compteur_8[[#This Row],[Index]])&lt;=0,"",G85)</f>
        <v/>
      </c>
      <c r="J85" s="185"/>
      <c r="K85" s="36"/>
      <c r="L85" s="36"/>
      <c r="M85" s="36"/>
    </row>
    <row r="86" spans="1:13">
      <c r="A86" s="421">
        <f t="shared" si="3"/>
        <v>1</v>
      </c>
      <c r="B86" s="501"/>
      <c r="C86" s="178"/>
      <c r="D86" s="491"/>
      <c r="E86" s="502"/>
      <c r="F86" s="177">
        <f t="shared" si="2"/>
        <v>0</v>
      </c>
      <c r="G86" s="177" t="str">
        <f>IF(IFERROR(IF(Str_TypeDonneesCpt8=Cpt_Index,Tab_Compteur_8[[#This Row],[Index]]-E85,Tab_Compteur_8[[#This Row],[Quantité]])/Tab_Compteur_8[[#This Row],[Delta Jour]],"")&lt;0,"",IFERROR(IF(Str_TypeDonneesCpt8=Cpt_Index,Tab_Compteur_8[[#This Row],[Index]]-E85,Tab_Compteur_8[[#This Row],[Quantité]])/Tab_Compteur_8[[#This Row],[Delta Jour]],""))</f>
        <v/>
      </c>
      <c r="H86" s="177" t="str">
        <f>IFERROR(Tab_Compteur_8[[#This Row],[Montant]]/Tab_Compteur_8[[#This Row],[Delta Jour]],"")</f>
        <v/>
      </c>
      <c r="I86" s="184" t="str">
        <f>IF(SUM(Tab_Compteur_8[[#This Row],[Quantité]],Tab_Compteur_8[[#This Row],[Index]])&lt;=0,"",G86)</f>
        <v/>
      </c>
      <c r="J86" s="185"/>
      <c r="K86" s="36"/>
      <c r="L86" s="36"/>
      <c r="M86" s="36"/>
    </row>
    <row r="87" spans="1:13">
      <c r="A87" s="421">
        <f t="shared" si="3"/>
        <v>1</v>
      </c>
      <c r="B87" s="501"/>
      <c r="C87" s="178"/>
      <c r="D87" s="491"/>
      <c r="E87" s="502"/>
      <c r="F87" s="177">
        <f t="shared" si="2"/>
        <v>0</v>
      </c>
      <c r="G87" s="177" t="str">
        <f>IF(IFERROR(IF(Str_TypeDonneesCpt8=Cpt_Index,Tab_Compteur_8[[#This Row],[Index]]-E86,Tab_Compteur_8[[#This Row],[Quantité]])/Tab_Compteur_8[[#This Row],[Delta Jour]],"")&lt;0,"",IFERROR(IF(Str_TypeDonneesCpt8=Cpt_Index,Tab_Compteur_8[[#This Row],[Index]]-E86,Tab_Compteur_8[[#This Row],[Quantité]])/Tab_Compteur_8[[#This Row],[Delta Jour]],""))</f>
        <v/>
      </c>
      <c r="H87" s="177" t="str">
        <f>IFERROR(Tab_Compteur_8[[#This Row],[Montant]]/Tab_Compteur_8[[#This Row],[Delta Jour]],"")</f>
        <v/>
      </c>
      <c r="I87" s="184" t="str">
        <f>IF(SUM(Tab_Compteur_8[[#This Row],[Quantité]],Tab_Compteur_8[[#This Row],[Index]])&lt;=0,"",G87)</f>
        <v/>
      </c>
      <c r="J87" s="185"/>
      <c r="K87" s="36"/>
      <c r="L87" s="36"/>
      <c r="M87" s="36"/>
    </row>
    <row r="88" spans="1:13">
      <c r="A88" s="421">
        <f t="shared" si="3"/>
        <v>1</v>
      </c>
      <c r="B88" s="501"/>
      <c r="C88" s="178"/>
      <c r="D88" s="491"/>
      <c r="E88" s="502"/>
      <c r="F88" s="177">
        <f t="shared" si="2"/>
        <v>0</v>
      </c>
      <c r="G88" s="177" t="str">
        <f>IF(IFERROR(IF(Str_TypeDonneesCpt8=Cpt_Index,Tab_Compteur_8[[#This Row],[Index]]-E87,Tab_Compteur_8[[#This Row],[Quantité]])/Tab_Compteur_8[[#This Row],[Delta Jour]],"")&lt;0,"",IFERROR(IF(Str_TypeDonneesCpt8=Cpt_Index,Tab_Compteur_8[[#This Row],[Index]]-E87,Tab_Compteur_8[[#This Row],[Quantité]])/Tab_Compteur_8[[#This Row],[Delta Jour]],""))</f>
        <v/>
      </c>
      <c r="H88" s="177" t="str">
        <f>IFERROR(Tab_Compteur_8[[#This Row],[Montant]]/Tab_Compteur_8[[#This Row],[Delta Jour]],"")</f>
        <v/>
      </c>
      <c r="I88" s="184" t="str">
        <f>IF(SUM(Tab_Compteur_8[[#This Row],[Quantité]],Tab_Compteur_8[[#This Row],[Index]])&lt;=0,"",G88)</f>
        <v/>
      </c>
      <c r="J88" s="185"/>
      <c r="K88" s="36"/>
      <c r="L88" s="36"/>
      <c r="M88" s="36"/>
    </row>
    <row r="89" spans="1:13">
      <c r="A89" s="421">
        <f t="shared" si="3"/>
        <v>1</v>
      </c>
      <c r="B89" s="501"/>
      <c r="C89" s="178"/>
      <c r="D89" s="491"/>
      <c r="E89" s="502"/>
      <c r="F89" s="177">
        <f t="shared" si="2"/>
        <v>0</v>
      </c>
      <c r="G89" s="177" t="str">
        <f>IF(IFERROR(IF(Str_TypeDonneesCpt8=Cpt_Index,Tab_Compteur_8[[#This Row],[Index]]-E88,Tab_Compteur_8[[#This Row],[Quantité]])/Tab_Compteur_8[[#This Row],[Delta Jour]],"")&lt;0,"",IFERROR(IF(Str_TypeDonneesCpt8=Cpt_Index,Tab_Compteur_8[[#This Row],[Index]]-E88,Tab_Compteur_8[[#This Row],[Quantité]])/Tab_Compteur_8[[#This Row],[Delta Jour]],""))</f>
        <v/>
      </c>
      <c r="H89" s="177" t="str">
        <f>IFERROR(Tab_Compteur_8[[#This Row],[Montant]]/Tab_Compteur_8[[#This Row],[Delta Jour]],"")</f>
        <v/>
      </c>
      <c r="I89" s="184" t="str">
        <f>IF(SUM(Tab_Compteur_8[[#This Row],[Quantité]],Tab_Compteur_8[[#This Row],[Index]])&lt;=0,"",G89)</f>
        <v/>
      </c>
      <c r="J89" s="185"/>
      <c r="K89" s="36"/>
      <c r="L89" s="36"/>
      <c r="M89" s="36"/>
    </row>
    <row r="90" spans="1:13">
      <c r="A90" s="421">
        <f t="shared" si="3"/>
        <v>1</v>
      </c>
      <c r="B90" s="501"/>
      <c r="C90" s="178"/>
      <c r="D90" s="491"/>
      <c r="E90" s="502"/>
      <c r="F90" s="177">
        <f t="shared" si="2"/>
        <v>0</v>
      </c>
      <c r="G90" s="177" t="str">
        <f>IF(IFERROR(IF(Str_TypeDonneesCpt8=Cpt_Index,Tab_Compteur_8[[#This Row],[Index]]-E89,Tab_Compteur_8[[#This Row],[Quantité]])/Tab_Compteur_8[[#This Row],[Delta Jour]],"")&lt;0,"",IFERROR(IF(Str_TypeDonneesCpt8=Cpt_Index,Tab_Compteur_8[[#This Row],[Index]]-E89,Tab_Compteur_8[[#This Row],[Quantité]])/Tab_Compteur_8[[#This Row],[Delta Jour]],""))</f>
        <v/>
      </c>
      <c r="H90" s="177" t="str">
        <f>IFERROR(Tab_Compteur_8[[#This Row],[Montant]]/Tab_Compteur_8[[#This Row],[Delta Jour]],"")</f>
        <v/>
      </c>
      <c r="I90" s="184" t="str">
        <f>IF(SUM(Tab_Compteur_8[[#This Row],[Quantité]],Tab_Compteur_8[[#This Row],[Index]])&lt;=0,"",G90)</f>
        <v/>
      </c>
      <c r="J90" s="185"/>
      <c r="K90" s="36"/>
      <c r="L90" s="36"/>
      <c r="M90" s="36"/>
    </row>
    <row r="91" spans="1:13">
      <c r="A91" s="421">
        <f t="shared" si="3"/>
        <v>1</v>
      </c>
      <c r="B91" s="501"/>
      <c r="C91" s="178"/>
      <c r="D91" s="491"/>
      <c r="E91" s="502"/>
      <c r="F91" s="177">
        <f t="shared" si="2"/>
        <v>0</v>
      </c>
      <c r="G91" s="177" t="str">
        <f>IF(IFERROR(IF(Str_TypeDonneesCpt8=Cpt_Index,Tab_Compteur_8[[#This Row],[Index]]-E90,Tab_Compteur_8[[#This Row],[Quantité]])/Tab_Compteur_8[[#This Row],[Delta Jour]],"")&lt;0,"",IFERROR(IF(Str_TypeDonneesCpt8=Cpt_Index,Tab_Compteur_8[[#This Row],[Index]]-E90,Tab_Compteur_8[[#This Row],[Quantité]])/Tab_Compteur_8[[#This Row],[Delta Jour]],""))</f>
        <v/>
      </c>
      <c r="H91" s="177" t="str">
        <f>IFERROR(Tab_Compteur_8[[#This Row],[Montant]]/Tab_Compteur_8[[#This Row],[Delta Jour]],"")</f>
        <v/>
      </c>
      <c r="I91" s="184" t="str">
        <f>IF(SUM(Tab_Compteur_8[[#This Row],[Quantité]],Tab_Compteur_8[[#This Row],[Index]])&lt;=0,"",G91)</f>
        <v/>
      </c>
      <c r="J91" s="185"/>
      <c r="K91" s="36"/>
      <c r="L91" s="36"/>
      <c r="M91" s="36"/>
    </row>
    <row r="92" spans="1:13">
      <c r="A92" s="421">
        <f t="shared" si="3"/>
        <v>1</v>
      </c>
      <c r="B92" s="501"/>
      <c r="C92" s="178"/>
      <c r="D92" s="491"/>
      <c r="E92" s="502"/>
      <c r="F92" s="177">
        <f t="shared" si="2"/>
        <v>0</v>
      </c>
      <c r="G92" s="177" t="str">
        <f>IF(IFERROR(IF(Str_TypeDonneesCpt8=Cpt_Index,Tab_Compteur_8[[#This Row],[Index]]-E91,Tab_Compteur_8[[#This Row],[Quantité]])/Tab_Compteur_8[[#This Row],[Delta Jour]],"")&lt;0,"",IFERROR(IF(Str_TypeDonneesCpt8=Cpt_Index,Tab_Compteur_8[[#This Row],[Index]]-E91,Tab_Compteur_8[[#This Row],[Quantité]])/Tab_Compteur_8[[#This Row],[Delta Jour]],""))</f>
        <v/>
      </c>
      <c r="H92" s="177" t="str">
        <f>IFERROR(Tab_Compteur_8[[#This Row],[Montant]]/Tab_Compteur_8[[#This Row],[Delta Jour]],"")</f>
        <v/>
      </c>
      <c r="I92" s="184" t="str">
        <f>IF(SUM(Tab_Compteur_8[[#This Row],[Quantité]],Tab_Compteur_8[[#This Row],[Index]])&lt;=0,"",G92)</f>
        <v/>
      </c>
      <c r="J92" s="185"/>
      <c r="K92" s="36"/>
      <c r="L92" s="36"/>
      <c r="M92" s="36"/>
    </row>
    <row r="93" spans="1:13">
      <c r="A93" s="421">
        <f t="shared" si="3"/>
        <v>1</v>
      </c>
      <c r="B93" s="501"/>
      <c r="C93" s="178"/>
      <c r="D93" s="491"/>
      <c r="E93" s="502"/>
      <c r="F93" s="177">
        <f t="shared" si="2"/>
        <v>0</v>
      </c>
      <c r="G93" s="177" t="str">
        <f>IF(IFERROR(IF(Str_TypeDonneesCpt8=Cpt_Index,Tab_Compteur_8[[#This Row],[Index]]-E92,Tab_Compteur_8[[#This Row],[Quantité]])/Tab_Compteur_8[[#This Row],[Delta Jour]],"")&lt;0,"",IFERROR(IF(Str_TypeDonneesCpt8=Cpt_Index,Tab_Compteur_8[[#This Row],[Index]]-E92,Tab_Compteur_8[[#This Row],[Quantité]])/Tab_Compteur_8[[#This Row],[Delta Jour]],""))</f>
        <v/>
      </c>
      <c r="H93" s="177" t="str">
        <f>IFERROR(Tab_Compteur_8[[#This Row],[Montant]]/Tab_Compteur_8[[#This Row],[Delta Jour]],"")</f>
        <v/>
      </c>
      <c r="I93" s="184" t="str">
        <f>IF(SUM(Tab_Compteur_8[[#This Row],[Quantité]],Tab_Compteur_8[[#This Row],[Index]])&lt;=0,"",G93)</f>
        <v/>
      </c>
      <c r="J93" s="185"/>
      <c r="K93" s="36"/>
      <c r="L93" s="36"/>
      <c r="M93" s="36"/>
    </row>
    <row r="94" spans="1:13">
      <c r="A94" s="421">
        <f t="shared" si="3"/>
        <v>1</v>
      </c>
      <c r="B94" s="501"/>
      <c r="C94" s="178"/>
      <c r="D94" s="491"/>
      <c r="E94" s="502"/>
      <c r="F94" s="177">
        <f t="shared" si="2"/>
        <v>0</v>
      </c>
      <c r="G94" s="177" t="str">
        <f>IF(IFERROR(IF(Str_TypeDonneesCpt8=Cpt_Index,Tab_Compteur_8[[#This Row],[Index]]-E93,Tab_Compteur_8[[#This Row],[Quantité]])/Tab_Compteur_8[[#This Row],[Delta Jour]],"")&lt;0,"",IFERROR(IF(Str_TypeDonneesCpt8=Cpt_Index,Tab_Compteur_8[[#This Row],[Index]]-E93,Tab_Compteur_8[[#This Row],[Quantité]])/Tab_Compteur_8[[#This Row],[Delta Jour]],""))</f>
        <v/>
      </c>
      <c r="H94" s="177" t="str">
        <f>IFERROR(Tab_Compteur_8[[#This Row],[Montant]]/Tab_Compteur_8[[#This Row],[Delta Jour]],"")</f>
        <v/>
      </c>
      <c r="I94" s="184" t="str">
        <f>IF(SUM(Tab_Compteur_8[[#This Row],[Quantité]],Tab_Compteur_8[[#This Row],[Index]])&lt;=0,"",G94)</f>
        <v/>
      </c>
      <c r="J94" s="185"/>
      <c r="K94" s="36"/>
      <c r="L94" s="36"/>
      <c r="M94" s="36"/>
    </row>
    <row r="95" spans="1:13">
      <c r="A95" s="421">
        <f t="shared" si="3"/>
        <v>1</v>
      </c>
      <c r="B95" s="501"/>
      <c r="C95" s="178"/>
      <c r="D95" s="491"/>
      <c r="E95" s="502"/>
      <c r="F95" s="177">
        <f t="shared" si="2"/>
        <v>0</v>
      </c>
      <c r="G95" s="177" t="str">
        <f>IF(IFERROR(IF(Str_TypeDonneesCpt8=Cpt_Index,Tab_Compteur_8[[#This Row],[Index]]-E94,Tab_Compteur_8[[#This Row],[Quantité]])/Tab_Compteur_8[[#This Row],[Delta Jour]],"")&lt;0,"",IFERROR(IF(Str_TypeDonneesCpt8=Cpt_Index,Tab_Compteur_8[[#This Row],[Index]]-E94,Tab_Compteur_8[[#This Row],[Quantité]])/Tab_Compteur_8[[#This Row],[Delta Jour]],""))</f>
        <v/>
      </c>
      <c r="H95" s="177" t="str">
        <f>IFERROR(Tab_Compteur_8[[#This Row],[Montant]]/Tab_Compteur_8[[#This Row],[Delta Jour]],"")</f>
        <v/>
      </c>
      <c r="I95" s="184" t="str">
        <f>IF(SUM(Tab_Compteur_8[[#This Row],[Quantité]],Tab_Compteur_8[[#This Row],[Index]])&lt;=0,"",G95)</f>
        <v/>
      </c>
      <c r="J95" s="185"/>
      <c r="K95" s="36"/>
      <c r="L95" s="36"/>
      <c r="M95" s="36"/>
    </row>
    <row r="96" spans="1:13">
      <c r="A96" s="421">
        <f t="shared" si="3"/>
        <v>1</v>
      </c>
      <c r="B96" s="501"/>
      <c r="C96" s="178"/>
      <c r="D96" s="491"/>
      <c r="E96" s="502"/>
      <c r="F96" s="177">
        <f t="shared" si="2"/>
        <v>0</v>
      </c>
      <c r="G96" s="177" t="str">
        <f>IF(IFERROR(IF(Str_TypeDonneesCpt8=Cpt_Index,Tab_Compteur_8[[#This Row],[Index]]-E95,Tab_Compteur_8[[#This Row],[Quantité]])/Tab_Compteur_8[[#This Row],[Delta Jour]],"")&lt;0,"",IFERROR(IF(Str_TypeDonneesCpt8=Cpt_Index,Tab_Compteur_8[[#This Row],[Index]]-E95,Tab_Compteur_8[[#This Row],[Quantité]])/Tab_Compteur_8[[#This Row],[Delta Jour]],""))</f>
        <v/>
      </c>
      <c r="H96" s="177" t="str">
        <f>IFERROR(Tab_Compteur_8[[#This Row],[Montant]]/Tab_Compteur_8[[#This Row],[Delta Jour]],"")</f>
        <v/>
      </c>
      <c r="I96" s="184" t="str">
        <f>IF(SUM(Tab_Compteur_8[[#This Row],[Quantité]],Tab_Compteur_8[[#This Row],[Index]])&lt;=0,"",G96)</f>
        <v/>
      </c>
      <c r="J96" s="185"/>
      <c r="K96" s="36"/>
      <c r="L96" s="36"/>
      <c r="M96" s="36"/>
    </row>
    <row r="97" spans="1:13">
      <c r="A97" s="421">
        <f t="shared" si="3"/>
        <v>1</v>
      </c>
      <c r="B97" s="501"/>
      <c r="C97" s="178"/>
      <c r="D97" s="491"/>
      <c r="E97" s="502"/>
      <c r="F97" s="177">
        <f t="shared" si="2"/>
        <v>0</v>
      </c>
      <c r="G97" s="177" t="str">
        <f>IF(IFERROR(IF(Str_TypeDonneesCpt8=Cpt_Index,Tab_Compteur_8[[#This Row],[Index]]-E96,Tab_Compteur_8[[#This Row],[Quantité]])/Tab_Compteur_8[[#This Row],[Delta Jour]],"")&lt;0,"",IFERROR(IF(Str_TypeDonneesCpt8=Cpt_Index,Tab_Compteur_8[[#This Row],[Index]]-E96,Tab_Compteur_8[[#This Row],[Quantité]])/Tab_Compteur_8[[#This Row],[Delta Jour]],""))</f>
        <v/>
      </c>
      <c r="H97" s="177" t="str">
        <f>IFERROR(Tab_Compteur_8[[#This Row],[Montant]]/Tab_Compteur_8[[#This Row],[Delta Jour]],"")</f>
        <v/>
      </c>
      <c r="I97" s="184" t="str">
        <f>IF(SUM(Tab_Compteur_8[[#This Row],[Quantité]],Tab_Compteur_8[[#This Row],[Index]])&lt;=0,"",G97)</f>
        <v/>
      </c>
      <c r="J97" s="185"/>
      <c r="K97" s="36"/>
      <c r="L97" s="36"/>
      <c r="M97" s="36"/>
    </row>
    <row r="98" spans="1:13">
      <c r="A98" s="421">
        <f t="shared" si="3"/>
        <v>1</v>
      </c>
      <c r="B98" s="501"/>
      <c r="C98" s="178"/>
      <c r="D98" s="491"/>
      <c r="E98" s="502"/>
      <c r="F98" s="177">
        <f t="shared" si="2"/>
        <v>0</v>
      </c>
      <c r="G98" s="177" t="str">
        <f>IF(IFERROR(IF(Str_TypeDonneesCpt8=Cpt_Index,Tab_Compteur_8[[#This Row],[Index]]-E97,Tab_Compteur_8[[#This Row],[Quantité]])/Tab_Compteur_8[[#This Row],[Delta Jour]],"")&lt;0,"",IFERROR(IF(Str_TypeDonneesCpt8=Cpt_Index,Tab_Compteur_8[[#This Row],[Index]]-E97,Tab_Compteur_8[[#This Row],[Quantité]])/Tab_Compteur_8[[#This Row],[Delta Jour]],""))</f>
        <v/>
      </c>
      <c r="H98" s="177" t="str">
        <f>IFERROR(Tab_Compteur_8[[#This Row],[Montant]]/Tab_Compteur_8[[#This Row],[Delta Jour]],"")</f>
        <v/>
      </c>
      <c r="I98" s="184" t="str">
        <f>IF(SUM(Tab_Compteur_8[[#This Row],[Quantité]],Tab_Compteur_8[[#This Row],[Index]])&lt;=0,"",G98)</f>
        <v/>
      </c>
      <c r="J98" s="185"/>
      <c r="K98" s="36"/>
      <c r="L98" s="36"/>
      <c r="M98" s="36"/>
    </row>
    <row r="99" spans="1:13">
      <c r="A99" s="421">
        <f t="shared" si="3"/>
        <v>1</v>
      </c>
      <c r="B99" s="501"/>
      <c r="C99" s="178"/>
      <c r="D99" s="491"/>
      <c r="E99" s="502"/>
      <c r="F99" s="177">
        <f t="shared" si="2"/>
        <v>0</v>
      </c>
      <c r="G99" s="177" t="str">
        <f>IF(IFERROR(IF(Str_TypeDonneesCpt8=Cpt_Index,Tab_Compteur_8[[#This Row],[Index]]-E98,Tab_Compteur_8[[#This Row],[Quantité]])/Tab_Compteur_8[[#This Row],[Delta Jour]],"")&lt;0,"",IFERROR(IF(Str_TypeDonneesCpt8=Cpt_Index,Tab_Compteur_8[[#This Row],[Index]]-E98,Tab_Compteur_8[[#This Row],[Quantité]])/Tab_Compteur_8[[#This Row],[Delta Jour]],""))</f>
        <v/>
      </c>
      <c r="H99" s="177" t="str">
        <f>IFERROR(Tab_Compteur_8[[#This Row],[Montant]]/Tab_Compteur_8[[#This Row],[Delta Jour]],"")</f>
        <v/>
      </c>
      <c r="I99" s="184" t="str">
        <f>IF(SUM(Tab_Compteur_8[[#This Row],[Quantité]],Tab_Compteur_8[[#This Row],[Index]])&lt;=0,"",G99)</f>
        <v/>
      </c>
      <c r="J99" s="185"/>
      <c r="K99" s="36"/>
      <c r="L99" s="36"/>
      <c r="M99" s="36"/>
    </row>
    <row r="100" spans="1:13">
      <c r="A100" s="421">
        <f t="shared" si="3"/>
        <v>1</v>
      </c>
      <c r="B100" s="501"/>
      <c r="C100" s="178"/>
      <c r="D100" s="491"/>
      <c r="E100" s="502"/>
      <c r="F100" s="177">
        <f t="shared" si="2"/>
        <v>0</v>
      </c>
      <c r="G100" s="177" t="str">
        <f>IF(IFERROR(IF(Str_TypeDonneesCpt8=Cpt_Index,Tab_Compteur_8[[#This Row],[Index]]-E99,Tab_Compteur_8[[#This Row],[Quantité]])/Tab_Compteur_8[[#This Row],[Delta Jour]],"")&lt;0,"",IFERROR(IF(Str_TypeDonneesCpt8=Cpt_Index,Tab_Compteur_8[[#This Row],[Index]]-E99,Tab_Compteur_8[[#This Row],[Quantité]])/Tab_Compteur_8[[#This Row],[Delta Jour]],""))</f>
        <v/>
      </c>
      <c r="H100" s="177" t="str">
        <f>IFERROR(Tab_Compteur_8[[#This Row],[Montant]]/Tab_Compteur_8[[#This Row],[Delta Jour]],"")</f>
        <v/>
      </c>
      <c r="I100" s="184" t="str">
        <f>IF(SUM(Tab_Compteur_8[[#This Row],[Quantité]],Tab_Compteur_8[[#This Row],[Index]])&lt;=0,"",G100)</f>
        <v/>
      </c>
      <c r="J100" s="185"/>
      <c r="K100" s="36"/>
      <c r="L100" s="36"/>
      <c r="M100" s="36"/>
    </row>
    <row r="101" spans="1:13">
      <c r="A101" s="421">
        <f t="shared" si="3"/>
        <v>1</v>
      </c>
      <c r="B101" s="501"/>
      <c r="C101" s="178"/>
      <c r="D101" s="491"/>
      <c r="E101" s="502"/>
      <c r="F101" s="177">
        <f t="shared" si="2"/>
        <v>0</v>
      </c>
      <c r="G101" s="177" t="str">
        <f>IF(IFERROR(IF(Str_TypeDonneesCpt8=Cpt_Index,Tab_Compteur_8[[#This Row],[Index]]-E100,Tab_Compteur_8[[#This Row],[Quantité]])/Tab_Compteur_8[[#This Row],[Delta Jour]],"")&lt;0,"",IFERROR(IF(Str_TypeDonneesCpt8=Cpt_Index,Tab_Compteur_8[[#This Row],[Index]]-E100,Tab_Compteur_8[[#This Row],[Quantité]])/Tab_Compteur_8[[#This Row],[Delta Jour]],""))</f>
        <v/>
      </c>
      <c r="H101" s="177" t="str">
        <f>IFERROR(Tab_Compteur_8[[#This Row],[Montant]]/Tab_Compteur_8[[#This Row],[Delta Jour]],"")</f>
        <v/>
      </c>
      <c r="I101" s="184" t="str">
        <f>IF(SUM(Tab_Compteur_8[[#This Row],[Quantité]],Tab_Compteur_8[[#This Row],[Index]])&lt;=0,"",G101)</f>
        <v/>
      </c>
      <c r="J101" s="185"/>
      <c r="K101" s="36"/>
      <c r="L101" s="36"/>
      <c r="M101" s="36"/>
    </row>
    <row r="102" spans="1:13">
      <c r="A102" s="421">
        <f t="shared" si="3"/>
        <v>1</v>
      </c>
      <c r="B102" s="501"/>
      <c r="C102" s="178"/>
      <c r="D102" s="491"/>
      <c r="E102" s="502"/>
      <c r="F102" s="177">
        <f t="shared" si="2"/>
        <v>0</v>
      </c>
      <c r="G102" s="177" t="str">
        <f>IF(IFERROR(IF(Str_TypeDonneesCpt8=Cpt_Index,Tab_Compteur_8[[#This Row],[Index]]-E101,Tab_Compteur_8[[#This Row],[Quantité]])/Tab_Compteur_8[[#This Row],[Delta Jour]],"")&lt;0,"",IFERROR(IF(Str_TypeDonneesCpt8=Cpt_Index,Tab_Compteur_8[[#This Row],[Index]]-E101,Tab_Compteur_8[[#This Row],[Quantité]])/Tab_Compteur_8[[#This Row],[Delta Jour]],""))</f>
        <v/>
      </c>
      <c r="H102" s="177" t="str">
        <f>IFERROR(Tab_Compteur_8[[#This Row],[Montant]]/Tab_Compteur_8[[#This Row],[Delta Jour]],"")</f>
        <v/>
      </c>
      <c r="I102" s="184" t="str">
        <f>IF(SUM(Tab_Compteur_8[[#This Row],[Quantité]],Tab_Compteur_8[[#This Row],[Index]])&lt;=0,"",G102)</f>
        <v/>
      </c>
      <c r="J102" s="185"/>
      <c r="K102" s="36"/>
      <c r="L102" s="36"/>
      <c r="M102" s="36"/>
    </row>
    <row r="103" spans="1:13">
      <c r="A103" s="421">
        <f t="shared" si="3"/>
        <v>1</v>
      </c>
      <c r="B103" s="501"/>
      <c r="C103" s="178"/>
      <c r="D103" s="491"/>
      <c r="E103" s="502"/>
      <c r="F103" s="177">
        <f t="shared" si="2"/>
        <v>0</v>
      </c>
      <c r="G103" s="177" t="str">
        <f>IF(IFERROR(IF(Str_TypeDonneesCpt8=Cpt_Index,Tab_Compteur_8[[#This Row],[Index]]-E102,Tab_Compteur_8[[#This Row],[Quantité]])/Tab_Compteur_8[[#This Row],[Delta Jour]],"")&lt;0,"",IFERROR(IF(Str_TypeDonneesCpt8=Cpt_Index,Tab_Compteur_8[[#This Row],[Index]]-E102,Tab_Compteur_8[[#This Row],[Quantité]])/Tab_Compteur_8[[#This Row],[Delta Jour]],""))</f>
        <v/>
      </c>
      <c r="H103" s="177" t="str">
        <f>IFERROR(Tab_Compteur_8[[#This Row],[Montant]]/Tab_Compteur_8[[#This Row],[Delta Jour]],"")</f>
        <v/>
      </c>
      <c r="I103" s="184" t="str">
        <f>IF(SUM(Tab_Compteur_8[[#This Row],[Quantité]],Tab_Compteur_8[[#This Row],[Index]])&lt;=0,"",G103)</f>
        <v/>
      </c>
      <c r="J103" s="185"/>
      <c r="K103" s="36"/>
      <c r="L103" s="36"/>
      <c r="M103" s="36"/>
    </row>
    <row r="104" spans="1:13">
      <c r="A104" s="421">
        <f t="shared" si="3"/>
        <v>1</v>
      </c>
      <c r="B104" s="501"/>
      <c r="C104" s="178"/>
      <c r="D104" s="491"/>
      <c r="E104" s="502"/>
      <c r="F104" s="177">
        <f t="shared" si="2"/>
        <v>0</v>
      </c>
      <c r="G104" s="177" t="str">
        <f>IF(IFERROR(IF(Str_TypeDonneesCpt8=Cpt_Index,Tab_Compteur_8[[#This Row],[Index]]-E103,Tab_Compteur_8[[#This Row],[Quantité]])/Tab_Compteur_8[[#This Row],[Delta Jour]],"")&lt;0,"",IFERROR(IF(Str_TypeDonneesCpt8=Cpt_Index,Tab_Compteur_8[[#This Row],[Index]]-E103,Tab_Compteur_8[[#This Row],[Quantité]])/Tab_Compteur_8[[#This Row],[Delta Jour]],""))</f>
        <v/>
      </c>
      <c r="H104" s="177" t="str">
        <f>IFERROR(Tab_Compteur_8[[#This Row],[Montant]]/Tab_Compteur_8[[#This Row],[Delta Jour]],"")</f>
        <v/>
      </c>
      <c r="I104" s="184" t="str">
        <f>IF(SUM(Tab_Compteur_8[[#This Row],[Quantité]],Tab_Compteur_8[[#This Row],[Index]])&lt;=0,"",G104)</f>
        <v/>
      </c>
      <c r="J104" s="185"/>
      <c r="K104" s="36"/>
      <c r="L104" s="36"/>
      <c r="M104" s="36"/>
    </row>
    <row r="105" spans="1:13">
      <c r="A105" s="421">
        <f t="shared" si="3"/>
        <v>1</v>
      </c>
      <c r="B105" s="501"/>
      <c r="C105" s="178"/>
      <c r="D105" s="491"/>
      <c r="E105" s="502"/>
      <c r="F105" s="177">
        <f t="shared" si="2"/>
        <v>0</v>
      </c>
      <c r="G105" s="177" t="str">
        <f>IF(IFERROR(IF(Str_TypeDonneesCpt8=Cpt_Index,Tab_Compteur_8[[#This Row],[Index]]-E104,Tab_Compteur_8[[#This Row],[Quantité]])/Tab_Compteur_8[[#This Row],[Delta Jour]],"")&lt;0,"",IFERROR(IF(Str_TypeDonneesCpt8=Cpt_Index,Tab_Compteur_8[[#This Row],[Index]]-E104,Tab_Compteur_8[[#This Row],[Quantité]])/Tab_Compteur_8[[#This Row],[Delta Jour]],""))</f>
        <v/>
      </c>
      <c r="H105" s="177" t="str">
        <f>IFERROR(Tab_Compteur_8[[#This Row],[Montant]]/Tab_Compteur_8[[#This Row],[Delta Jour]],"")</f>
        <v/>
      </c>
      <c r="I105" s="184" t="str">
        <f>IF(SUM(Tab_Compteur_8[[#This Row],[Quantité]],Tab_Compteur_8[[#This Row],[Index]])&lt;=0,"",G105)</f>
        <v/>
      </c>
      <c r="J105" s="185"/>
      <c r="K105" s="36"/>
      <c r="L105" s="36"/>
      <c r="M105" s="36"/>
    </row>
    <row r="106" spans="1:13">
      <c r="A106" s="421">
        <f t="shared" si="3"/>
        <v>1</v>
      </c>
      <c r="B106" s="501"/>
      <c r="C106" s="178"/>
      <c r="D106" s="491"/>
      <c r="E106" s="502"/>
      <c r="F106" s="177">
        <f t="shared" si="2"/>
        <v>0</v>
      </c>
      <c r="G106" s="177" t="str">
        <f>IF(IFERROR(IF(Str_TypeDonneesCpt8=Cpt_Index,Tab_Compteur_8[[#This Row],[Index]]-E105,Tab_Compteur_8[[#This Row],[Quantité]])/Tab_Compteur_8[[#This Row],[Delta Jour]],"")&lt;0,"",IFERROR(IF(Str_TypeDonneesCpt8=Cpt_Index,Tab_Compteur_8[[#This Row],[Index]]-E105,Tab_Compteur_8[[#This Row],[Quantité]])/Tab_Compteur_8[[#This Row],[Delta Jour]],""))</f>
        <v/>
      </c>
      <c r="H106" s="177" t="str">
        <f>IFERROR(Tab_Compteur_8[[#This Row],[Montant]]/Tab_Compteur_8[[#This Row],[Delta Jour]],"")</f>
        <v/>
      </c>
      <c r="I106" s="184" t="str">
        <f>IF(SUM(Tab_Compteur_8[[#This Row],[Quantité]],Tab_Compteur_8[[#This Row],[Index]])&lt;=0,"",G106)</f>
        <v/>
      </c>
      <c r="J106" s="185"/>
      <c r="K106" s="36"/>
      <c r="L106" s="36"/>
      <c r="M106" s="36"/>
    </row>
    <row r="107" spans="1:13">
      <c r="A107" s="421">
        <f t="shared" si="3"/>
        <v>1</v>
      </c>
      <c r="B107" s="501"/>
      <c r="C107" s="178"/>
      <c r="D107" s="491"/>
      <c r="E107" s="502"/>
      <c r="F107" s="177">
        <f t="shared" si="2"/>
        <v>0</v>
      </c>
      <c r="G107" s="177" t="str">
        <f>IF(IFERROR(IF(Str_TypeDonneesCpt8=Cpt_Index,Tab_Compteur_8[[#This Row],[Index]]-E106,Tab_Compteur_8[[#This Row],[Quantité]])/Tab_Compteur_8[[#This Row],[Delta Jour]],"")&lt;0,"",IFERROR(IF(Str_TypeDonneesCpt8=Cpt_Index,Tab_Compteur_8[[#This Row],[Index]]-E106,Tab_Compteur_8[[#This Row],[Quantité]])/Tab_Compteur_8[[#This Row],[Delta Jour]],""))</f>
        <v/>
      </c>
      <c r="H107" s="177" t="str">
        <f>IFERROR(Tab_Compteur_8[[#This Row],[Montant]]/Tab_Compteur_8[[#This Row],[Delta Jour]],"")</f>
        <v/>
      </c>
      <c r="I107" s="184" t="str">
        <f>IF(SUM(Tab_Compteur_8[[#This Row],[Quantité]],Tab_Compteur_8[[#This Row],[Index]])&lt;=0,"",G107)</f>
        <v/>
      </c>
      <c r="J107" s="185"/>
      <c r="K107" s="36"/>
      <c r="L107" s="36"/>
      <c r="M107" s="36"/>
    </row>
    <row r="108" spans="1:13">
      <c r="A108" s="421">
        <f t="shared" si="3"/>
        <v>1</v>
      </c>
      <c r="B108" s="501"/>
      <c r="C108" s="178"/>
      <c r="D108" s="491"/>
      <c r="E108" s="502"/>
      <c r="F108" s="177">
        <f t="shared" si="2"/>
        <v>0</v>
      </c>
      <c r="G108" s="177" t="str">
        <f>IF(IFERROR(IF(Str_TypeDonneesCpt8=Cpt_Index,Tab_Compteur_8[[#This Row],[Index]]-E107,Tab_Compteur_8[[#This Row],[Quantité]])/Tab_Compteur_8[[#This Row],[Delta Jour]],"")&lt;0,"",IFERROR(IF(Str_TypeDonneesCpt8=Cpt_Index,Tab_Compteur_8[[#This Row],[Index]]-E107,Tab_Compteur_8[[#This Row],[Quantité]])/Tab_Compteur_8[[#This Row],[Delta Jour]],""))</f>
        <v/>
      </c>
      <c r="H108" s="177" t="str">
        <f>IFERROR(Tab_Compteur_8[[#This Row],[Montant]]/Tab_Compteur_8[[#This Row],[Delta Jour]],"")</f>
        <v/>
      </c>
      <c r="I108" s="184" t="str">
        <f>IF(SUM(Tab_Compteur_8[[#This Row],[Quantité]],Tab_Compteur_8[[#This Row],[Index]])&lt;=0,"",G108)</f>
        <v/>
      </c>
      <c r="J108" s="185"/>
      <c r="K108" s="36"/>
      <c r="L108" s="36"/>
      <c r="M108" s="36"/>
    </row>
    <row r="109" spans="1:13">
      <c r="A109" s="421">
        <f t="shared" si="3"/>
        <v>1</v>
      </c>
      <c r="B109" s="501"/>
      <c r="C109" s="178"/>
      <c r="D109" s="491"/>
      <c r="E109" s="502"/>
      <c r="F109" s="177">
        <f t="shared" si="2"/>
        <v>0</v>
      </c>
      <c r="G109" s="177" t="str">
        <f>IF(IFERROR(IF(Str_TypeDonneesCpt8=Cpt_Index,Tab_Compteur_8[[#This Row],[Index]]-E108,Tab_Compteur_8[[#This Row],[Quantité]])/Tab_Compteur_8[[#This Row],[Delta Jour]],"")&lt;0,"",IFERROR(IF(Str_TypeDonneesCpt8=Cpt_Index,Tab_Compteur_8[[#This Row],[Index]]-E108,Tab_Compteur_8[[#This Row],[Quantité]])/Tab_Compteur_8[[#This Row],[Delta Jour]],""))</f>
        <v/>
      </c>
      <c r="H109" s="177" t="str">
        <f>IFERROR(Tab_Compteur_8[[#This Row],[Montant]]/Tab_Compteur_8[[#This Row],[Delta Jour]],"")</f>
        <v/>
      </c>
      <c r="I109" s="184" t="str">
        <f>IF(SUM(Tab_Compteur_8[[#This Row],[Quantité]],Tab_Compteur_8[[#This Row],[Index]])&lt;=0,"",G109)</f>
        <v/>
      </c>
      <c r="J109" s="185"/>
      <c r="K109" s="36"/>
      <c r="L109" s="36"/>
      <c r="M109" s="36"/>
    </row>
    <row r="110" spans="1:13">
      <c r="A110" s="421">
        <f t="shared" si="3"/>
        <v>1</v>
      </c>
      <c r="B110" s="501"/>
      <c r="C110" s="178"/>
      <c r="D110" s="491"/>
      <c r="E110" s="502"/>
      <c r="F110" s="177">
        <f t="shared" si="2"/>
        <v>0</v>
      </c>
      <c r="G110" s="177" t="str">
        <f>IF(IFERROR(IF(Str_TypeDonneesCpt8=Cpt_Index,Tab_Compteur_8[[#This Row],[Index]]-E109,Tab_Compteur_8[[#This Row],[Quantité]])/Tab_Compteur_8[[#This Row],[Delta Jour]],"")&lt;0,"",IFERROR(IF(Str_TypeDonneesCpt8=Cpt_Index,Tab_Compteur_8[[#This Row],[Index]]-E109,Tab_Compteur_8[[#This Row],[Quantité]])/Tab_Compteur_8[[#This Row],[Delta Jour]],""))</f>
        <v/>
      </c>
      <c r="H110" s="177" t="str">
        <f>IFERROR(Tab_Compteur_8[[#This Row],[Montant]]/Tab_Compteur_8[[#This Row],[Delta Jour]],"")</f>
        <v/>
      </c>
      <c r="I110" s="184" t="str">
        <f>IF(SUM(Tab_Compteur_8[[#This Row],[Quantité]],Tab_Compteur_8[[#This Row],[Index]])&lt;=0,"",G110)</f>
        <v/>
      </c>
      <c r="J110" s="185"/>
      <c r="K110" s="36"/>
      <c r="L110" s="36"/>
      <c r="M110" s="36"/>
    </row>
    <row r="111" spans="1:13">
      <c r="A111" s="421">
        <f t="shared" si="3"/>
        <v>1</v>
      </c>
      <c r="B111" s="501"/>
      <c r="C111" s="178"/>
      <c r="D111" s="491"/>
      <c r="E111" s="502"/>
      <c r="F111" s="177">
        <f t="shared" si="2"/>
        <v>0</v>
      </c>
      <c r="G111" s="177" t="str">
        <f>IF(IFERROR(IF(Str_TypeDonneesCpt8=Cpt_Index,Tab_Compteur_8[[#This Row],[Index]]-E110,Tab_Compteur_8[[#This Row],[Quantité]])/Tab_Compteur_8[[#This Row],[Delta Jour]],"")&lt;0,"",IFERROR(IF(Str_TypeDonneesCpt8=Cpt_Index,Tab_Compteur_8[[#This Row],[Index]]-E110,Tab_Compteur_8[[#This Row],[Quantité]])/Tab_Compteur_8[[#This Row],[Delta Jour]],""))</f>
        <v/>
      </c>
      <c r="H111" s="177" t="str">
        <f>IFERROR(Tab_Compteur_8[[#This Row],[Montant]]/Tab_Compteur_8[[#This Row],[Delta Jour]],"")</f>
        <v/>
      </c>
      <c r="I111" s="184" t="str">
        <f>IF(SUM(Tab_Compteur_8[[#This Row],[Quantité]],Tab_Compteur_8[[#This Row],[Index]])&lt;=0,"",G111)</f>
        <v/>
      </c>
      <c r="J111" s="185"/>
      <c r="K111" s="36"/>
      <c r="L111" s="36"/>
      <c r="M111" s="36"/>
    </row>
    <row r="112" spans="1:13">
      <c r="A112" s="421">
        <f t="shared" si="3"/>
        <v>1</v>
      </c>
      <c r="B112" s="501"/>
      <c r="C112" s="178"/>
      <c r="D112" s="491"/>
      <c r="E112" s="502"/>
      <c r="F112" s="177">
        <f t="shared" si="2"/>
        <v>0</v>
      </c>
      <c r="G112" s="177" t="str">
        <f>IF(IFERROR(IF(Str_TypeDonneesCpt8=Cpt_Index,Tab_Compteur_8[[#This Row],[Index]]-E111,Tab_Compteur_8[[#This Row],[Quantité]])/Tab_Compteur_8[[#This Row],[Delta Jour]],"")&lt;0,"",IFERROR(IF(Str_TypeDonneesCpt8=Cpt_Index,Tab_Compteur_8[[#This Row],[Index]]-E111,Tab_Compteur_8[[#This Row],[Quantité]])/Tab_Compteur_8[[#This Row],[Delta Jour]],""))</f>
        <v/>
      </c>
      <c r="H112" s="177" t="str">
        <f>IFERROR(Tab_Compteur_8[[#This Row],[Montant]]/Tab_Compteur_8[[#This Row],[Delta Jour]],"")</f>
        <v/>
      </c>
      <c r="I112" s="184" t="str">
        <f>IF(SUM(Tab_Compteur_8[[#This Row],[Quantité]],Tab_Compteur_8[[#This Row],[Index]])&lt;=0,"",G112)</f>
        <v/>
      </c>
      <c r="J112" s="185"/>
      <c r="K112" s="36"/>
      <c r="L112" s="36"/>
      <c r="M112" s="36"/>
    </row>
    <row r="113" spans="1:13">
      <c r="A113" s="421">
        <f t="shared" si="3"/>
        <v>1</v>
      </c>
      <c r="B113" s="501"/>
      <c r="C113" s="178"/>
      <c r="D113" s="491"/>
      <c r="E113" s="502"/>
      <c r="F113" s="177">
        <f t="shared" si="2"/>
        <v>0</v>
      </c>
      <c r="G113" s="177" t="str">
        <f>IF(IFERROR(IF(Str_TypeDonneesCpt8=Cpt_Index,Tab_Compteur_8[[#This Row],[Index]]-E112,Tab_Compteur_8[[#This Row],[Quantité]])/Tab_Compteur_8[[#This Row],[Delta Jour]],"")&lt;0,"",IFERROR(IF(Str_TypeDonneesCpt8=Cpt_Index,Tab_Compteur_8[[#This Row],[Index]]-E112,Tab_Compteur_8[[#This Row],[Quantité]])/Tab_Compteur_8[[#This Row],[Delta Jour]],""))</f>
        <v/>
      </c>
      <c r="H113" s="177" t="str">
        <f>IFERROR(Tab_Compteur_8[[#This Row],[Montant]]/Tab_Compteur_8[[#This Row],[Delta Jour]],"")</f>
        <v/>
      </c>
      <c r="I113" s="184" t="str">
        <f>IF(SUM(Tab_Compteur_8[[#This Row],[Quantité]],Tab_Compteur_8[[#This Row],[Index]])&lt;=0,"",G113)</f>
        <v/>
      </c>
      <c r="J113" s="185"/>
      <c r="K113" s="36"/>
      <c r="L113" s="36"/>
      <c r="M113" s="36"/>
    </row>
    <row r="114" spans="1:13">
      <c r="A114" s="421">
        <f t="shared" si="3"/>
        <v>1</v>
      </c>
      <c r="B114" s="501"/>
      <c r="C114" s="178"/>
      <c r="D114" s="491"/>
      <c r="E114" s="502"/>
      <c r="F114" s="177">
        <f t="shared" si="2"/>
        <v>0</v>
      </c>
      <c r="G114" s="177" t="str">
        <f>IF(IFERROR(IF(Str_TypeDonneesCpt8=Cpt_Index,Tab_Compteur_8[[#This Row],[Index]]-E113,Tab_Compteur_8[[#This Row],[Quantité]])/Tab_Compteur_8[[#This Row],[Delta Jour]],"")&lt;0,"",IFERROR(IF(Str_TypeDonneesCpt8=Cpt_Index,Tab_Compteur_8[[#This Row],[Index]]-E113,Tab_Compteur_8[[#This Row],[Quantité]])/Tab_Compteur_8[[#This Row],[Delta Jour]],""))</f>
        <v/>
      </c>
      <c r="H114" s="177" t="str">
        <f>IFERROR(Tab_Compteur_8[[#This Row],[Montant]]/Tab_Compteur_8[[#This Row],[Delta Jour]],"")</f>
        <v/>
      </c>
      <c r="I114" s="184" t="str">
        <f>IF(SUM(Tab_Compteur_8[[#This Row],[Quantité]],Tab_Compteur_8[[#This Row],[Index]])&lt;=0,"",G114)</f>
        <v/>
      </c>
      <c r="J114" s="185"/>
      <c r="K114" s="36"/>
      <c r="L114" s="36"/>
      <c r="M114" s="36"/>
    </row>
    <row r="115" spans="1:13">
      <c r="A115" s="421">
        <f t="shared" si="3"/>
        <v>1</v>
      </c>
      <c r="B115" s="501"/>
      <c r="C115" s="178"/>
      <c r="D115" s="491"/>
      <c r="E115" s="502"/>
      <c r="F115" s="177">
        <f t="shared" si="2"/>
        <v>0</v>
      </c>
      <c r="G115" s="177" t="str">
        <f>IF(IFERROR(IF(Str_TypeDonneesCpt8=Cpt_Index,Tab_Compteur_8[[#This Row],[Index]]-E114,Tab_Compteur_8[[#This Row],[Quantité]])/Tab_Compteur_8[[#This Row],[Delta Jour]],"")&lt;0,"",IFERROR(IF(Str_TypeDonneesCpt8=Cpt_Index,Tab_Compteur_8[[#This Row],[Index]]-E114,Tab_Compteur_8[[#This Row],[Quantité]])/Tab_Compteur_8[[#This Row],[Delta Jour]],""))</f>
        <v/>
      </c>
      <c r="H115" s="177" t="str">
        <f>IFERROR(Tab_Compteur_8[[#This Row],[Montant]]/Tab_Compteur_8[[#This Row],[Delta Jour]],"")</f>
        <v/>
      </c>
      <c r="I115" s="184" t="str">
        <f>IF(SUM(Tab_Compteur_8[[#This Row],[Quantité]],Tab_Compteur_8[[#This Row],[Index]])&lt;=0,"",G115)</f>
        <v/>
      </c>
      <c r="J115" s="185"/>
      <c r="K115" s="36"/>
      <c r="L115" s="36"/>
      <c r="M115" s="36"/>
    </row>
    <row r="116" spans="1:13">
      <c r="A116" s="421">
        <f t="shared" si="3"/>
        <v>1</v>
      </c>
      <c r="B116" s="501"/>
      <c r="C116" s="178"/>
      <c r="D116" s="491"/>
      <c r="E116" s="502"/>
      <c r="F116" s="177">
        <f t="shared" si="2"/>
        <v>0</v>
      </c>
      <c r="G116" s="177" t="str">
        <f>IF(IFERROR(IF(Str_TypeDonneesCpt8=Cpt_Index,Tab_Compteur_8[[#This Row],[Index]]-E115,Tab_Compteur_8[[#This Row],[Quantité]])/Tab_Compteur_8[[#This Row],[Delta Jour]],"")&lt;0,"",IFERROR(IF(Str_TypeDonneesCpt8=Cpt_Index,Tab_Compteur_8[[#This Row],[Index]]-E115,Tab_Compteur_8[[#This Row],[Quantité]])/Tab_Compteur_8[[#This Row],[Delta Jour]],""))</f>
        <v/>
      </c>
      <c r="H116" s="177" t="str">
        <f>IFERROR(Tab_Compteur_8[[#This Row],[Montant]]/Tab_Compteur_8[[#This Row],[Delta Jour]],"")</f>
        <v/>
      </c>
      <c r="I116" s="184" t="str">
        <f>IF(SUM(Tab_Compteur_8[[#This Row],[Quantité]],Tab_Compteur_8[[#This Row],[Index]])&lt;=0,"",G116)</f>
        <v/>
      </c>
      <c r="J116" s="185"/>
      <c r="K116" s="36"/>
      <c r="L116" s="36"/>
      <c r="M116" s="36"/>
    </row>
    <row r="117" spans="1:13">
      <c r="A117" s="421">
        <f t="shared" si="3"/>
        <v>1</v>
      </c>
      <c r="B117" s="501"/>
      <c r="C117" s="178"/>
      <c r="D117" s="491"/>
      <c r="E117" s="502"/>
      <c r="F117" s="177">
        <f t="shared" si="2"/>
        <v>0</v>
      </c>
      <c r="G117" s="177" t="str">
        <f>IF(IFERROR(IF(Str_TypeDonneesCpt8=Cpt_Index,Tab_Compteur_8[[#This Row],[Index]]-E116,Tab_Compteur_8[[#This Row],[Quantité]])/Tab_Compteur_8[[#This Row],[Delta Jour]],"")&lt;0,"",IFERROR(IF(Str_TypeDonneesCpt8=Cpt_Index,Tab_Compteur_8[[#This Row],[Index]]-E116,Tab_Compteur_8[[#This Row],[Quantité]])/Tab_Compteur_8[[#This Row],[Delta Jour]],""))</f>
        <v/>
      </c>
      <c r="H117" s="177" t="str">
        <f>IFERROR(Tab_Compteur_8[[#This Row],[Montant]]/Tab_Compteur_8[[#This Row],[Delta Jour]],"")</f>
        <v/>
      </c>
      <c r="I117" s="184" t="str">
        <f>IF(SUM(Tab_Compteur_8[[#This Row],[Quantité]],Tab_Compteur_8[[#This Row],[Index]])&lt;=0,"",G117)</f>
        <v/>
      </c>
      <c r="J117" s="185"/>
      <c r="K117" s="36"/>
      <c r="L117" s="36"/>
      <c r="M117" s="36"/>
    </row>
    <row r="118" spans="1:13">
      <c r="A118" s="421">
        <f t="shared" si="3"/>
        <v>1</v>
      </c>
      <c r="B118" s="501"/>
      <c r="C118" s="178"/>
      <c r="D118" s="491"/>
      <c r="E118" s="502"/>
      <c r="F118" s="177">
        <f t="shared" si="2"/>
        <v>0</v>
      </c>
      <c r="G118" s="177" t="str">
        <f>IF(IFERROR(IF(Str_TypeDonneesCpt8=Cpt_Index,Tab_Compteur_8[[#This Row],[Index]]-E117,Tab_Compteur_8[[#This Row],[Quantité]])/Tab_Compteur_8[[#This Row],[Delta Jour]],"")&lt;0,"",IFERROR(IF(Str_TypeDonneesCpt8=Cpt_Index,Tab_Compteur_8[[#This Row],[Index]]-E117,Tab_Compteur_8[[#This Row],[Quantité]])/Tab_Compteur_8[[#This Row],[Delta Jour]],""))</f>
        <v/>
      </c>
      <c r="H118" s="177" t="str">
        <f>IFERROR(Tab_Compteur_8[[#This Row],[Montant]]/Tab_Compteur_8[[#This Row],[Delta Jour]],"")</f>
        <v/>
      </c>
      <c r="I118" s="184" t="str">
        <f>IF(SUM(Tab_Compteur_8[[#This Row],[Quantité]],Tab_Compteur_8[[#This Row],[Index]])&lt;=0,"",G118)</f>
        <v/>
      </c>
      <c r="J118" s="185"/>
      <c r="K118" s="36"/>
      <c r="L118" s="36"/>
      <c r="M118" s="36"/>
    </row>
    <row r="119" spans="1:13">
      <c r="A119" s="421">
        <f t="shared" si="3"/>
        <v>1</v>
      </c>
      <c r="B119" s="501"/>
      <c r="C119" s="178"/>
      <c r="D119" s="491"/>
      <c r="E119" s="502"/>
      <c r="F119" s="177">
        <f t="shared" si="2"/>
        <v>0</v>
      </c>
      <c r="G119" s="177" t="str">
        <f>IF(IFERROR(IF(Str_TypeDonneesCpt8=Cpt_Index,Tab_Compteur_8[[#This Row],[Index]]-E118,Tab_Compteur_8[[#This Row],[Quantité]])/Tab_Compteur_8[[#This Row],[Delta Jour]],"")&lt;0,"",IFERROR(IF(Str_TypeDonneesCpt8=Cpt_Index,Tab_Compteur_8[[#This Row],[Index]]-E118,Tab_Compteur_8[[#This Row],[Quantité]])/Tab_Compteur_8[[#This Row],[Delta Jour]],""))</f>
        <v/>
      </c>
      <c r="H119" s="177" t="str">
        <f>IFERROR(Tab_Compteur_8[[#This Row],[Montant]]/Tab_Compteur_8[[#This Row],[Delta Jour]],"")</f>
        <v/>
      </c>
      <c r="I119" s="184" t="str">
        <f>IF(SUM(Tab_Compteur_8[[#This Row],[Quantité]],Tab_Compteur_8[[#This Row],[Index]])&lt;=0,"",G119)</f>
        <v/>
      </c>
      <c r="J119" s="185"/>
      <c r="K119" s="36"/>
      <c r="L119" s="36"/>
      <c r="M119" s="36"/>
    </row>
    <row r="120" spans="1:13">
      <c r="A120" s="421">
        <f t="shared" si="3"/>
        <v>1</v>
      </c>
      <c r="B120" s="501"/>
      <c r="C120" s="178"/>
      <c r="D120" s="491"/>
      <c r="E120" s="502"/>
      <c r="F120" s="177">
        <f t="shared" si="2"/>
        <v>0</v>
      </c>
      <c r="G120" s="177" t="str">
        <f>IF(IFERROR(IF(Str_TypeDonneesCpt8=Cpt_Index,Tab_Compteur_8[[#This Row],[Index]]-E119,Tab_Compteur_8[[#This Row],[Quantité]])/Tab_Compteur_8[[#This Row],[Delta Jour]],"")&lt;0,"",IFERROR(IF(Str_TypeDonneesCpt8=Cpt_Index,Tab_Compteur_8[[#This Row],[Index]]-E119,Tab_Compteur_8[[#This Row],[Quantité]])/Tab_Compteur_8[[#This Row],[Delta Jour]],""))</f>
        <v/>
      </c>
      <c r="H120" s="177" t="str">
        <f>IFERROR(Tab_Compteur_8[[#This Row],[Montant]]/Tab_Compteur_8[[#This Row],[Delta Jour]],"")</f>
        <v/>
      </c>
      <c r="I120" s="184" t="str">
        <f>IF(SUM(Tab_Compteur_8[[#This Row],[Quantité]],Tab_Compteur_8[[#This Row],[Index]])&lt;=0,"",G120)</f>
        <v/>
      </c>
      <c r="J120" s="185"/>
      <c r="K120" s="36"/>
      <c r="L120" s="36"/>
      <c r="M120" s="36"/>
    </row>
    <row r="121" spans="1:13">
      <c r="A121" s="421">
        <f t="shared" si="3"/>
        <v>1</v>
      </c>
      <c r="B121" s="501"/>
      <c r="C121" s="178"/>
      <c r="D121" s="491"/>
      <c r="E121" s="502"/>
      <c r="F121" s="177">
        <f t="shared" si="2"/>
        <v>0</v>
      </c>
      <c r="G121" s="177" t="str">
        <f>IF(IFERROR(IF(Str_TypeDonneesCpt8=Cpt_Index,Tab_Compteur_8[[#This Row],[Index]]-E120,Tab_Compteur_8[[#This Row],[Quantité]])/Tab_Compteur_8[[#This Row],[Delta Jour]],"")&lt;0,"",IFERROR(IF(Str_TypeDonneesCpt8=Cpt_Index,Tab_Compteur_8[[#This Row],[Index]]-E120,Tab_Compteur_8[[#This Row],[Quantité]])/Tab_Compteur_8[[#This Row],[Delta Jour]],""))</f>
        <v/>
      </c>
      <c r="H121" s="177" t="str">
        <f>IFERROR(Tab_Compteur_8[[#This Row],[Montant]]/Tab_Compteur_8[[#This Row],[Delta Jour]],"")</f>
        <v/>
      </c>
      <c r="I121" s="184" t="str">
        <f>IF(SUM(Tab_Compteur_8[[#This Row],[Quantité]],Tab_Compteur_8[[#This Row],[Index]])&lt;=0,"",G121)</f>
        <v/>
      </c>
      <c r="J121" s="185"/>
      <c r="K121" s="36"/>
      <c r="L121" s="36"/>
      <c r="M121" s="36"/>
    </row>
    <row r="122" spans="1:13">
      <c r="A122" s="421">
        <f t="shared" si="3"/>
        <v>1</v>
      </c>
      <c r="B122" s="501"/>
      <c r="C122" s="178"/>
      <c r="D122" s="491"/>
      <c r="E122" s="502"/>
      <c r="F122" s="177">
        <f t="shared" si="2"/>
        <v>0</v>
      </c>
      <c r="G122" s="177" t="str">
        <f>IF(IFERROR(IF(Str_TypeDonneesCpt8=Cpt_Index,Tab_Compteur_8[[#This Row],[Index]]-E121,Tab_Compteur_8[[#This Row],[Quantité]])/Tab_Compteur_8[[#This Row],[Delta Jour]],"")&lt;0,"",IFERROR(IF(Str_TypeDonneesCpt8=Cpt_Index,Tab_Compteur_8[[#This Row],[Index]]-E121,Tab_Compteur_8[[#This Row],[Quantité]])/Tab_Compteur_8[[#This Row],[Delta Jour]],""))</f>
        <v/>
      </c>
      <c r="H122" s="177" t="str">
        <f>IFERROR(Tab_Compteur_8[[#This Row],[Montant]]/Tab_Compteur_8[[#This Row],[Delta Jour]],"")</f>
        <v/>
      </c>
      <c r="I122" s="184" t="str">
        <f>IF(SUM(Tab_Compteur_8[[#This Row],[Quantité]],Tab_Compteur_8[[#This Row],[Index]])&lt;=0,"",G122)</f>
        <v/>
      </c>
      <c r="J122" s="185"/>
      <c r="K122" s="36"/>
      <c r="L122" s="36"/>
      <c r="M122" s="36"/>
    </row>
    <row r="123" spans="1:13">
      <c r="A123" s="421">
        <f t="shared" si="3"/>
        <v>1</v>
      </c>
      <c r="B123" s="501"/>
      <c r="C123" s="178"/>
      <c r="D123" s="491"/>
      <c r="E123" s="502"/>
      <c r="F123" s="177">
        <f t="shared" si="2"/>
        <v>0</v>
      </c>
      <c r="G123" s="177" t="str">
        <f>IF(IFERROR(IF(Str_TypeDonneesCpt8=Cpt_Index,Tab_Compteur_8[[#This Row],[Index]]-E122,Tab_Compteur_8[[#This Row],[Quantité]])/Tab_Compteur_8[[#This Row],[Delta Jour]],"")&lt;0,"",IFERROR(IF(Str_TypeDonneesCpt8=Cpt_Index,Tab_Compteur_8[[#This Row],[Index]]-E122,Tab_Compteur_8[[#This Row],[Quantité]])/Tab_Compteur_8[[#This Row],[Delta Jour]],""))</f>
        <v/>
      </c>
      <c r="H123" s="177" t="str">
        <f>IFERROR(Tab_Compteur_8[[#This Row],[Montant]]/Tab_Compteur_8[[#This Row],[Delta Jour]],"")</f>
        <v/>
      </c>
      <c r="I123" s="184" t="str">
        <f>IF(SUM(Tab_Compteur_8[[#This Row],[Quantité]],Tab_Compteur_8[[#This Row],[Index]])&lt;=0,"",G123)</f>
        <v/>
      </c>
      <c r="J123" s="185"/>
      <c r="K123" s="36"/>
      <c r="L123" s="36"/>
      <c r="M123" s="36"/>
    </row>
    <row r="124" spans="1:13">
      <c r="A124" s="421">
        <f t="shared" si="3"/>
        <v>1</v>
      </c>
      <c r="B124" s="501"/>
      <c r="C124" s="178"/>
      <c r="D124" s="491"/>
      <c r="E124" s="502"/>
      <c r="F124" s="177">
        <f t="shared" si="2"/>
        <v>0</v>
      </c>
      <c r="G124" s="177" t="str">
        <f>IF(IFERROR(IF(Str_TypeDonneesCpt8=Cpt_Index,Tab_Compteur_8[[#This Row],[Index]]-E123,Tab_Compteur_8[[#This Row],[Quantité]])/Tab_Compteur_8[[#This Row],[Delta Jour]],"")&lt;0,"",IFERROR(IF(Str_TypeDonneesCpt8=Cpt_Index,Tab_Compteur_8[[#This Row],[Index]]-E123,Tab_Compteur_8[[#This Row],[Quantité]])/Tab_Compteur_8[[#This Row],[Delta Jour]],""))</f>
        <v/>
      </c>
      <c r="H124" s="177" t="str">
        <f>IFERROR(Tab_Compteur_8[[#This Row],[Montant]]/Tab_Compteur_8[[#This Row],[Delta Jour]],"")</f>
        <v/>
      </c>
      <c r="I124" s="184" t="str">
        <f>IF(SUM(Tab_Compteur_8[[#This Row],[Quantité]],Tab_Compteur_8[[#This Row],[Index]])&lt;=0,"",G124)</f>
        <v/>
      </c>
      <c r="J124" s="185"/>
      <c r="K124" s="36"/>
      <c r="L124" s="36"/>
      <c r="M124" s="36"/>
    </row>
    <row r="125" spans="1:13">
      <c r="A125" s="421">
        <f t="shared" si="3"/>
        <v>1</v>
      </c>
      <c r="B125" s="501"/>
      <c r="C125" s="178"/>
      <c r="D125" s="491"/>
      <c r="E125" s="502"/>
      <c r="F125" s="177">
        <f t="shared" si="2"/>
        <v>0</v>
      </c>
      <c r="G125" s="177" t="str">
        <f>IF(IFERROR(IF(Str_TypeDonneesCpt8=Cpt_Index,Tab_Compteur_8[[#This Row],[Index]]-E124,Tab_Compteur_8[[#This Row],[Quantité]])/Tab_Compteur_8[[#This Row],[Delta Jour]],"")&lt;0,"",IFERROR(IF(Str_TypeDonneesCpt8=Cpt_Index,Tab_Compteur_8[[#This Row],[Index]]-E124,Tab_Compteur_8[[#This Row],[Quantité]])/Tab_Compteur_8[[#This Row],[Delta Jour]],""))</f>
        <v/>
      </c>
      <c r="H125" s="177" t="str">
        <f>IFERROR(Tab_Compteur_8[[#This Row],[Montant]]/Tab_Compteur_8[[#This Row],[Delta Jour]],"")</f>
        <v/>
      </c>
      <c r="I125" s="184" t="str">
        <f>IF(SUM(Tab_Compteur_8[[#This Row],[Quantité]],Tab_Compteur_8[[#This Row],[Index]])&lt;=0,"",G125)</f>
        <v/>
      </c>
      <c r="J125" s="185"/>
      <c r="K125" s="36"/>
      <c r="L125" s="36"/>
      <c r="M125" s="36"/>
    </row>
    <row r="126" spans="1:13">
      <c r="A126" s="421">
        <f t="shared" si="3"/>
        <v>1</v>
      </c>
      <c r="B126" s="501"/>
      <c r="C126" s="178"/>
      <c r="D126" s="491"/>
      <c r="E126" s="502"/>
      <c r="F126" s="177">
        <f t="shared" si="2"/>
        <v>0</v>
      </c>
      <c r="G126" s="177" t="str">
        <f>IF(IFERROR(IF(Str_TypeDonneesCpt8=Cpt_Index,Tab_Compteur_8[[#This Row],[Index]]-E125,Tab_Compteur_8[[#This Row],[Quantité]])/Tab_Compteur_8[[#This Row],[Delta Jour]],"")&lt;0,"",IFERROR(IF(Str_TypeDonneesCpt8=Cpt_Index,Tab_Compteur_8[[#This Row],[Index]]-E125,Tab_Compteur_8[[#This Row],[Quantité]])/Tab_Compteur_8[[#This Row],[Delta Jour]],""))</f>
        <v/>
      </c>
      <c r="H126" s="177" t="str">
        <f>IFERROR(Tab_Compteur_8[[#This Row],[Montant]]/Tab_Compteur_8[[#This Row],[Delta Jour]],"")</f>
        <v/>
      </c>
      <c r="I126" s="184" t="str">
        <f>IF(SUM(Tab_Compteur_8[[#This Row],[Quantité]],Tab_Compteur_8[[#This Row],[Index]])&lt;=0,"",G126)</f>
        <v/>
      </c>
      <c r="J126" s="185"/>
      <c r="K126" s="36"/>
      <c r="L126" s="36"/>
      <c r="M126" s="36"/>
    </row>
    <row r="127" spans="1:13">
      <c r="A127" s="421">
        <f t="shared" si="3"/>
        <v>1</v>
      </c>
      <c r="B127" s="501"/>
      <c r="C127" s="178"/>
      <c r="D127" s="491"/>
      <c r="E127" s="502"/>
      <c r="F127" s="177">
        <f t="shared" si="2"/>
        <v>0</v>
      </c>
      <c r="G127" s="177" t="str">
        <f>IF(IFERROR(IF(Str_TypeDonneesCpt8=Cpt_Index,Tab_Compteur_8[[#This Row],[Index]]-E126,Tab_Compteur_8[[#This Row],[Quantité]])/Tab_Compteur_8[[#This Row],[Delta Jour]],"")&lt;0,"",IFERROR(IF(Str_TypeDonneesCpt8=Cpt_Index,Tab_Compteur_8[[#This Row],[Index]]-E126,Tab_Compteur_8[[#This Row],[Quantité]])/Tab_Compteur_8[[#This Row],[Delta Jour]],""))</f>
        <v/>
      </c>
      <c r="H127" s="177" t="str">
        <f>IFERROR(Tab_Compteur_8[[#This Row],[Montant]]/Tab_Compteur_8[[#This Row],[Delta Jour]],"")</f>
        <v/>
      </c>
      <c r="I127" s="184" t="str">
        <f>IF(SUM(Tab_Compteur_8[[#This Row],[Quantité]],Tab_Compteur_8[[#This Row],[Index]])&lt;=0,"",G127)</f>
        <v/>
      </c>
      <c r="J127" s="185"/>
      <c r="K127" s="36"/>
      <c r="L127" s="36"/>
      <c r="M127" s="36"/>
    </row>
    <row r="128" spans="1:13">
      <c r="A128" s="421">
        <f t="shared" si="3"/>
        <v>1</v>
      </c>
      <c r="B128" s="501"/>
      <c r="C128" s="178"/>
      <c r="D128" s="491"/>
      <c r="E128" s="502"/>
      <c r="F128" s="177">
        <f t="shared" si="2"/>
        <v>0</v>
      </c>
      <c r="G128" s="177" t="str">
        <f>IF(IFERROR(IF(Str_TypeDonneesCpt8=Cpt_Index,Tab_Compteur_8[[#This Row],[Index]]-E127,Tab_Compteur_8[[#This Row],[Quantité]])/Tab_Compteur_8[[#This Row],[Delta Jour]],"")&lt;0,"",IFERROR(IF(Str_TypeDonneesCpt8=Cpt_Index,Tab_Compteur_8[[#This Row],[Index]]-E127,Tab_Compteur_8[[#This Row],[Quantité]])/Tab_Compteur_8[[#This Row],[Delta Jour]],""))</f>
        <v/>
      </c>
      <c r="H128" s="177" t="str">
        <f>IFERROR(Tab_Compteur_8[[#This Row],[Montant]]/Tab_Compteur_8[[#This Row],[Delta Jour]],"")</f>
        <v/>
      </c>
      <c r="I128" s="184" t="str">
        <f>IF(SUM(Tab_Compteur_8[[#This Row],[Quantité]],Tab_Compteur_8[[#This Row],[Index]])&lt;=0,"",G128)</f>
        <v/>
      </c>
      <c r="J128" s="185"/>
      <c r="K128" s="36"/>
      <c r="L128" s="36"/>
      <c r="M128" s="36"/>
    </row>
    <row r="129" spans="1:13">
      <c r="A129" s="421">
        <f t="shared" si="3"/>
        <v>1</v>
      </c>
      <c r="B129" s="501"/>
      <c r="C129" s="178"/>
      <c r="D129" s="491"/>
      <c r="E129" s="502"/>
      <c r="F129" s="177">
        <f t="shared" si="2"/>
        <v>0</v>
      </c>
      <c r="G129" s="177" t="str">
        <f>IF(IFERROR(IF(Str_TypeDonneesCpt8=Cpt_Index,Tab_Compteur_8[[#This Row],[Index]]-E128,Tab_Compteur_8[[#This Row],[Quantité]])/Tab_Compteur_8[[#This Row],[Delta Jour]],"")&lt;0,"",IFERROR(IF(Str_TypeDonneesCpt8=Cpt_Index,Tab_Compteur_8[[#This Row],[Index]]-E128,Tab_Compteur_8[[#This Row],[Quantité]])/Tab_Compteur_8[[#This Row],[Delta Jour]],""))</f>
        <v/>
      </c>
      <c r="H129" s="177" t="str">
        <f>IFERROR(Tab_Compteur_8[[#This Row],[Montant]]/Tab_Compteur_8[[#This Row],[Delta Jour]],"")</f>
        <v/>
      </c>
      <c r="I129" s="184" t="str">
        <f>IF(SUM(Tab_Compteur_8[[#This Row],[Quantité]],Tab_Compteur_8[[#This Row],[Index]])&lt;=0,"",G129)</f>
        <v/>
      </c>
      <c r="J129" s="185"/>
      <c r="K129" s="36"/>
      <c r="L129" s="36"/>
      <c r="M129" s="36"/>
    </row>
    <row r="130" spans="1:13">
      <c r="A130" s="421">
        <f t="shared" si="3"/>
        <v>1</v>
      </c>
      <c r="B130" s="501"/>
      <c r="C130" s="178"/>
      <c r="D130" s="491"/>
      <c r="E130" s="502"/>
      <c r="F130" s="177">
        <f t="shared" si="2"/>
        <v>0</v>
      </c>
      <c r="G130" s="177" t="str">
        <f>IF(IFERROR(IF(Str_TypeDonneesCpt8=Cpt_Index,Tab_Compteur_8[[#This Row],[Index]]-E129,Tab_Compteur_8[[#This Row],[Quantité]])/Tab_Compteur_8[[#This Row],[Delta Jour]],"")&lt;0,"",IFERROR(IF(Str_TypeDonneesCpt8=Cpt_Index,Tab_Compteur_8[[#This Row],[Index]]-E129,Tab_Compteur_8[[#This Row],[Quantité]])/Tab_Compteur_8[[#This Row],[Delta Jour]],""))</f>
        <v/>
      </c>
      <c r="H130" s="177" t="str">
        <f>IFERROR(Tab_Compteur_8[[#This Row],[Montant]]/Tab_Compteur_8[[#This Row],[Delta Jour]],"")</f>
        <v/>
      </c>
      <c r="I130" s="184" t="str">
        <f>IF(SUM(Tab_Compteur_8[[#This Row],[Quantité]],Tab_Compteur_8[[#This Row],[Index]])&lt;=0,"",G130)</f>
        <v/>
      </c>
      <c r="J130" s="185"/>
      <c r="K130" s="36"/>
      <c r="L130" s="36"/>
      <c r="M130" s="36"/>
    </row>
    <row r="131" spans="1:13">
      <c r="A131" s="421">
        <f t="shared" si="3"/>
        <v>1</v>
      </c>
      <c r="B131" s="501"/>
      <c r="C131" s="178"/>
      <c r="D131" s="491"/>
      <c r="E131" s="502"/>
      <c r="F131" s="177">
        <f t="shared" si="2"/>
        <v>0</v>
      </c>
      <c r="G131" s="177" t="str">
        <f>IF(IFERROR(IF(Str_TypeDonneesCpt8=Cpt_Index,Tab_Compteur_8[[#This Row],[Index]]-E130,Tab_Compteur_8[[#This Row],[Quantité]])/Tab_Compteur_8[[#This Row],[Delta Jour]],"")&lt;0,"",IFERROR(IF(Str_TypeDonneesCpt8=Cpt_Index,Tab_Compteur_8[[#This Row],[Index]]-E130,Tab_Compteur_8[[#This Row],[Quantité]])/Tab_Compteur_8[[#This Row],[Delta Jour]],""))</f>
        <v/>
      </c>
      <c r="H131" s="177" t="str">
        <f>IFERROR(Tab_Compteur_8[[#This Row],[Montant]]/Tab_Compteur_8[[#This Row],[Delta Jour]],"")</f>
        <v/>
      </c>
      <c r="I131" s="184" t="str">
        <f>IF(SUM(Tab_Compteur_8[[#This Row],[Quantité]],Tab_Compteur_8[[#This Row],[Index]])&lt;=0,"",G131)</f>
        <v/>
      </c>
      <c r="J131" s="185"/>
      <c r="K131" s="36"/>
      <c r="L131" s="36"/>
      <c r="M131" s="36"/>
    </row>
    <row r="132" spans="1:13">
      <c r="A132" s="421">
        <f t="shared" si="3"/>
        <v>1</v>
      </c>
      <c r="B132" s="501"/>
      <c r="C132" s="178"/>
      <c r="D132" s="491"/>
      <c r="E132" s="502"/>
      <c r="F132" s="177">
        <f t="shared" si="2"/>
        <v>0</v>
      </c>
      <c r="G132" s="177" t="str">
        <f>IF(IFERROR(IF(Str_TypeDonneesCpt8=Cpt_Index,Tab_Compteur_8[[#This Row],[Index]]-E131,Tab_Compteur_8[[#This Row],[Quantité]])/Tab_Compteur_8[[#This Row],[Delta Jour]],"")&lt;0,"",IFERROR(IF(Str_TypeDonneesCpt8=Cpt_Index,Tab_Compteur_8[[#This Row],[Index]]-E131,Tab_Compteur_8[[#This Row],[Quantité]])/Tab_Compteur_8[[#This Row],[Delta Jour]],""))</f>
        <v/>
      </c>
      <c r="H132" s="177" t="str">
        <f>IFERROR(Tab_Compteur_8[[#This Row],[Montant]]/Tab_Compteur_8[[#This Row],[Delta Jour]],"")</f>
        <v/>
      </c>
      <c r="I132" s="184" t="str">
        <f>IF(SUM(Tab_Compteur_8[[#This Row],[Quantité]],Tab_Compteur_8[[#This Row],[Index]])&lt;=0,"",G132)</f>
        <v/>
      </c>
      <c r="J132" s="185"/>
      <c r="K132" s="36"/>
      <c r="L132" s="36"/>
      <c r="M132" s="36"/>
    </row>
    <row r="133" spans="1:13">
      <c r="A133" s="421">
        <f t="shared" si="3"/>
        <v>1</v>
      </c>
      <c r="B133" s="501"/>
      <c r="C133" s="178"/>
      <c r="D133" s="491"/>
      <c r="E133" s="502"/>
      <c r="F133" s="177">
        <f t="shared" ref="F133:F196" si="4">IFERROR(B133-A133+1,"")</f>
        <v>0</v>
      </c>
      <c r="G133" s="177" t="str">
        <f>IF(IFERROR(IF(Str_TypeDonneesCpt8=Cpt_Index,Tab_Compteur_8[[#This Row],[Index]]-E132,Tab_Compteur_8[[#This Row],[Quantité]])/Tab_Compteur_8[[#This Row],[Delta Jour]],"")&lt;0,"",IFERROR(IF(Str_TypeDonneesCpt8=Cpt_Index,Tab_Compteur_8[[#This Row],[Index]]-E132,Tab_Compteur_8[[#This Row],[Quantité]])/Tab_Compteur_8[[#This Row],[Delta Jour]],""))</f>
        <v/>
      </c>
      <c r="H133" s="177" t="str">
        <f>IFERROR(Tab_Compteur_8[[#This Row],[Montant]]/Tab_Compteur_8[[#This Row],[Delta Jour]],"")</f>
        <v/>
      </c>
      <c r="I133" s="184" t="str">
        <f>IF(SUM(Tab_Compteur_8[[#This Row],[Quantité]],Tab_Compteur_8[[#This Row],[Index]])&lt;=0,"",G133)</f>
        <v/>
      </c>
      <c r="J133" s="185"/>
      <c r="K133" s="36"/>
      <c r="L133" s="36"/>
      <c r="M133" s="36"/>
    </row>
    <row r="134" spans="1:13">
      <c r="A134" s="421">
        <f t="shared" ref="A134:A197" si="5">IFERROR(B133+1,0)</f>
        <v>1</v>
      </c>
      <c r="B134" s="501"/>
      <c r="C134" s="178"/>
      <c r="D134" s="491"/>
      <c r="E134" s="502"/>
      <c r="F134" s="177">
        <f t="shared" si="4"/>
        <v>0</v>
      </c>
      <c r="G134" s="177" t="str">
        <f>IF(IFERROR(IF(Str_TypeDonneesCpt8=Cpt_Index,Tab_Compteur_8[[#This Row],[Index]]-E133,Tab_Compteur_8[[#This Row],[Quantité]])/Tab_Compteur_8[[#This Row],[Delta Jour]],"")&lt;0,"",IFERROR(IF(Str_TypeDonneesCpt8=Cpt_Index,Tab_Compteur_8[[#This Row],[Index]]-E133,Tab_Compteur_8[[#This Row],[Quantité]])/Tab_Compteur_8[[#This Row],[Delta Jour]],""))</f>
        <v/>
      </c>
      <c r="H134" s="177" t="str">
        <f>IFERROR(Tab_Compteur_8[[#This Row],[Montant]]/Tab_Compteur_8[[#This Row],[Delta Jour]],"")</f>
        <v/>
      </c>
      <c r="I134" s="184" t="str">
        <f>IF(SUM(Tab_Compteur_8[[#This Row],[Quantité]],Tab_Compteur_8[[#This Row],[Index]])&lt;=0,"",G134)</f>
        <v/>
      </c>
      <c r="J134" s="185"/>
      <c r="K134" s="36"/>
      <c r="L134" s="36"/>
      <c r="M134" s="36"/>
    </row>
    <row r="135" spans="1:13">
      <c r="A135" s="421">
        <f t="shared" si="5"/>
        <v>1</v>
      </c>
      <c r="B135" s="501"/>
      <c r="C135" s="178"/>
      <c r="D135" s="491"/>
      <c r="E135" s="502"/>
      <c r="F135" s="177">
        <f t="shared" si="4"/>
        <v>0</v>
      </c>
      <c r="G135" s="177" t="str">
        <f>IF(IFERROR(IF(Str_TypeDonneesCpt8=Cpt_Index,Tab_Compteur_8[[#This Row],[Index]]-E134,Tab_Compteur_8[[#This Row],[Quantité]])/Tab_Compteur_8[[#This Row],[Delta Jour]],"")&lt;0,"",IFERROR(IF(Str_TypeDonneesCpt8=Cpt_Index,Tab_Compteur_8[[#This Row],[Index]]-E134,Tab_Compteur_8[[#This Row],[Quantité]])/Tab_Compteur_8[[#This Row],[Delta Jour]],""))</f>
        <v/>
      </c>
      <c r="H135" s="177" t="str">
        <f>IFERROR(Tab_Compteur_8[[#This Row],[Montant]]/Tab_Compteur_8[[#This Row],[Delta Jour]],"")</f>
        <v/>
      </c>
      <c r="I135" s="184" t="str">
        <f>IF(SUM(Tab_Compteur_8[[#This Row],[Quantité]],Tab_Compteur_8[[#This Row],[Index]])&lt;=0,"",G135)</f>
        <v/>
      </c>
      <c r="J135" s="185"/>
      <c r="K135" s="36"/>
      <c r="L135" s="36"/>
      <c r="M135" s="36"/>
    </row>
    <row r="136" spans="1:13">
      <c r="A136" s="421">
        <f t="shared" si="5"/>
        <v>1</v>
      </c>
      <c r="B136" s="501"/>
      <c r="C136" s="178"/>
      <c r="D136" s="491"/>
      <c r="E136" s="502"/>
      <c r="F136" s="177">
        <f t="shared" si="4"/>
        <v>0</v>
      </c>
      <c r="G136" s="177" t="str">
        <f>IF(IFERROR(IF(Str_TypeDonneesCpt8=Cpt_Index,Tab_Compteur_8[[#This Row],[Index]]-E135,Tab_Compteur_8[[#This Row],[Quantité]])/Tab_Compteur_8[[#This Row],[Delta Jour]],"")&lt;0,"",IFERROR(IF(Str_TypeDonneesCpt8=Cpt_Index,Tab_Compteur_8[[#This Row],[Index]]-E135,Tab_Compteur_8[[#This Row],[Quantité]])/Tab_Compteur_8[[#This Row],[Delta Jour]],""))</f>
        <v/>
      </c>
      <c r="H136" s="177" t="str">
        <f>IFERROR(Tab_Compteur_8[[#This Row],[Montant]]/Tab_Compteur_8[[#This Row],[Delta Jour]],"")</f>
        <v/>
      </c>
      <c r="I136" s="184" t="str">
        <f>IF(SUM(Tab_Compteur_8[[#This Row],[Quantité]],Tab_Compteur_8[[#This Row],[Index]])&lt;=0,"",G136)</f>
        <v/>
      </c>
      <c r="J136" s="185"/>
      <c r="K136" s="36"/>
      <c r="L136" s="36"/>
      <c r="M136" s="36"/>
    </row>
    <row r="137" spans="1:13">
      <c r="A137" s="421">
        <f t="shared" si="5"/>
        <v>1</v>
      </c>
      <c r="B137" s="501"/>
      <c r="C137" s="178"/>
      <c r="D137" s="491"/>
      <c r="E137" s="502"/>
      <c r="F137" s="177">
        <f t="shared" si="4"/>
        <v>0</v>
      </c>
      <c r="G137" s="177" t="str">
        <f>IF(IFERROR(IF(Str_TypeDonneesCpt8=Cpt_Index,Tab_Compteur_8[[#This Row],[Index]]-E136,Tab_Compteur_8[[#This Row],[Quantité]])/Tab_Compteur_8[[#This Row],[Delta Jour]],"")&lt;0,"",IFERROR(IF(Str_TypeDonneesCpt8=Cpt_Index,Tab_Compteur_8[[#This Row],[Index]]-E136,Tab_Compteur_8[[#This Row],[Quantité]])/Tab_Compteur_8[[#This Row],[Delta Jour]],""))</f>
        <v/>
      </c>
      <c r="H137" s="177" t="str">
        <f>IFERROR(Tab_Compteur_8[[#This Row],[Montant]]/Tab_Compteur_8[[#This Row],[Delta Jour]],"")</f>
        <v/>
      </c>
      <c r="I137" s="184" t="str">
        <f>IF(SUM(Tab_Compteur_8[[#This Row],[Quantité]],Tab_Compteur_8[[#This Row],[Index]])&lt;=0,"",G137)</f>
        <v/>
      </c>
      <c r="J137" s="185"/>
      <c r="K137" s="36"/>
      <c r="L137" s="36"/>
      <c r="M137" s="36"/>
    </row>
    <row r="138" spans="1:13">
      <c r="A138" s="421">
        <f t="shared" si="5"/>
        <v>1</v>
      </c>
      <c r="B138" s="501"/>
      <c r="C138" s="178"/>
      <c r="D138" s="491"/>
      <c r="E138" s="502"/>
      <c r="F138" s="177">
        <f t="shared" si="4"/>
        <v>0</v>
      </c>
      <c r="G138" s="177" t="str">
        <f>IF(IFERROR(IF(Str_TypeDonneesCpt8=Cpt_Index,Tab_Compteur_8[[#This Row],[Index]]-E137,Tab_Compteur_8[[#This Row],[Quantité]])/Tab_Compteur_8[[#This Row],[Delta Jour]],"")&lt;0,"",IFERROR(IF(Str_TypeDonneesCpt8=Cpt_Index,Tab_Compteur_8[[#This Row],[Index]]-E137,Tab_Compteur_8[[#This Row],[Quantité]])/Tab_Compteur_8[[#This Row],[Delta Jour]],""))</f>
        <v/>
      </c>
      <c r="H138" s="177" t="str">
        <f>IFERROR(Tab_Compteur_8[[#This Row],[Montant]]/Tab_Compteur_8[[#This Row],[Delta Jour]],"")</f>
        <v/>
      </c>
      <c r="I138" s="184" t="str">
        <f>IF(SUM(Tab_Compteur_8[[#This Row],[Quantité]],Tab_Compteur_8[[#This Row],[Index]])&lt;=0,"",G138)</f>
        <v/>
      </c>
      <c r="J138" s="185"/>
      <c r="K138" s="36"/>
      <c r="L138" s="36"/>
      <c r="M138" s="36"/>
    </row>
    <row r="139" spans="1:13">
      <c r="A139" s="421">
        <f t="shared" si="5"/>
        <v>1</v>
      </c>
      <c r="B139" s="501"/>
      <c r="C139" s="178"/>
      <c r="D139" s="491"/>
      <c r="E139" s="502"/>
      <c r="F139" s="177">
        <f t="shared" si="4"/>
        <v>0</v>
      </c>
      <c r="G139" s="177" t="str">
        <f>IF(IFERROR(IF(Str_TypeDonneesCpt8=Cpt_Index,Tab_Compteur_8[[#This Row],[Index]]-E138,Tab_Compteur_8[[#This Row],[Quantité]])/Tab_Compteur_8[[#This Row],[Delta Jour]],"")&lt;0,"",IFERROR(IF(Str_TypeDonneesCpt8=Cpt_Index,Tab_Compteur_8[[#This Row],[Index]]-E138,Tab_Compteur_8[[#This Row],[Quantité]])/Tab_Compteur_8[[#This Row],[Delta Jour]],""))</f>
        <v/>
      </c>
      <c r="H139" s="177" t="str">
        <f>IFERROR(Tab_Compteur_8[[#This Row],[Montant]]/Tab_Compteur_8[[#This Row],[Delta Jour]],"")</f>
        <v/>
      </c>
      <c r="I139" s="184" t="str">
        <f>IF(SUM(Tab_Compteur_8[[#This Row],[Quantité]],Tab_Compteur_8[[#This Row],[Index]])&lt;=0,"",G139)</f>
        <v/>
      </c>
      <c r="J139" s="185"/>
      <c r="K139" s="36"/>
      <c r="L139" s="36"/>
      <c r="M139" s="36"/>
    </row>
    <row r="140" spans="1:13">
      <c r="A140" s="421">
        <f t="shared" si="5"/>
        <v>1</v>
      </c>
      <c r="B140" s="501"/>
      <c r="C140" s="178"/>
      <c r="D140" s="491"/>
      <c r="E140" s="502"/>
      <c r="F140" s="177">
        <f t="shared" si="4"/>
        <v>0</v>
      </c>
      <c r="G140" s="177" t="str">
        <f>IF(IFERROR(IF(Str_TypeDonneesCpt8=Cpt_Index,Tab_Compteur_8[[#This Row],[Index]]-E139,Tab_Compteur_8[[#This Row],[Quantité]])/Tab_Compteur_8[[#This Row],[Delta Jour]],"")&lt;0,"",IFERROR(IF(Str_TypeDonneesCpt8=Cpt_Index,Tab_Compteur_8[[#This Row],[Index]]-E139,Tab_Compteur_8[[#This Row],[Quantité]])/Tab_Compteur_8[[#This Row],[Delta Jour]],""))</f>
        <v/>
      </c>
      <c r="H140" s="177" t="str">
        <f>IFERROR(Tab_Compteur_8[[#This Row],[Montant]]/Tab_Compteur_8[[#This Row],[Delta Jour]],"")</f>
        <v/>
      </c>
      <c r="I140" s="184" t="str">
        <f>IF(SUM(Tab_Compteur_8[[#This Row],[Quantité]],Tab_Compteur_8[[#This Row],[Index]])&lt;=0,"",G140)</f>
        <v/>
      </c>
      <c r="J140" s="185"/>
      <c r="K140" s="36"/>
      <c r="L140" s="36"/>
      <c r="M140" s="36"/>
    </row>
    <row r="141" spans="1:13">
      <c r="A141" s="421">
        <f t="shared" si="5"/>
        <v>1</v>
      </c>
      <c r="B141" s="501"/>
      <c r="C141" s="178"/>
      <c r="D141" s="491"/>
      <c r="E141" s="502"/>
      <c r="F141" s="177">
        <f t="shared" si="4"/>
        <v>0</v>
      </c>
      <c r="G141" s="177" t="str">
        <f>IF(IFERROR(IF(Str_TypeDonneesCpt8=Cpt_Index,Tab_Compteur_8[[#This Row],[Index]]-E140,Tab_Compteur_8[[#This Row],[Quantité]])/Tab_Compteur_8[[#This Row],[Delta Jour]],"")&lt;0,"",IFERROR(IF(Str_TypeDonneesCpt8=Cpt_Index,Tab_Compteur_8[[#This Row],[Index]]-E140,Tab_Compteur_8[[#This Row],[Quantité]])/Tab_Compteur_8[[#This Row],[Delta Jour]],""))</f>
        <v/>
      </c>
      <c r="H141" s="177" t="str">
        <f>IFERROR(Tab_Compteur_8[[#This Row],[Montant]]/Tab_Compteur_8[[#This Row],[Delta Jour]],"")</f>
        <v/>
      </c>
      <c r="I141" s="184" t="str">
        <f>IF(SUM(Tab_Compteur_8[[#This Row],[Quantité]],Tab_Compteur_8[[#This Row],[Index]])&lt;=0,"",G141)</f>
        <v/>
      </c>
      <c r="J141" s="185"/>
      <c r="K141" s="36"/>
      <c r="L141" s="36"/>
      <c r="M141" s="36"/>
    </row>
    <row r="142" spans="1:13">
      <c r="A142" s="421">
        <f t="shared" si="5"/>
        <v>1</v>
      </c>
      <c r="B142" s="501"/>
      <c r="C142" s="178"/>
      <c r="D142" s="491"/>
      <c r="E142" s="502"/>
      <c r="F142" s="177">
        <f t="shared" si="4"/>
        <v>0</v>
      </c>
      <c r="G142" s="177" t="str">
        <f>IF(IFERROR(IF(Str_TypeDonneesCpt8=Cpt_Index,Tab_Compteur_8[[#This Row],[Index]]-E141,Tab_Compteur_8[[#This Row],[Quantité]])/Tab_Compteur_8[[#This Row],[Delta Jour]],"")&lt;0,"",IFERROR(IF(Str_TypeDonneesCpt8=Cpt_Index,Tab_Compteur_8[[#This Row],[Index]]-E141,Tab_Compteur_8[[#This Row],[Quantité]])/Tab_Compteur_8[[#This Row],[Delta Jour]],""))</f>
        <v/>
      </c>
      <c r="H142" s="177" t="str">
        <f>IFERROR(Tab_Compteur_8[[#This Row],[Montant]]/Tab_Compteur_8[[#This Row],[Delta Jour]],"")</f>
        <v/>
      </c>
      <c r="I142" s="184" t="str">
        <f>IF(SUM(Tab_Compteur_8[[#This Row],[Quantité]],Tab_Compteur_8[[#This Row],[Index]])&lt;=0,"",G142)</f>
        <v/>
      </c>
      <c r="J142" s="185"/>
      <c r="K142" s="36"/>
      <c r="L142" s="36"/>
      <c r="M142" s="36"/>
    </row>
    <row r="143" spans="1:13">
      <c r="A143" s="421">
        <f t="shared" si="5"/>
        <v>1</v>
      </c>
      <c r="B143" s="501"/>
      <c r="C143" s="178"/>
      <c r="D143" s="491"/>
      <c r="E143" s="502"/>
      <c r="F143" s="177">
        <f t="shared" si="4"/>
        <v>0</v>
      </c>
      <c r="G143" s="177" t="str">
        <f>IF(IFERROR(IF(Str_TypeDonneesCpt8=Cpt_Index,Tab_Compteur_8[[#This Row],[Index]]-E142,Tab_Compteur_8[[#This Row],[Quantité]])/Tab_Compteur_8[[#This Row],[Delta Jour]],"")&lt;0,"",IFERROR(IF(Str_TypeDonneesCpt8=Cpt_Index,Tab_Compteur_8[[#This Row],[Index]]-E142,Tab_Compteur_8[[#This Row],[Quantité]])/Tab_Compteur_8[[#This Row],[Delta Jour]],""))</f>
        <v/>
      </c>
      <c r="H143" s="177" t="str">
        <f>IFERROR(Tab_Compteur_8[[#This Row],[Montant]]/Tab_Compteur_8[[#This Row],[Delta Jour]],"")</f>
        <v/>
      </c>
      <c r="I143" s="184" t="str">
        <f>IF(SUM(Tab_Compteur_8[[#This Row],[Quantité]],Tab_Compteur_8[[#This Row],[Index]])&lt;=0,"",G143)</f>
        <v/>
      </c>
      <c r="J143" s="185"/>
      <c r="K143" s="36"/>
      <c r="L143" s="36"/>
      <c r="M143" s="36"/>
    </row>
    <row r="144" spans="1:13">
      <c r="A144" s="421">
        <f t="shared" si="5"/>
        <v>1</v>
      </c>
      <c r="B144" s="501"/>
      <c r="C144" s="178"/>
      <c r="D144" s="491"/>
      <c r="E144" s="502"/>
      <c r="F144" s="177">
        <f t="shared" si="4"/>
        <v>0</v>
      </c>
      <c r="G144" s="177" t="str">
        <f>IF(IFERROR(IF(Str_TypeDonneesCpt8=Cpt_Index,Tab_Compteur_8[[#This Row],[Index]]-E143,Tab_Compteur_8[[#This Row],[Quantité]])/Tab_Compteur_8[[#This Row],[Delta Jour]],"")&lt;0,"",IFERROR(IF(Str_TypeDonneesCpt8=Cpt_Index,Tab_Compteur_8[[#This Row],[Index]]-E143,Tab_Compteur_8[[#This Row],[Quantité]])/Tab_Compteur_8[[#This Row],[Delta Jour]],""))</f>
        <v/>
      </c>
      <c r="H144" s="177" t="str">
        <f>IFERROR(Tab_Compteur_8[[#This Row],[Montant]]/Tab_Compteur_8[[#This Row],[Delta Jour]],"")</f>
        <v/>
      </c>
      <c r="I144" s="184" t="str">
        <f>IF(SUM(Tab_Compteur_8[[#This Row],[Quantité]],Tab_Compteur_8[[#This Row],[Index]])&lt;=0,"",G144)</f>
        <v/>
      </c>
      <c r="J144" s="185"/>
      <c r="K144" s="36"/>
      <c r="L144" s="36"/>
      <c r="M144" s="36"/>
    </row>
    <row r="145" spans="1:13">
      <c r="A145" s="421">
        <f t="shared" si="5"/>
        <v>1</v>
      </c>
      <c r="B145" s="501"/>
      <c r="C145" s="178"/>
      <c r="D145" s="491"/>
      <c r="E145" s="502"/>
      <c r="F145" s="177">
        <f t="shared" si="4"/>
        <v>0</v>
      </c>
      <c r="G145" s="177" t="str">
        <f>IF(IFERROR(IF(Str_TypeDonneesCpt8=Cpt_Index,Tab_Compteur_8[[#This Row],[Index]]-E144,Tab_Compteur_8[[#This Row],[Quantité]])/Tab_Compteur_8[[#This Row],[Delta Jour]],"")&lt;0,"",IFERROR(IF(Str_TypeDonneesCpt8=Cpt_Index,Tab_Compteur_8[[#This Row],[Index]]-E144,Tab_Compteur_8[[#This Row],[Quantité]])/Tab_Compteur_8[[#This Row],[Delta Jour]],""))</f>
        <v/>
      </c>
      <c r="H145" s="177" t="str">
        <f>IFERROR(Tab_Compteur_8[[#This Row],[Montant]]/Tab_Compteur_8[[#This Row],[Delta Jour]],"")</f>
        <v/>
      </c>
      <c r="I145" s="184" t="str">
        <f>IF(SUM(Tab_Compteur_8[[#This Row],[Quantité]],Tab_Compteur_8[[#This Row],[Index]])&lt;=0,"",G145)</f>
        <v/>
      </c>
      <c r="J145" s="185"/>
      <c r="K145" s="36"/>
      <c r="L145" s="36"/>
      <c r="M145" s="36"/>
    </row>
    <row r="146" spans="1:13">
      <c r="A146" s="421">
        <f t="shared" si="5"/>
        <v>1</v>
      </c>
      <c r="B146" s="501"/>
      <c r="C146" s="178"/>
      <c r="D146" s="491"/>
      <c r="E146" s="502"/>
      <c r="F146" s="177">
        <f t="shared" si="4"/>
        <v>0</v>
      </c>
      <c r="G146" s="177" t="str">
        <f>IF(IFERROR(IF(Str_TypeDonneesCpt8=Cpt_Index,Tab_Compteur_8[[#This Row],[Index]]-E145,Tab_Compteur_8[[#This Row],[Quantité]])/Tab_Compteur_8[[#This Row],[Delta Jour]],"")&lt;0,"",IFERROR(IF(Str_TypeDonneesCpt8=Cpt_Index,Tab_Compteur_8[[#This Row],[Index]]-E145,Tab_Compteur_8[[#This Row],[Quantité]])/Tab_Compteur_8[[#This Row],[Delta Jour]],""))</f>
        <v/>
      </c>
      <c r="H146" s="177" t="str">
        <f>IFERROR(Tab_Compteur_8[[#This Row],[Montant]]/Tab_Compteur_8[[#This Row],[Delta Jour]],"")</f>
        <v/>
      </c>
      <c r="I146" s="184" t="str">
        <f>IF(SUM(Tab_Compteur_8[[#This Row],[Quantité]],Tab_Compteur_8[[#This Row],[Index]])&lt;=0,"",G146)</f>
        <v/>
      </c>
      <c r="J146" s="185"/>
      <c r="K146" s="36"/>
      <c r="L146" s="36"/>
      <c r="M146" s="36"/>
    </row>
    <row r="147" spans="1:13">
      <c r="A147" s="421">
        <f t="shared" si="5"/>
        <v>1</v>
      </c>
      <c r="B147" s="501"/>
      <c r="C147" s="178"/>
      <c r="D147" s="491"/>
      <c r="E147" s="502"/>
      <c r="F147" s="177">
        <f t="shared" si="4"/>
        <v>0</v>
      </c>
      <c r="G147" s="177" t="str">
        <f>IF(IFERROR(IF(Str_TypeDonneesCpt8=Cpt_Index,Tab_Compteur_8[[#This Row],[Index]]-E146,Tab_Compteur_8[[#This Row],[Quantité]])/Tab_Compteur_8[[#This Row],[Delta Jour]],"")&lt;0,"",IFERROR(IF(Str_TypeDonneesCpt8=Cpt_Index,Tab_Compteur_8[[#This Row],[Index]]-E146,Tab_Compteur_8[[#This Row],[Quantité]])/Tab_Compteur_8[[#This Row],[Delta Jour]],""))</f>
        <v/>
      </c>
      <c r="H147" s="177" t="str">
        <f>IFERROR(Tab_Compteur_8[[#This Row],[Montant]]/Tab_Compteur_8[[#This Row],[Delta Jour]],"")</f>
        <v/>
      </c>
      <c r="I147" s="184" t="str">
        <f>IF(SUM(Tab_Compteur_8[[#This Row],[Quantité]],Tab_Compteur_8[[#This Row],[Index]])&lt;=0,"",G147)</f>
        <v/>
      </c>
      <c r="J147" s="185"/>
      <c r="K147" s="36"/>
      <c r="L147" s="36"/>
      <c r="M147" s="36"/>
    </row>
    <row r="148" spans="1:13">
      <c r="A148" s="421">
        <f t="shared" si="5"/>
        <v>1</v>
      </c>
      <c r="B148" s="501"/>
      <c r="C148" s="178"/>
      <c r="D148" s="491"/>
      <c r="E148" s="502"/>
      <c r="F148" s="177">
        <f t="shared" si="4"/>
        <v>0</v>
      </c>
      <c r="G148" s="177" t="str">
        <f>IF(IFERROR(IF(Str_TypeDonneesCpt8=Cpt_Index,Tab_Compteur_8[[#This Row],[Index]]-E147,Tab_Compteur_8[[#This Row],[Quantité]])/Tab_Compteur_8[[#This Row],[Delta Jour]],"")&lt;0,"",IFERROR(IF(Str_TypeDonneesCpt8=Cpt_Index,Tab_Compteur_8[[#This Row],[Index]]-E147,Tab_Compteur_8[[#This Row],[Quantité]])/Tab_Compteur_8[[#This Row],[Delta Jour]],""))</f>
        <v/>
      </c>
      <c r="H148" s="177" t="str">
        <f>IFERROR(Tab_Compteur_8[[#This Row],[Montant]]/Tab_Compteur_8[[#This Row],[Delta Jour]],"")</f>
        <v/>
      </c>
      <c r="I148" s="184" t="str">
        <f>IF(SUM(Tab_Compteur_8[[#This Row],[Quantité]],Tab_Compteur_8[[#This Row],[Index]])&lt;=0,"",G148)</f>
        <v/>
      </c>
      <c r="J148" s="185"/>
      <c r="K148" s="36"/>
      <c r="L148" s="36"/>
      <c r="M148" s="36"/>
    </row>
    <row r="149" spans="1:13">
      <c r="A149" s="421">
        <f t="shared" si="5"/>
        <v>1</v>
      </c>
      <c r="B149" s="501"/>
      <c r="C149" s="178"/>
      <c r="D149" s="491"/>
      <c r="E149" s="502"/>
      <c r="F149" s="177">
        <f t="shared" si="4"/>
        <v>0</v>
      </c>
      <c r="G149" s="177" t="str">
        <f>IF(IFERROR(IF(Str_TypeDonneesCpt8=Cpt_Index,Tab_Compteur_8[[#This Row],[Index]]-E148,Tab_Compteur_8[[#This Row],[Quantité]])/Tab_Compteur_8[[#This Row],[Delta Jour]],"")&lt;0,"",IFERROR(IF(Str_TypeDonneesCpt8=Cpt_Index,Tab_Compteur_8[[#This Row],[Index]]-E148,Tab_Compteur_8[[#This Row],[Quantité]])/Tab_Compteur_8[[#This Row],[Delta Jour]],""))</f>
        <v/>
      </c>
      <c r="H149" s="177" t="str">
        <f>IFERROR(Tab_Compteur_8[[#This Row],[Montant]]/Tab_Compteur_8[[#This Row],[Delta Jour]],"")</f>
        <v/>
      </c>
      <c r="I149" s="184" t="str">
        <f>IF(SUM(Tab_Compteur_8[[#This Row],[Quantité]],Tab_Compteur_8[[#This Row],[Index]])&lt;=0,"",G149)</f>
        <v/>
      </c>
      <c r="J149" s="185"/>
      <c r="K149" s="36"/>
      <c r="L149" s="36"/>
      <c r="M149" s="36"/>
    </row>
    <row r="150" spans="1:13">
      <c r="A150" s="421">
        <f t="shared" si="5"/>
        <v>1</v>
      </c>
      <c r="B150" s="501"/>
      <c r="C150" s="178"/>
      <c r="D150" s="491"/>
      <c r="E150" s="502"/>
      <c r="F150" s="177">
        <f t="shared" si="4"/>
        <v>0</v>
      </c>
      <c r="G150" s="177" t="str">
        <f>IF(IFERROR(IF(Str_TypeDonneesCpt8=Cpt_Index,Tab_Compteur_8[[#This Row],[Index]]-E149,Tab_Compteur_8[[#This Row],[Quantité]])/Tab_Compteur_8[[#This Row],[Delta Jour]],"")&lt;0,"",IFERROR(IF(Str_TypeDonneesCpt8=Cpt_Index,Tab_Compteur_8[[#This Row],[Index]]-E149,Tab_Compteur_8[[#This Row],[Quantité]])/Tab_Compteur_8[[#This Row],[Delta Jour]],""))</f>
        <v/>
      </c>
      <c r="H150" s="177" t="str">
        <f>IFERROR(Tab_Compteur_8[[#This Row],[Montant]]/Tab_Compteur_8[[#This Row],[Delta Jour]],"")</f>
        <v/>
      </c>
      <c r="I150" s="184" t="str">
        <f>IF(SUM(Tab_Compteur_8[[#This Row],[Quantité]],Tab_Compteur_8[[#This Row],[Index]])&lt;=0,"",G150)</f>
        <v/>
      </c>
      <c r="J150" s="185"/>
      <c r="K150" s="36"/>
      <c r="L150" s="36"/>
      <c r="M150" s="36"/>
    </row>
    <row r="151" spans="1:13">
      <c r="A151" s="421">
        <f t="shared" si="5"/>
        <v>1</v>
      </c>
      <c r="B151" s="501"/>
      <c r="C151" s="178"/>
      <c r="D151" s="491"/>
      <c r="E151" s="502"/>
      <c r="F151" s="177">
        <f t="shared" si="4"/>
        <v>0</v>
      </c>
      <c r="G151" s="177" t="str">
        <f>IF(IFERROR(IF(Str_TypeDonneesCpt8=Cpt_Index,Tab_Compteur_8[[#This Row],[Index]]-E150,Tab_Compteur_8[[#This Row],[Quantité]])/Tab_Compteur_8[[#This Row],[Delta Jour]],"")&lt;0,"",IFERROR(IF(Str_TypeDonneesCpt8=Cpt_Index,Tab_Compteur_8[[#This Row],[Index]]-E150,Tab_Compteur_8[[#This Row],[Quantité]])/Tab_Compteur_8[[#This Row],[Delta Jour]],""))</f>
        <v/>
      </c>
      <c r="H151" s="177" t="str">
        <f>IFERROR(Tab_Compteur_8[[#This Row],[Montant]]/Tab_Compteur_8[[#This Row],[Delta Jour]],"")</f>
        <v/>
      </c>
      <c r="I151" s="184" t="str">
        <f>IF(SUM(Tab_Compteur_8[[#This Row],[Quantité]],Tab_Compteur_8[[#This Row],[Index]])&lt;=0,"",G151)</f>
        <v/>
      </c>
      <c r="J151" s="185"/>
      <c r="K151" s="36"/>
      <c r="L151" s="36"/>
      <c r="M151" s="36"/>
    </row>
    <row r="152" spans="1:13">
      <c r="A152" s="421">
        <f t="shared" si="5"/>
        <v>1</v>
      </c>
      <c r="B152" s="501"/>
      <c r="C152" s="178"/>
      <c r="D152" s="491"/>
      <c r="E152" s="502"/>
      <c r="F152" s="177">
        <f t="shared" si="4"/>
        <v>0</v>
      </c>
      <c r="G152" s="177" t="str">
        <f>IF(IFERROR(IF(Str_TypeDonneesCpt8=Cpt_Index,Tab_Compteur_8[[#This Row],[Index]]-E151,Tab_Compteur_8[[#This Row],[Quantité]])/Tab_Compteur_8[[#This Row],[Delta Jour]],"")&lt;0,"",IFERROR(IF(Str_TypeDonneesCpt8=Cpt_Index,Tab_Compteur_8[[#This Row],[Index]]-E151,Tab_Compteur_8[[#This Row],[Quantité]])/Tab_Compteur_8[[#This Row],[Delta Jour]],""))</f>
        <v/>
      </c>
      <c r="H152" s="177" t="str">
        <f>IFERROR(Tab_Compteur_8[[#This Row],[Montant]]/Tab_Compteur_8[[#This Row],[Delta Jour]],"")</f>
        <v/>
      </c>
      <c r="I152" s="184" t="str">
        <f>IF(SUM(Tab_Compteur_8[[#This Row],[Quantité]],Tab_Compteur_8[[#This Row],[Index]])&lt;=0,"",G152)</f>
        <v/>
      </c>
      <c r="J152" s="185"/>
      <c r="K152" s="36"/>
      <c r="L152" s="36"/>
      <c r="M152" s="36"/>
    </row>
    <row r="153" spans="1:13">
      <c r="A153" s="421">
        <f t="shared" si="5"/>
        <v>1</v>
      </c>
      <c r="B153" s="501"/>
      <c r="C153" s="178"/>
      <c r="D153" s="491"/>
      <c r="E153" s="502"/>
      <c r="F153" s="177">
        <f t="shared" si="4"/>
        <v>0</v>
      </c>
      <c r="G153" s="177" t="str">
        <f>IF(IFERROR(IF(Str_TypeDonneesCpt8=Cpt_Index,Tab_Compteur_8[[#This Row],[Index]]-E152,Tab_Compteur_8[[#This Row],[Quantité]])/Tab_Compteur_8[[#This Row],[Delta Jour]],"")&lt;0,"",IFERROR(IF(Str_TypeDonneesCpt8=Cpt_Index,Tab_Compteur_8[[#This Row],[Index]]-E152,Tab_Compteur_8[[#This Row],[Quantité]])/Tab_Compteur_8[[#This Row],[Delta Jour]],""))</f>
        <v/>
      </c>
      <c r="H153" s="177" t="str">
        <f>IFERROR(Tab_Compteur_8[[#This Row],[Montant]]/Tab_Compteur_8[[#This Row],[Delta Jour]],"")</f>
        <v/>
      </c>
      <c r="I153" s="184" t="str">
        <f>IF(SUM(Tab_Compteur_8[[#This Row],[Quantité]],Tab_Compteur_8[[#This Row],[Index]])&lt;=0,"",G153)</f>
        <v/>
      </c>
      <c r="J153" s="185"/>
      <c r="K153" s="36"/>
      <c r="L153" s="36"/>
      <c r="M153" s="36"/>
    </row>
    <row r="154" spans="1:13">
      <c r="A154" s="421">
        <f t="shared" si="5"/>
        <v>1</v>
      </c>
      <c r="B154" s="501"/>
      <c r="C154" s="178"/>
      <c r="D154" s="491"/>
      <c r="E154" s="502"/>
      <c r="F154" s="177">
        <f t="shared" si="4"/>
        <v>0</v>
      </c>
      <c r="G154" s="177" t="str">
        <f>IF(IFERROR(IF(Str_TypeDonneesCpt8=Cpt_Index,Tab_Compteur_8[[#This Row],[Index]]-E153,Tab_Compteur_8[[#This Row],[Quantité]])/Tab_Compteur_8[[#This Row],[Delta Jour]],"")&lt;0,"",IFERROR(IF(Str_TypeDonneesCpt8=Cpt_Index,Tab_Compteur_8[[#This Row],[Index]]-E153,Tab_Compteur_8[[#This Row],[Quantité]])/Tab_Compteur_8[[#This Row],[Delta Jour]],""))</f>
        <v/>
      </c>
      <c r="H154" s="177" t="str">
        <f>IFERROR(Tab_Compteur_8[[#This Row],[Montant]]/Tab_Compteur_8[[#This Row],[Delta Jour]],"")</f>
        <v/>
      </c>
      <c r="I154" s="184" t="str">
        <f>IF(SUM(Tab_Compteur_8[[#This Row],[Quantité]],Tab_Compteur_8[[#This Row],[Index]])&lt;=0,"",G154)</f>
        <v/>
      </c>
      <c r="J154" s="185"/>
      <c r="K154" s="36"/>
      <c r="L154" s="36"/>
      <c r="M154" s="36"/>
    </row>
    <row r="155" spans="1:13">
      <c r="A155" s="421">
        <f t="shared" si="5"/>
        <v>1</v>
      </c>
      <c r="B155" s="501"/>
      <c r="C155" s="178"/>
      <c r="D155" s="491"/>
      <c r="E155" s="502"/>
      <c r="F155" s="177">
        <f t="shared" si="4"/>
        <v>0</v>
      </c>
      <c r="G155" s="177" t="str">
        <f>IF(IFERROR(IF(Str_TypeDonneesCpt8=Cpt_Index,Tab_Compteur_8[[#This Row],[Index]]-E154,Tab_Compteur_8[[#This Row],[Quantité]])/Tab_Compteur_8[[#This Row],[Delta Jour]],"")&lt;0,"",IFERROR(IF(Str_TypeDonneesCpt8=Cpt_Index,Tab_Compteur_8[[#This Row],[Index]]-E154,Tab_Compteur_8[[#This Row],[Quantité]])/Tab_Compteur_8[[#This Row],[Delta Jour]],""))</f>
        <v/>
      </c>
      <c r="H155" s="177" t="str">
        <f>IFERROR(Tab_Compteur_8[[#This Row],[Montant]]/Tab_Compteur_8[[#This Row],[Delta Jour]],"")</f>
        <v/>
      </c>
      <c r="I155" s="184" t="str">
        <f>IF(SUM(Tab_Compteur_8[[#This Row],[Quantité]],Tab_Compteur_8[[#This Row],[Index]])&lt;=0,"",G155)</f>
        <v/>
      </c>
      <c r="J155" s="185"/>
      <c r="K155" s="36"/>
      <c r="L155" s="36"/>
      <c r="M155" s="36"/>
    </row>
    <row r="156" spans="1:13">
      <c r="A156" s="421">
        <f t="shared" si="5"/>
        <v>1</v>
      </c>
      <c r="B156" s="501"/>
      <c r="C156" s="178"/>
      <c r="D156" s="491"/>
      <c r="E156" s="502"/>
      <c r="F156" s="177">
        <f t="shared" si="4"/>
        <v>0</v>
      </c>
      <c r="G156" s="177" t="str">
        <f>IF(IFERROR(IF(Str_TypeDonneesCpt8=Cpt_Index,Tab_Compteur_8[[#This Row],[Index]]-E155,Tab_Compteur_8[[#This Row],[Quantité]])/Tab_Compteur_8[[#This Row],[Delta Jour]],"")&lt;0,"",IFERROR(IF(Str_TypeDonneesCpt8=Cpt_Index,Tab_Compteur_8[[#This Row],[Index]]-E155,Tab_Compteur_8[[#This Row],[Quantité]])/Tab_Compteur_8[[#This Row],[Delta Jour]],""))</f>
        <v/>
      </c>
      <c r="H156" s="177" t="str">
        <f>IFERROR(Tab_Compteur_8[[#This Row],[Montant]]/Tab_Compteur_8[[#This Row],[Delta Jour]],"")</f>
        <v/>
      </c>
      <c r="I156" s="184" t="str">
        <f>IF(SUM(Tab_Compteur_8[[#This Row],[Quantité]],Tab_Compteur_8[[#This Row],[Index]])&lt;=0,"",G156)</f>
        <v/>
      </c>
      <c r="J156" s="185"/>
      <c r="K156" s="36"/>
      <c r="L156" s="36"/>
      <c r="M156" s="36"/>
    </row>
    <row r="157" spans="1:13">
      <c r="A157" s="421">
        <f t="shared" si="5"/>
        <v>1</v>
      </c>
      <c r="B157" s="501"/>
      <c r="C157" s="178"/>
      <c r="D157" s="491"/>
      <c r="E157" s="502"/>
      <c r="F157" s="177">
        <f t="shared" si="4"/>
        <v>0</v>
      </c>
      <c r="G157" s="177" t="str">
        <f>IF(IFERROR(IF(Str_TypeDonneesCpt8=Cpt_Index,Tab_Compteur_8[[#This Row],[Index]]-E156,Tab_Compteur_8[[#This Row],[Quantité]])/Tab_Compteur_8[[#This Row],[Delta Jour]],"")&lt;0,"",IFERROR(IF(Str_TypeDonneesCpt8=Cpt_Index,Tab_Compteur_8[[#This Row],[Index]]-E156,Tab_Compteur_8[[#This Row],[Quantité]])/Tab_Compteur_8[[#This Row],[Delta Jour]],""))</f>
        <v/>
      </c>
      <c r="H157" s="177" t="str">
        <f>IFERROR(Tab_Compteur_8[[#This Row],[Montant]]/Tab_Compteur_8[[#This Row],[Delta Jour]],"")</f>
        <v/>
      </c>
      <c r="I157" s="184" t="str">
        <f>IF(SUM(Tab_Compteur_8[[#This Row],[Quantité]],Tab_Compteur_8[[#This Row],[Index]])&lt;=0,"",G157)</f>
        <v/>
      </c>
      <c r="J157" s="185"/>
      <c r="K157" s="36"/>
      <c r="L157" s="36"/>
      <c r="M157" s="36"/>
    </row>
    <row r="158" spans="1:13">
      <c r="A158" s="421">
        <f t="shared" si="5"/>
        <v>1</v>
      </c>
      <c r="B158" s="501"/>
      <c r="C158" s="178"/>
      <c r="D158" s="491"/>
      <c r="E158" s="502"/>
      <c r="F158" s="177">
        <f t="shared" si="4"/>
        <v>0</v>
      </c>
      <c r="G158" s="177" t="str">
        <f>IF(IFERROR(IF(Str_TypeDonneesCpt8=Cpt_Index,Tab_Compteur_8[[#This Row],[Index]]-E157,Tab_Compteur_8[[#This Row],[Quantité]])/Tab_Compteur_8[[#This Row],[Delta Jour]],"")&lt;0,"",IFERROR(IF(Str_TypeDonneesCpt8=Cpt_Index,Tab_Compteur_8[[#This Row],[Index]]-E157,Tab_Compteur_8[[#This Row],[Quantité]])/Tab_Compteur_8[[#This Row],[Delta Jour]],""))</f>
        <v/>
      </c>
      <c r="H158" s="177" t="str">
        <f>IFERROR(Tab_Compteur_8[[#This Row],[Montant]]/Tab_Compteur_8[[#This Row],[Delta Jour]],"")</f>
        <v/>
      </c>
      <c r="I158" s="184" t="str">
        <f>IF(SUM(Tab_Compteur_8[[#This Row],[Quantité]],Tab_Compteur_8[[#This Row],[Index]])&lt;=0,"",G158)</f>
        <v/>
      </c>
      <c r="J158" s="185"/>
      <c r="K158" s="36"/>
      <c r="L158" s="36"/>
      <c r="M158" s="36"/>
    </row>
    <row r="159" spans="1:13">
      <c r="A159" s="421">
        <f t="shared" si="5"/>
        <v>1</v>
      </c>
      <c r="B159" s="501"/>
      <c r="C159" s="178"/>
      <c r="D159" s="491"/>
      <c r="E159" s="502"/>
      <c r="F159" s="177">
        <f t="shared" si="4"/>
        <v>0</v>
      </c>
      <c r="G159" s="177" t="str">
        <f>IF(IFERROR(IF(Str_TypeDonneesCpt8=Cpt_Index,Tab_Compteur_8[[#This Row],[Index]]-E158,Tab_Compteur_8[[#This Row],[Quantité]])/Tab_Compteur_8[[#This Row],[Delta Jour]],"")&lt;0,"",IFERROR(IF(Str_TypeDonneesCpt8=Cpt_Index,Tab_Compteur_8[[#This Row],[Index]]-E158,Tab_Compteur_8[[#This Row],[Quantité]])/Tab_Compteur_8[[#This Row],[Delta Jour]],""))</f>
        <v/>
      </c>
      <c r="H159" s="177" t="str">
        <f>IFERROR(Tab_Compteur_8[[#This Row],[Montant]]/Tab_Compteur_8[[#This Row],[Delta Jour]],"")</f>
        <v/>
      </c>
      <c r="I159" s="184" t="str">
        <f>IF(SUM(Tab_Compteur_8[[#This Row],[Quantité]],Tab_Compteur_8[[#This Row],[Index]])&lt;=0,"",G159)</f>
        <v/>
      </c>
      <c r="J159" s="185"/>
      <c r="K159" s="36"/>
      <c r="L159" s="36"/>
      <c r="M159" s="36"/>
    </row>
    <row r="160" spans="1:13">
      <c r="A160" s="421">
        <f t="shared" si="5"/>
        <v>1</v>
      </c>
      <c r="B160" s="501"/>
      <c r="C160" s="178"/>
      <c r="D160" s="491"/>
      <c r="E160" s="502"/>
      <c r="F160" s="177">
        <f t="shared" si="4"/>
        <v>0</v>
      </c>
      <c r="G160" s="177" t="str">
        <f>IF(IFERROR(IF(Str_TypeDonneesCpt8=Cpt_Index,Tab_Compteur_8[[#This Row],[Index]]-E159,Tab_Compteur_8[[#This Row],[Quantité]])/Tab_Compteur_8[[#This Row],[Delta Jour]],"")&lt;0,"",IFERROR(IF(Str_TypeDonneesCpt8=Cpt_Index,Tab_Compteur_8[[#This Row],[Index]]-E159,Tab_Compteur_8[[#This Row],[Quantité]])/Tab_Compteur_8[[#This Row],[Delta Jour]],""))</f>
        <v/>
      </c>
      <c r="H160" s="177" t="str">
        <f>IFERROR(Tab_Compteur_8[[#This Row],[Montant]]/Tab_Compteur_8[[#This Row],[Delta Jour]],"")</f>
        <v/>
      </c>
      <c r="I160" s="184" t="str">
        <f>IF(SUM(Tab_Compteur_8[[#This Row],[Quantité]],Tab_Compteur_8[[#This Row],[Index]])&lt;=0,"",G160)</f>
        <v/>
      </c>
      <c r="J160" s="185"/>
      <c r="K160" s="36"/>
      <c r="L160" s="36"/>
      <c r="M160" s="36"/>
    </row>
    <row r="161" spans="1:13">
      <c r="A161" s="421">
        <f t="shared" si="5"/>
        <v>1</v>
      </c>
      <c r="B161" s="501"/>
      <c r="C161" s="178"/>
      <c r="D161" s="491"/>
      <c r="E161" s="502"/>
      <c r="F161" s="177">
        <f t="shared" si="4"/>
        <v>0</v>
      </c>
      <c r="G161" s="177" t="str">
        <f>IF(IFERROR(IF(Str_TypeDonneesCpt8=Cpt_Index,Tab_Compteur_8[[#This Row],[Index]]-E160,Tab_Compteur_8[[#This Row],[Quantité]])/Tab_Compteur_8[[#This Row],[Delta Jour]],"")&lt;0,"",IFERROR(IF(Str_TypeDonneesCpt8=Cpt_Index,Tab_Compteur_8[[#This Row],[Index]]-E160,Tab_Compteur_8[[#This Row],[Quantité]])/Tab_Compteur_8[[#This Row],[Delta Jour]],""))</f>
        <v/>
      </c>
      <c r="H161" s="177" t="str">
        <f>IFERROR(Tab_Compteur_8[[#This Row],[Montant]]/Tab_Compteur_8[[#This Row],[Delta Jour]],"")</f>
        <v/>
      </c>
      <c r="I161" s="184" t="str">
        <f>IF(SUM(Tab_Compteur_8[[#This Row],[Quantité]],Tab_Compteur_8[[#This Row],[Index]])&lt;=0,"",G161)</f>
        <v/>
      </c>
      <c r="J161" s="185"/>
      <c r="K161" s="36"/>
      <c r="L161" s="36"/>
      <c r="M161" s="36"/>
    </row>
    <row r="162" spans="1:13">
      <c r="A162" s="421">
        <f t="shared" si="5"/>
        <v>1</v>
      </c>
      <c r="B162" s="501"/>
      <c r="C162" s="178"/>
      <c r="D162" s="491"/>
      <c r="E162" s="502"/>
      <c r="F162" s="177">
        <f t="shared" si="4"/>
        <v>0</v>
      </c>
      <c r="G162" s="177" t="str">
        <f>IF(IFERROR(IF(Str_TypeDonneesCpt8=Cpt_Index,Tab_Compteur_8[[#This Row],[Index]]-E161,Tab_Compteur_8[[#This Row],[Quantité]])/Tab_Compteur_8[[#This Row],[Delta Jour]],"")&lt;0,"",IFERROR(IF(Str_TypeDonneesCpt8=Cpt_Index,Tab_Compteur_8[[#This Row],[Index]]-E161,Tab_Compteur_8[[#This Row],[Quantité]])/Tab_Compteur_8[[#This Row],[Delta Jour]],""))</f>
        <v/>
      </c>
      <c r="H162" s="177" t="str">
        <f>IFERROR(Tab_Compteur_8[[#This Row],[Montant]]/Tab_Compteur_8[[#This Row],[Delta Jour]],"")</f>
        <v/>
      </c>
      <c r="I162" s="184" t="str">
        <f>IF(SUM(Tab_Compteur_8[[#This Row],[Quantité]],Tab_Compteur_8[[#This Row],[Index]])&lt;=0,"",G162)</f>
        <v/>
      </c>
      <c r="J162" s="185"/>
      <c r="K162" s="36"/>
      <c r="L162" s="36"/>
      <c r="M162" s="36"/>
    </row>
    <row r="163" spans="1:13">
      <c r="A163" s="421">
        <f t="shared" si="5"/>
        <v>1</v>
      </c>
      <c r="B163" s="501"/>
      <c r="C163" s="178"/>
      <c r="D163" s="491"/>
      <c r="E163" s="502"/>
      <c r="F163" s="177">
        <f t="shared" si="4"/>
        <v>0</v>
      </c>
      <c r="G163" s="177" t="str">
        <f>IF(IFERROR(IF(Str_TypeDonneesCpt8=Cpt_Index,Tab_Compteur_8[[#This Row],[Index]]-E162,Tab_Compteur_8[[#This Row],[Quantité]])/Tab_Compteur_8[[#This Row],[Delta Jour]],"")&lt;0,"",IFERROR(IF(Str_TypeDonneesCpt8=Cpt_Index,Tab_Compteur_8[[#This Row],[Index]]-E162,Tab_Compteur_8[[#This Row],[Quantité]])/Tab_Compteur_8[[#This Row],[Delta Jour]],""))</f>
        <v/>
      </c>
      <c r="H163" s="177" t="str">
        <f>IFERROR(Tab_Compteur_8[[#This Row],[Montant]]/Tab_Compteur_8[[#This Row],[Delta Jour]],"")</f>
        <v/>
      </c>
      <c r="I163" s="184" t="str">
        <f>IF(SUM(Tab_Compteur_8[[#This Row],[Quantité]],Tab_Compteur_8[[#This Row],[Index]])&lt;=0,"",G163)</f>
        <v/>
      </c>
      <c r="J163" s="185"/>
      <c r="K163" s="36"/>
      <c r="L163" s="36"/>
      <c r="M163" s="36"/>
    </row>
    <row r="164" spans="1:13">
      <c r="A164" s="421">
        <f t="shared" si="5"/>
        <v>1</v>
      </c>
      <c r="B164" s="501"/>
      <c r="C164" s="178"/>
      <c r="D164" s="491"/>
      <c r="E164" s="502"/>
      <c r="F164" s="177">
        <f t="shared" si="4"/>
        <v>0</v>
      </c>
      <c r="G164" s="177" t="str">
        <f>IF(IFERROR(IF(Str_TypeDonneesCpt8=Cpt_Index,Tab_Compteur_8[[#This Row],[Index]]-E163,Tab_Compteur_8[[#This Row],[Quantité]])/Tab_Compteur_8[[#This Row],[Delta Jour]],"")&lt;0,"",IFERROR(IF(Str_TypeDonneesCpt8=Cpt_Index,Tab_Compteur_8[[#This Row],[Index]]-E163,Tab_Compteur_8[[#This Row],[Quantité]])/Tab_Compteur_8[[#This Row],[Delta Jour]],""))</f>
        <v/>
      </c>
      <c r="H164" s="177" t="str">
        <f>IFERROR(Tab_Compteur_8[[#This Row],[Montant]]/Tab_Compteur_8[[#This Row],[Delta Jour]],"")</f>
        <v/>
      </c>
      <c r="I164" s="184" t="str">
        <f>IF(SUM(Tab_Compteur_8[[#This Row],[Quantité]],Tab_Compteur_8[[#This Row],[Index]])&lt;=0,"",G164)</f>
        <v/>
      </c>
      <c r="J164" s="185"/>
      <c r="K164" s="36"/>
      <c r="L164" s="36"/>
      <c r="M164" s="36"/>
    </row>
    <row r="165" spans="1:13">
      <c r="A165" s="421">
        <f t="shared" si="5"/>
        <v>1</v>
      </c>
      <c r="B165" s="501"/>
      <c r="C165" s="178"/>
      <c r="D165" s="491"/>
      <c r="E165" s="502"/>
      <c r="F165" s="177">
        <f t="shared" si="4"/>
        <v>0</v>
      </c>
      <c r="G165" s="177" t="str">
        <f>IF(IFERROR(IF(Str_TypeDonneesCpt8=Cpt_Index,Tab_Compteur_8[[#This Row],[Index]]-E164,Tab_Compteur_8[[#This Row],[Quantité]])/Tab_Compteur_8[[#This Row],[Delta Jour]],"")&lt;0,"",IFERROR(IF(Str_TypeDonneesCpt8=Cpt_Index,Tab_Compteur_8[[#This Row],[Index]]-E164,Tab_Compteur_8[[#This Row],[Quantité]])/Tab_Compteur_8[[#This Row],[Delta Jour]],""))</f>
        <v/>
      </c>
      <c r="H165" s="177" t="str">
        <f>IFERROR(Tab_Compteur_8[[#This Row],[Montant]]/Tab_Compteur_8[[#This Row],[Delta Jour]],"")</f>
        <v/>
      </c>
      <c r="I165" s="184" t="str">
        <f>IF(SUM(Tab_Compteur_8[[#This Row],[Quantité]],Tab_Compteur_8[[#This Row],[Index]])&lt;=0,"",G165)</f>
        <v/>
      </c>
      <c r="J165" s="185"/>
      <c r="K165" s="36"/>
      <c r="L165" s="36"/>
      <c r="M165" s="36"/>
    </row>
    <row r="166" spans="1:13">
      <c r="A166" s="421">
        <f t="shared" si="5"/>
        <v>1</v>
      </c>
      <c r="B166" s="501"/>
      <c r="C166" s="178"/>
      <c r="D166" s="491"/>
      <c r="E166" s="502"/>
      <c r="F166" s="177">
        <f t="shared" si="4"/>
        <v>0</v>
      </c>
      <c r="G166" s="177" t="str">
        <f>IF(IFERROR(IF(Str_TypeDonneesCpt8=Cpt_Index,Tab_Compteur_8[[#This Row],[Index]]-E165,Tab_Compteur_8[[#This Row],[Quantité]])/Tab_Compteur_8[[#This Row],[Delta Jour]],"")&lt;0,"",IFERROR(IF(Str_TypeDonneesCpt8=Cpt_Index,Tab_Compteur_8[[#This Row],[Index]]-E165,Tab_Compteur_8[[#This Row],[Quantité]])/Tab_Compteur_8[[#This Row],[Delta Jour]],""))</f>
        <v/>
      </c>
      <c r="H166" s="177" t="str">
        <f>IFERROR(Tab_Compteur_8[[#This Row],[Montant]]/Tab_Compteur_8[[#This Row],[Delta Jour]],"")</f>
        <v/>
      </c>
      <c r="I166" s="184" t="str">
        <f>IF(SUM(Tab_Compteur_8[[#This Row],[Quantité]],Tab_Compteur_8[[#This Row],[Index]])&lt;=0,"",G166)</f>
        <v/>
      </c>
      <c r="J166" s="185"/>
      <c r="K166" s="36"/>
      <c r="L166" s="36"/>
      <c r="M166" s="36"/>
    </row>
    <row r="167" spans="1:13">
      <c r="A167" s="421">
        <f t="shared" si="5"/>
        <v>1</v>
      </c>
      <c r="B167" s="501"/>
      <c r="C167" s="178"/>
      <c r="D167" s="491"/>
      <c r="E167" s="502"/>
      <c r="F167" s="177">
        <f t="shared" si="4"/>
        <v>0</v>
      </c>
      <c r="G167" s="177" t="str">
        <f>IF(IFERROR(IF(Str_TypeDonneesCpt8=Cpt_Index,Tab_Compteur_8[[#This Row],[Index]]-E166,Tab_Compteur_8[[#This Row],[Quantité]])/Tab_Compteur_8[[#This Row],[Delta Jour]],"")&lt;0,"",IFERROR(IF(Str_TypeDonneesCpt8=Cpt_Index,Tab_Compteur_8[[#This Row],[Index]]-E166,Tab_Compteur_8[[#This Row],[Quantité]])/Tab_Compteur_8[[#This Row],[Delta Jour]],""))</f>
        <v/>
      </c>
      <c r="H167" s="177" t="str">
        <f>IFERROR(Tab_Compteur_8[[#This Row],[Montant]]/Tab_Compteur_8[[#This Row],[Delta Jour]],"")</f>
        <v/>
      </c>
      <c r="I167" s="184" t="str">
        <f>IF(SUM(Tab_Compteur_8[[#This Row],[Quantité]],Tab_Compteur_8[[#This Row],[Index]])&lt;=0,"",G167)</f>
        <v/>
      </c>
      <c r="J167" s="185"/>
      <c r="K167" s="36"/>
      <c r="L167" s="36"/>
      <c r="M167" s="36"/>
    </row>
    <row r="168" spans="1:13">
      <c r="A168" s="421">
        <f t="shared" si="5"/>
        <v>1</v>
      </c>
      <c r="B168" s="501"/>
      <c r="C168" s="178"/>
      <c r="D168" s="491"/>
      <c r="E168" s="502"/>
      <c r="F168" s="177">
        <f t="shared" si="4"/>
        <v>0</v>
      </c>
      <c r="G168" s="177" t="str">
        <f>IF(IFERROR(IF(Str_TypeDonneesCpt8=Cpt_Index,Tab_Compteur_8[[#This Row],[Index]]-E167,Tab_Compteur_8[[#This Row],[Quantité]])/Tab_Compteur_8[[#This Row],[Delta Jour]],"")&lt;0,"",IFERROR(IF(Str_TypeDonneesCpt8=Cpt_Index,Tab_Compteur_8[[#This Row],[Index]]-E167,Tab_Compteur_8[[#This Row],[Quantité]])/Tab_Compteur_8[[#This Row],[Delta Jour]],""))</f>
        <v/>
      </c>
      <c r="H168" s="177" t="str">
        <f>IFERROR(Tab_Compteur_8[[#This Row],[Montant]]/Tab_Compteur_8[[#This Row],[Delta Jour]],"")</f>
        <v/>
      </c>
      <c r="I168" s="184" t="str">
        <f>IF(SUM(Tab_Compteur_8[[#This Row],[Quantité]],Tab_Compteur_8[[#This Row],[Index]])&lt;=0,"",G168)</f>
        <v/>
      </c>
      <c r="J168" s="185"/>
      <c r="K168" s="36"/>
      <c r="L168" s="36"/>
      <c r="M168" s="36"/>
    </row>
    <row r="169" spans="1:13">
      <c r="A169" s="421">
        <f t="shared" si="5"/>
        <v>1</v>
      </c>
      <c r="B169" s="501"/>
      <c r="C169" s="178"/>
      <c r="D169" s="491"/>
      <c r="E169" s="502"/>
      <c r="F169" s="177">
        <f t="shared" si="4"/>
        <v>0</v>
      </c>
      <c r="G169" s="177" t="str">
        <f>IF(IFERROR(IF(Str_TypeDonneesCpt8=Cpt_Index,Tab_Compteur_8[[#This Row],[Index]]-E168,Tab_Compteur_8[[#This Row],[Quantité]])/Tab_Compteur_8[[#This Row],[Delta Jour]],"")&lt;0,"",IFERROR(IF(Str_TypeDonneesCpt8=Cpt_Index,Tab_Compteur_8[[#This Row],[Index]]-E168,Tab_Compteur_8[[#This Row],[Quantité]])/Tab_Compteur_8[[#This Row],[Delta Jour]],""))</f>
        <v/>
      </c>
      <c r="H169" s="177" t="str">
        <f>IFERROR(Tab_Compteur_8[[#This Row],[Montant]]/Tab_Compteur_8[[#This Row],[Delta Jour]],"")</f>
        <v/>
      </c>
      <c r="I169" s="184" t="str">
        <f>IF(SUM(Tab_Compteur_8[[#This Row],[Quantité]],Tab_Compteur_8[[#This Row],[Index]])&lt;=0,"",G169)</f>
        <v/>
      </c>
      <c r="J169" s="185"/>
      <c r="K169" s="36"/>
      <c r="L169" s="36"/>
      <c r="M169" s="36"/>
    </row>
    <row r="170" spans="1:13">
      <c r="A170" s="421">
        <f t="shared" si="5"/>
        <v>1</v>
      </c>
      <c r="B170" s="501"/>
      <c r="C170" s="178"/>
      <c r="D170" s="491"/>
      <c r="E170" s="502"/>
      <c r="F170" s="177">
        <f t="shared" si="4"/>
        <v>0</v>
      </c>
      <c r="G170" s="177" t="str">
        <f>IF(IFERROR(IF(Str_TypeDonneesCpt8=Cpt_Index,Tab_Compteur_8[[#This Row],[Index]]-E169,Tab_Compteur_8[[#This Row],[Quantité]])/Tab_Compteur_8[[#This Row],[Delta Jour]],"")&lt;0,"",IFERROR(IF(Str_TypeDonneesCpt8=Cpt_Index,Tab_Compteur_8[[#This Row],[Index]]-E169,Tab_Compteur_8[[#This Row],[Quantité]])/Tab_Compteur_8[[#This Row],[Delta Jour]],""))</f>
        <v/>
      </c>
      <c r="H170" s="177" t="str">
        <f>IFERROR(Tab_Compteur_8[[#This Row],[Montant]]/Tab_Compteur_8[[#This Row],[Delta Jour]],"")</f>
        <v/>
      </c>
      <c r="I170" s="184" t="str">
        <f>IF(SUM(Tab_Compteur_8[[#This Row],[Quantité]],Tab_Compteur_8[[#This Row],[Index]])&lt;=0,"",G170)</f>
        <v/>
      </c>
      <c r="J170" s="185"/>
      <c r="K170" s="36"/>
      <c r="L170" s="36"/>
      <c r="M170" s="36"/>
    </row>
    <row r="171" spans="1:13">
      <c r="A171" s="421">
        <f t="shared" si="5"/>
        <v>1</v>
      </c>
      <c r="B171" s="501"/>
      <c r="C171" s="178"/>
      <c r="D171" s="491"/>
      <c r="E171" s="502"/>
      <c r="F171" s="177">
        <f t="shared" si="4"/>
        <v>0</v>
      </c>
      <c r="G171" s="177" t="str">
        <f>IF(IFERROR(IF(Str_TypeDonneesCpt8=Cpt_Index,Tab_Compteur_8[[#This Row],[Index]]-E170,Tab_Compteur_8[[#This Row],[Quantité]])/Tab_Compteur_8[[#This Row],[Delta Jour]],"")&lt;0,"",IFERROR(IF(Str_TypeDonneesCpt8=Cpt_Index,Tab_Compteur_8[[#This Row],[Index]]-E170,Tab_Compteur_8[[#This Row],[Quantité]])/Tab_Compteur_8[[#This Row],[Delta Jour]],""))</f>
        <v/>
      </c>
      <c r="H171" s="177" t="str">
        <f>IFERROR(Tab_Compteur_8[[#This Row],[Montant]]/Tab_Compteur_8[[#This Row],[Delta Jour]],"")</f>
        <v/>
      </c>
      <c r="I171" s="184" t="str">
        <f>IF(SUM(Tab_Compteur_8[[#This Row],[Quantité]],Tab_Compteur_8[[#This Row],[Index]])&lt;=0,"",G171)</f>
        <v/>
      </c>
      <c r="J171" s="185"/>
      <c r="K171" s="36"/>
      <c r="L171" s="36"/>
      <c r="M171" s="36"/>
    </row>
    <row r="172" spans="1:13">
      <c r="A172" s="421">
        <f t="shared" si="5"/>
        <v>1</v>
      </c>
      <c r="B172" s="501"/>
      <c r="C172" s="178"/>
      <c r="D172" s="491"/>
      <c r="E172" s="502"/>
      <c r="F172" s="177">
        <f t="shared" si="4"/>
        <v>0</v>
      </c>
      <c r="G172" s="177" t="str">
        <f>IF(IFERROR(IF(Str_TypeDonneesCpt8=Cpt_Index,Tab_Compteur_8[[#This Row],[Index]]-E171,Tab_Compteur_8[[#This Row],[Quantité]])/Tab_Compteur_8[[#This Row],[Delta Jour]],"")&lt;0,"",IFERROR(IF(Str_TypeDonneesCpt8=Cpt_Index,Tab_Compteur_8[[#This Row],[Index]]-E171,Tab_Compteur_8[[#This Row],[Quantité]])/Tab_Compteur_8[[#This Row],[Delta Jour]],""))</f>
        <v/>
      </c>
      <c r="H172" s="177" t="str">
        <f>IFERROR(Tab_Compteur_8[[#This Row],[Montant]]/Tab_Compteur_8[[#This Row],[Delta Jour]],"")</f>
        <v/>
      </c>
      <c r="I172" s="184" t="str">
        <f>IF(SUM(Tab_Compteur_8[[#This Row],[Quantité]],Tab_Compteur_8[[#This Row],[Index]])&lt;=0,"",G172)</f>
        <v/>
      </c>
      <c r="J172" s="185"/>
      <c r="K172" s="36"/>
      <c r="L172" s="36"/>
      <c r="M172" s="36"/>
    </row>
    <row r="173" spans="1:13">
      <c r="A173" s="421">
        <f t="shared" si="5"/>
        <v>1</v>
      </c>
      <c r="B173" s="501"/>
      <c r="C173" s="178"/>
      <c r="D173" s="491"/>
      <c r="E173" s="502"/>
      <c r="F173" s="177">
        <f t="shared" si="4"/>
        <v>0</v>
      </c>
      <c r="G173" s="177" t="str">
        <f>IF(IFERROR(IF(Str_TypeDonneesCpt8=Cpt_Index,Tab_Compteur_8[[#This Row],[Index]]-E172,Tab_Compteur_8[[#This Row],[Quantité]])/Tab_Compteur_8[[#This Row],[Delta Jour]],"")&lt;0,"",IFERROR(IF(Str_TypeDonneesCpt8=Cpt_Index,Tab_Compteur_8[[#This Row],[Index]]-E172,Tab_Compteur_8[[#This Row],[Quantité]])/Tab_Compteur_8[[#This Row],[Delta Jour]],""))</f>
        <v/>
      </c>
      <c r="H173" s="177" t="str">
        <f>IFERROR(Tab_Compteur_8[[#This Row],[Montant]]/Tab_Compteur_8[[#This Row],[Delta Jour]],"")</f>
        <v/>
      </c>
      <c r="I173" s="184" t="str">
        <f>IF(SUM(Tab_Compteur_8[[#This Row],[Quantité]],Tab_Compteur_8[[#This Row],[Index]])&lt;=0,"",G173)</f>
        <v/>
      </c>
      <c r="J173" s="185"/>
      <c r="K173" s="36"/>
      <c r="L173" s="36"/>
      <c r="M173" s="36"/>
    </row>
    <row r="174" spans="1:13">
      <c r="A174" s="421">
        <f t="shared" si="5"/>
        <v>1</v>
      </c>
      <c r="B174" s="501"/>
      <c r="C174" s="178"/>
      <c r="D174" s="491"/>
      <c r="E174" s="502"/>
      <c r="F174" s="177">
        <f t="shared" si="4"/>
        <v>0</v>
      </c>
      <c r="G174" s="177" t="str">
        <f>IF(IFERROR(IF(Str_TypeDonneesCpt8=Cpt_Index,Tab_Compteur_8[[#This Row],[Index]]-E173,Tab_Compteur_8[[#This Row],[Quantité]])/Tab_Compteur_8[[#This Row],[Delta Jour]],"")&lt;0,"",IFERROR(IF(Str_TypeDonneesCpt8=Cpt_Index,Tab_Compteur_8[[#This Row],[Index]]-E173,Tab_Compteur_8[[#This Row],[Quantité]])/Tab_Compteur_8[[#This Row],[Delta Jour]],""))</f>
        <v/>
      </c>
      <c r="H174" s="177" t="str">
        <f>IFERROR(Tab_Compteur_8[[#This Row],[Montant]]/Tab_Compteur_8[[#This Row],[Delta Jour]],"")</f>
        <v/>
      </c>
      <c r="I174" s="184" t="str">
        <f>IF(SUM(Tab_Compteur_8[[#This Row],[Quantité]],Tab_Compteur_8[[#This Row],[Index]])&lt;=0,"",G174)</f>
        <v/>
      </c>
      <c r="J174" s="185"/>
      <c r="K174" s="36"/>
      <c r="L174" s="36"/>
      <c r="M174" s="36"/>
    </row>
    <row r="175" spans="1:13">
      <c r="A175" s="421">
        <f t="shared" si="5"/>
        <v>1</v>
      </c>
      <c r="B175" s="501"/>
      <c r="C175" s="178"/>
      <c r="D175" s="491"/>
      <c r="E175" s="502"/>
      <c r="F175" s="177">
        <f t="shared" si="4"/>
        <v>0</v>
      </c>
      <c r="G175" s="177" t="str">
        <f>IF(IFERROR(IF(Str_TypeDonneesCpt8=Cpt_Index,Tab_Compteur_8[[#This Row],[Index]]-E174,Tab_Compteur_8[[#This Row],[Quantité]])/Tab_Compteur_8[[#This Row],[Delta Jour]],"")&lt;0,"",IFERROR(IF(Str_TypeDonneesCpt8=Cpt_Index,Tab_Compteur_8[[#This Row],[Index]]-E174,Tab_Compteur_8[[#This Row],[Quantité]])/Tab_Compteur_8[[#This Row],[Delta Jour]],""))</f>
        <v/>
      </c>
      <c r="H175" s="177" t="str">
        <f>IFERROR(Tab_Compteur_8[[#This Row],[Montant]]/Tab_Compteur_8[[#This Row],[Delta Jour]],"")</f>
        <v/>
      </c>
      <c r="I175" s="184" t="str">
        <f>IF(SUM(Tab_Compteur_8[[#This Row],[Quantité]],Tab_Compteur_8[[#This Row],[Index]])&lt;=0,"",G175)</f>
        <v/>
      </c>
      <c r="J175" s="185"/>
      <c r="K175" s="36"/>
      <c r="L175" s="36"/>
      <c r="M175" s="36"/>
    </row>
    <row r="176" spans="1:13">
      <c r="A176" s="421">
        <f t="shared" si="5"/>
        <v>1</v>
      </c>
      <c r="B176" s="501"/>
      <c r="C176" s="178"/>
      <c r="D176" s="491"/>
      <c r="E176" s="502"/>
      <c r="F176" s="177">
        <f t="shared" si="4"/>
        <v>0</v>
      </c>
      <c r="G176" s="177" t="str">
        <f>IF(IFERROR(IF(Str_TypeDonneesCpt8=Cpt_Index,Tab_Compteur_8[[#This Row],[Index]]-E175,Tab_Compteur_8[[#This Row],[Quantité]])/Tab_Compteur_8[[#This Row],[Delta Jour]],"")&lt;0,"",IFERROR(IF(Str_TypeDonneesCpt8=Cpt_Index,Tab_Compteur_8[[#This Row],[Index]]-E175,Tab_Compteur_8[[#This Row],[Quantité]])/Tab_Compteur_8[[#This Row],[Delta Jour]],""))</f>
        <v/>
      </c>
      <c r="H176" s="177" t="str">
        <f>IFERROR(Tab_Compteur_8[[#This Row],[Montant]]/Tab_Compteur_8[[#This Row],[Delta Jour]],"")</f>
        <v/>
      </c>
      <c r="I176" s="184" t="str">
        <f>IF(SUM(Tab_Compteur_8[[#This Row],[Quantité]],Tab_Compteur_8[[#This Row],[Index]])&lt;=0,"",G176)</f>
        <v/>
      </c>
      <c r="J176" s="185"/>
      <c r="K176" s="36"/>
      <c r="L176" s="36"/>
      <c r="M176" s="36"/>
    </row>
    <row r="177" spans="1:13">
      <c r="A177" s="421">
        <f t="shared" si="5"/>
        <v>1</v>
      </c>
      <c r="B177" s="501"/>
      <c r="C177" s="178"/>
      <c r="D177" s="491"/>
      <c r="E177" s="502"/>
      <c r="F177" s="177">
        <f t="shared" si="4"/>
        <v>0</v>
      </c>
      <c r="G177" s="177" t="str">
        <f>IF(IFERROR(IF(Str_TypeDonneesCpt8=Cpt_Index,Tab_Compteur_8[[#This Row],[Index]]-E176,Tab_Compteur_8[[#This Row],[Quantité]])/Tab_Compteur_8[[#This Row],[Delta Jour]],"")&lt;0,"",IFERROR(IF(Str_TypeDonneesCpt8=Cpt_Index,Tab_Compteur_8[[#This Row],[Index]]-E176,Tab_Compteur_8[[#This Row],[Quantité]])/Tab_Compteur_8[[#This Row],[Delta Jour]],""))</f>
        <v/>
      </c>
      <c r="H177" s="177" t="str">
        <f>IFERROR(Tab_Compteur_8[[#This Row],[Montant]]/Tab_Compteur_8[[#This Row],[Delta Jour]],"")</f>
        <v/>
      </c>
      <c r="I177" s="184" t="str">
        <f>IF(SUM(Tab_Compteur_8[[#This Row],[Quantité]],Tab_Compteur_8[[#This Row],[Index]])&lt;=0,"",G177)</f>
        <v/>
      </c>
      <c r="J177" s="185"/>
      <c r="K177" s="36"/>
      <c r="L177" s="36"/>
      <c r="M177" s="36"/>
    </row>
    <row r="178" spans="1:13">
      <c r="A178" s="421">
        <f t="shared" si="5"/>
        <v>1</v>
      </c>
      <c r="B178" s="501"/>
      <c r="C178" s="178"/>
      <c r="D178" s="491"/>
      <c r="E178" s="502"/>
      <c r="F178" s="177">
        <f t="shared" si="4"/>
        <v>0</v>
      </c>
      <c r="G178" s="177" t="str">
        <f>IF(IFERROR(IF(Str_TypeDonneesCpt8=Cpt_Index,Tab_Compteur_8[[#This Row],[Index]]-E177,Tab_Compteur_8[[#This Row],[Quantité]])/Tab_Compteur_8[[#This Row],[Delta Jour]],"")&lt;0,"",IFERROR(IF(Str_TypeDonneesCpt8=Cpt_Index,Tab_Compteur_8[[#This Row],[Index]]-E177,Tab_Compteur_8[[#This Row],[Quantité]])/Tab_Compteur_8[[#This Row],[Delta Jour]],""))</f>
        <v/>
      </c>
      <c r="H178" s="177" t="str">
        <f>IFERROR(Tab_Compteur_8[[#This Row],[Montant]]/Tab_Compteur_8[[#This Row],[Delta Jour]],"")</f>
        <v/>
      </c>
      <c r="I178" s="184" t="str">
        <f>IF(SUM(Tab_Compteur_8[[#This Row],[Quantité]],Tab_Compteur_8[[#This Row],[Index]])&lt;=0,"",G178)</f>
        <v/>
      </c>
      <c r="J178" s="185"/>
      <c r="K178" s="36"/>
      <c r="L178" s="36"/>
      <c r="M178" s="36"/>
    </row>
    <row r="179" spans="1:13">
      <c r="A179" s="421">
        <f t="shared" si="5"/>
        <v>1</v>
      </c>
      <c r="B179" s="501"/>
      <c r="C179" s="178"/>
      <c r="D179" s="491"/>
      <c r="E179" s="502"/>
      <c r="F179" s="177">
        <f t="shared" si="4"/>
        <v>0</v>
      </c>
      <c r="G179" s="177" t="str">
        <f>IF(IFERROR(IF(Str_TypeDonneesCpt8=Cpt_Index,Tab_Compteur_8[[#This Row],[Index]]-E178,Tab_Compteur_8[[#This Row],[Quantité]])/Tab_Compteur_8[[#This Row],[Delta Jour]],"")&lt;0,"",IFERROR(IF(Str_TypeDonneesCpt8=Cpt_Index,Tab_Compteur_8[[#This Row],[Index]]-E178,Tab_Compteur_8[[#This Row],[Quantité]])/Tab_Compteur_8[[#This Row],[Delta Jour]],""))</f>
        <v/>
      </c>
      <c r="H179" s="177" t="str">
        <f>IFERROR(Tab_Compteur_8[[#This Row],[Montant]]/Tab_Compteur_8[[#This Row],[Delta Jour]],"")</f>
        <v/>
      </c>
      <c r="I179" s="184" t="str">
        <f>IF(SUM(Tab_Compteur_8[[#This Row],[Quantité]],Tab_Compteur_8[[#This Row],[Index]])&lt;=0,"",G179)</f>
        <v/>
      </c>
      <c r="J179" s="185"/>
      <c r="K179" s="36"/>
      <c r="L179" s="36"/>
      <c r="M179" s="36"/>
    </row>
    <row r="180" spans="1:13">
      <c r="A180" s="421">
        <f t="shared" si="5"/>
        <v>1</v>
      </c>
      <c r="B180" s="501"/>
      <c r="C180" s="178"/>
      <c r="D180" s="491"/>
      <c r="E180" s="502"/>
      <c r="F180" s="177">
        <f t="shared" si="4"/>
        <v>0</v>
      </c>
      <c r="G180" s="177" t="str">
        <f>IF(IFERROR(IF(Str_TypeDonneesCpt8=Cpt_Index,Tab_Compteur_8[[#This Row],[Index]]-E179,Tab_Compteur_8[[#This Row],[Quantité]])/Tab_Compteur_8[[#This Row],[Delta Jour]],"")&lt;0,"",IFERROR(IF(Str_TypeDonneesCpt8=Cpt_Index,Tab_Compteur_8[[#This Row],[Index]]-E179,Tab_Compteur_8[[#This Row],[Quantité]])/Tab_Compteur_8[[#This Row],[Delta Jour]],""))</f>
        <v/>
      </c>
      <c r="H180" s="177" t="str">
        <f>IFERROR(Tab_Compteur_8[[#This Row],[Montant]]/Tab_Compteur_8[[#This Row],[Delta Jour]],"")</f>
        <v/>
      </c>
      <c r="I180" s="184" t="str">
        <f>IF(SUM(Tab_Compteur_8[[#This Row],[Quantité]],Tab_Compteur_8[[#This Row],[Index]])&lt;=0,"",G180)</f>
        <v/>
      </c>
      <c r="J180" s="185"/>
      <c r="K180" s="36"/>
      <c r="L180" s="36"/>
      <c r="M180" s="36"/>
    </row>
    <row r="181" spans="1:13">
      <c r="A181" s="421">
        <f t="shared" si="5"/>
        <v>1</v>
      </c>
      <c r="B181" s="501"/>
      <c r="C181" s="178"/>
      <c r="D181" s="491"/>
      <c r="E181" s="502"/>
      <c r="F181" s="177">
        <f t="shared" si="4"/>
        <v>0</v>
      </c>
      <c r="G181" s="177" t="str">
        <f>IF(IFERROR(IF(Str_TypeDonneesCpt8=Cpt_Index,Tab_Compteur_8[[#This Row],[Index]]-E180,Tab_Compteur_8[[#This Row],[Quantité]])/Tab_Compteur_8[[#This Row],[Delta Jour]],"")&lt;0,"",IFERROR(IF(Str_TypeDonneesCpt8=Cpt_Index,Tab_Compteur_8[[#This Row],[Index]]-E180,Tab_Compteur_8[[#This Row],[Quantité]])/Tab_Compteur_8[[#This Row],[Delta Jour]],""))</f>
        <v/>
      </c>
      <c r="H181" s="177" t="str">
        <f>IFERROR(Tab_Compteur_8[[#This Row],[Montant]]/Tab_Compteur_8[[#This Row],[Delta Jour]],"")</f>
        <v/>
      </c>
      <c r="I181" s="184" t="str">
        <f>IF(SUM(Tab_Compteur_8[[#This Row],[Quantité]],Tab_Compteur_8[[#This Row],[Index]])&lt;=0,"",G181)</f>
        <v/>
      </c>
      <c r="J181" s="185"/>
      <c r="K181" s="36"/>
      <c r="L181" s="36"/>
      <c r="M181" s="36"/>
    </row>
    <row r="182" spans="1:13">
      <c r="A182" s="421">
        <f t="shared" si="5"/>
        <v>1</v>
      </c>
      <c r="B182" s="501"/>
      <c r="C182" s="178"/>
      <c r="D182" s="491"/>
      <c r="E182" s="502"/>
      <c r="F182" s="177">
        <f t="shared" si="4"/>
        <v>0</v>
      </c>
      <c r="G182" s="177" t="str">
        <f>IF(IFERROR(IF(Str_TypeDonneesCpt8=Cpt_Index,Tab_Compteur_8[[#This Row],[Index]]-E181,Tab_Compteur_8[[#This Row],[Quantité]])/Tab_Compteur_8[[#This Row],[Delta Jour]],"")&lt;0,"",IFERROR(IF(Str_TypeDonneesCpt8=Cpt_Index,Tab_Compteur_8[[#This Row],[Index]]-E181,Tab_Compteur_8[[#This Row],[Quantité]])/Tab_Compteur_8[[#This Row],[Delta Jour]],""))</f>
        <v/>
      </c>
      <c r="H182" s="177" t="str">
        <f>IFERROR(Tab_Compteur_8[[#This Row],[Montant]]/Tab_Compteur_8[[#This Row],[Delta Jour]],"")</f>
        <v/>
      </c>
      <c r="I182" s="184" t="str">
        <f>IF(SUM(Tab_Compteur_8[[#This Row],[Quantité]],Tab_Compteur_8[[#This Row],[Index]])&lt;=0,"",G182)</f>
        <v/>
      </c>
      <c r="J182" s="185"/>
      <c r="K182" s="36"/>
      <c r="L182" s="36"/>
      <c r="M182" s="36"/>
    </row>
    <row r="183" spans="1:13">
      <c r="A183" s="421">
        <f t="shared" si="5"/>
        <v>1</v>
      </c>
      <c r="B183" s="501"/>
      <c r="C183" s="178"/>
      <c r="D183" s="491"/>
      <c r="E183" s="502"/>
      <c r="F183" s="177">
        <f t="shared" si="4"/>
        <v>0</v>
      </c>
      <c r="G183" s="177" t="str">
        <f>IF(IFERROR(IF(Str_TypeDonneesCpt8=Cpt_Index,Tab_Compteur_8[[#This Row],[Index]]-E182,Tab_Compteur_8[[#This Row],[Quantité]])/Tab_Compteur_8[[#This Row],[Delta Jour]],"")&lt;0,"",IFERROR(IF(Str_TypeDonneesCpt8=Cpt_Index,Tab_Compteur_8[[#This Row],[Index]]-E182,Tab_Compteur_8[[#This Row],[Quantité]])/Tab_Compteur_8[[#This Row],[Delta Jour]],""))</f>
        <v/>
      </c>
      <c r="H183" s="177" t="str">
        <f>IFERROR(Tab_Compteur_8[[#This Row],[Montant]]/Tab_Compteur_8[[#This Row],[Delta Jour]],"")</f>
        <v/>
      </c>
      <c r="I183" s="184" t="str">
        <f>IF(SUM(Tab_Compteur_8[[#This Row],[Quantité]],Tab_Compteur_8[[#This Row],[Index]])&lt;=0,"",G183)</f>
        <v/>
      </c>
      <c r="J183" s="185"/>
      <c r="K183" s="36"/>
      <c r="L183" s="36"/>
      <c r="M183" s="36"/>
    </row>
    <row r="184" spans="1:13">
      <c r="A184" s="421">
        <f t="shared" si="5"/>
        <v>1</v>
      </c>
      <c r="B184" s="501"/>
      <c r="C184" s="178"/>
      <c r="D184" s="491"/>
      <c r="E184" s="502"/>
      <c r="F184" s="177">
        <f t="shared" si="4"/>
        <v>0</v>
      </c>
      <c r="G184" s="177" t="str">
        <f>IF(IFERROR(IF(Str_TypeDonneesCpt8=Cpt_Index,Tab_Compteur_8[[#This Row],[Index]]-E183,Tab_Compteur_8[[#This Row],[Quantité]])/Tab_Compteur_8[[#This Row],[Delta Jour]],"")&lt;0,"",IFERROR(IF(Str_TypeDonneesCpt8=Cpt_Index,Tab_Compteur_8[[#This Row],[Index]]-E183,Tab_Compteur_8[[#This Row],[Quantité]])/Tab_Compteur_8[[#This Row],[Delta Jour]],""))</f>
        <v/>
      </c>
      <c r="H184" s="177" t="str">
        <f>IFERROR(Tab_Compteur_8[[#This Row],[Montant]]/Tab_Compteur_8[[#This Row],[Delta Jour]],"")</f>
        <v/>
      </c>
      <c r="I184" s="184" t="str">
        <f>IF(SUM(Tab_Compteur_8[[#This Row],[Quantité]],Tab_Compteur_8[[#This Row],[Index]])&lt;=0,"",G184)</f>
        <v/>
      </c>
      <c r="J184" s="185"/>
      <c r="K184" s="36"/>
      <c r="L184" s="36"/>
      <c r="M184" s="36"/>
    </row>
    <row r="185" spans="1:13">
      <c r="A185" s="421">
        <f t="shared" si="5"/>
        <v>1</v>
      </c>
      <c r="B185" s="501"/>
      <c r="C185" s="178"/>
      <c r="D185" s="491"/>
      <c r="E185" s="502"/>
      <c r="F185" s="177">
        <f t="shared" si="4"/>
        <v>0</v>
      </c>
      <c r="G185" s="177" t="str">
        <f>IF(IFERROR(IF(Str_TypeDonneesCpt8=Cpt_Index,Tab_Compteur_8[[#This Row],[Index]]-E184,Tab_Compteur_8[[#This Row],[Quantité]])/Tab_Compteur_8[[#This Row],[Delta Jour]],"")&lt;0,"",IFERROR(IF(Str_TypeDonneesCpt8=Cpt_Index,Tab_Compteur_8[[#This Row],[Index]]-E184,Tab_Compteur_8[[#This Row],[Quantité]])/Tab_Compteur_8[[#This Row],[Delta Jour]],""))</f>
        <v/>
      </c>
      <c r="H185" s="177" t="str">
        <f>IFERROR(Tab_Compteur_8[[#This Row],[Montant]]/Tab_Compteur_8[[#This Row],[Delta Jour]],"")</f>
        <v/>
      </c>
      <c r="I185" s="184" t="str">
        <f>IF(SUM(Tab_Compteur_8[[#This Row],[Quantité]],Tab_Compteur_8[[#This Row],[Index]])&lt;=0,"",G185)</f>
        <v/>
      </c>
      <c r="J185" s="185"/>
      <c r="K185" s="36"/>
      <c r="L185" s="36"/>
      <c r="M185" s="36"/>
    </row>
    <row r="186" spans="1:13">
      <c r="A186" s="421">
        <f t="shared" si="5"/>
        <v>1</v>
      </c>
      <c r="B186" s="501"/>
      <c r="C186" s="178"/>
      <c r="D186" s="491"/>
      <c r="E186" s="502"/>
      <c r="F186" s="177">
        <f t="shared" si="4"/>
        <v>0</v>
      </c>
      <c r="G186" s="177" t="str">
        <f>IF(IFERROR(IF(Str_TypeDonneesCpt8=Cpt_Index,Tab_Compteur_8[[#This Row],[Index]]-E185,Tab_Compteur_8[[#This Row],[Quantité]])/Tab_Compteur_8[[#This Row],[Delta Jour]],"")&lt;0,"",IFERROR(IF(Str_TypeDonneesCpt8=Cpt_Index,Tab_Compteur_8[[#This Row],[Index]]-E185,Tab_Compteur_8[[#This Row],[Quantité]])/Tab_Compteur_8[[#This Row],[Delta Jour]],""))</f>
        <v/>
      </c>
      <c r="H186" s="177" t="str">
        <f>IFERROR(Tab_Compteur_8[[#This Row],[Montant]]/Tab_Compteur_8[[#This Row],[Delta Jour]],"")</f>
        <v/>
      </c>
      <c r="I186" s="184" t="str">
        <f>IF(SUM(Tab_Compteur_8[[#This Row],[Quantité]],Tab_Compteur_8[[#This Row],[Index]])&lt;=0,"",G186)</f>
        <v/>
      </c>
      <c r="J186" s="185"/>
      <c r="K186" s="36"/>
      <c r="L186" s="36"/>
      <c r="M186" s="36"/>
    </row>
    <row r="187" spans="1:13">
      <c r="A187" s="421">
        <f t="shared" si="5"/>
        <v>1</v>
      </c>
      <c r="B187" s="501"/>
      <c r="C187" s="178"/>
      <c r="D187" s="491"/>
      <c r="E187" s="502"/>
      <c r="F187" s="177">
        <f t="shared" si="4"/>
        <v>0</v>
      </c>
      <c r="G187" s="177" t="str">
        <f>IF(IFERROR(IF(Str_TypeDonneesCpt8=Cpt_Index,Tab_Compteur_8[[#This Row],[Index]]-E186,Tab_Compteur_8[[#This Row],[Quantité]])/Tab_Compteur_8[[#This Row],[Delta Jour]],"")&lt;0,"",IFERROR(IF(Str_TypeDonneesCpt8=Cpt_Index,Tab_Compteur_8[[#This Row],[Index]]-E186,Tab_Compteur_8[[#This Row],[Quantité]])/Tab_Compteur_8[[#This Row],[Delta Jour]],""))</f>
        <v/>
      </c>
      <c r="H187" s="177" t="str">
        <f>IFERROR(Tab_Compteur_8[[#This Row],[Montant]]/Tab_Compteur_8[[#This Row],[Delta Jour]],"")</f>
        <v/>
      </c>
      <c r="I187" s="184" t="str">
        <f>IF(SUM(Tab_Compteur_8[[#This Row],[Quantité]],Tab_Compteur_8[[#This Row],[Index]])&lt;=0,"",G187)</f>
        <v/>
      </c>
      <c r="J187" s="185"/>
      <c r="K187" s="36"/>
      <c r="L187" s="36"/>
      <c r="M187" s="36"/>
    </row>
    <row r="188" spans="1:13">
      <c r="A188" s="421">
        <f t="shared" si="5"/>
        <v>1</v>
      </c>
      <c r="B188" s="501"/>
      <c r="C188" s="178"/>
      <c r="D188" s="491"/>
      <c r="E188" s="502"/>
      <c r="F188" s="177">
        <f t="shared" si="4"/>
        <v>0</v>
      </c>
      <c r="G188" s="177" t="str">
        <f>IF(IFERROR(IF(Str_TypeDonneesCpt8=Cpt_Index,Tab_Compteur_8[[#This Row],[Index]]-E187,Tab_Compteur_8[[#This Row],[Quantité]])/Tab_Compteur_8[[#This Row],[Delta Jour]],"")&lt;0,"",IFERROR(IF(Str_TypeDonneesCpt8=Cpt_Index,Tab_Compteur_8[[#This Row],[Index]]-E187,Tab_Compteur_8[[#This Row],[Quantité]])/Tab_Compteur_8[[#This Row],[Delta Jour]],""))</f>
        <v/>
      </c>
      <c r="H188" s="177" t="str">
        <f>IFERROR(Tab_Compteur_8[[#This Row],[Montant]]/Tab_Compteur_8[[#This Row],[Delta Jour]],"")</f>
        <v/>
      </c>
      <c r="I188" s="184" t="str">
        <f>IF(SUM(Tab_Compteur_8[[#This Row],[Quantité]],Tab_Compteur_8[[#This Row],[Index]])&lt;=0,"",G188)</f>
        <v/>
      </c>
      <c r="J188" s="185"/>
      <c r="K188" s="36"/>
      <c r="L188" s="36"/>
      <c r="M188" s="36"/>
    </row>
    <row r="189" spans="1:13">
      <c r="A189" s="421">
        <f t="shared" si="5"/>
        <v>1</v>
      </c>
      <c r="B189" s="501"/>
      <c r="C189" s="178"/>
      <c r="D189" s="491"/>
      <c r="E189" s="502"/>
      <c r="F189" s="177">
        <f t="shared" si="4"/>
        <v>0</v>
      </c>
      <c r="G189" s="177" t="str">
        <f>IF(IFERROR(IF(Str_TypeDonneesCpt8=Cpt_Index,Tab_Compteur_8[[#This Row],[Index]]-E188,Tab_Compteur_8[[#This Row],[Quantité]])/Tab_Compteur_8[[#This Row],[Delta Jour]],"")&lt;0,"",IFERROR(IF(Str_TypeDonneesCpt8=Cpt_Index,Tab_Compteur_8[[#This Row],[Index]]-E188,Tab_Compteur_8[[#This Row],[Quantité]])/Tab_Compteur_8[[#This Row],[Delta Jour]],""))</f>
        <v/>
      </c>
      <c r="H189" s="177" t="str">
        <f>IFERROR(Tab_Compteur_8[[#This Row],[Montant]]/Tab_Compteur_8[[#This Row],[Delta Jour]],"")</f>
        <v/>
      </c>
      <c r="I189" s="184" t="str">
        <f>IF(SUM(Tab_Compteur_8[[#This Row],[Quantité]],Tab_Compteur_8[[#This Row],[Index]])&lt;=0,"",G189)</f>
        <v/>
      </c>
      <c r="J189" s="185"/>
      <c r="K189" s="36"/>
      <c r="L189" s="36"/>
      <c r="M189" s="36"/>
    </row>
    <row r="190" spans="1:13">
      <c r="A190" s="421">
        <f t="shared" si="5"/>
        <v>1</v>
      </c>
      <c r="B190" s="501"/>
      <c r="C190" s="178"/>
      <c r="D190" s="491"/>
      <c r="E190" s="502"/>
      <c r="F190" s="177">
        <f t="shared" si="4"/>
        <v>0</v>
      </c>
      <c r="G190" s="177" t="str">
        <f>IF(IFERROR(IF(Str_TypeDonneesCpt8=Cpt_Index,Tab_Compteur_8[[#This Row],[Index]]-E189,Tab_Compteur_8[[#This Row],[Quantité]])/Tab_Compteur_8[[#This Row],[Delta Jour]],"")&lt;0,"",IFERROR(IF(Str_TypeDonneesCpt8=Cpt_Index,Tab_Compteur_8[[#This Row],[Index]]-E189,Tab_Compteur_8[[#This Row],[Quantité]])/Tab_Compteur_8[[#This Row],[Delta Jour]],""))</f>
        <v/>
      </c>
      <c r="H190" s="177" t="str">
        <f>IFERROR(Tab_Compteur_8[[#This Row],[Montant]]/Tab_Compteur_8[[#This Row],[Delta Jour]],"")</f>
        <v/>
      </c>
      <c r="I190" s="184" t="str">
        <f>IF(SUM(Tab_Compteur_8[[#This Row],[Quantité]],Tab_Compteur_8[[#This Row],[Index]])&lt;=0,"",G190)</f>
        <v/>
      </c>
      <c r="J190" s="185"/>
      <c r="K190" s="36"/>
      <c r="L190" s="36"/>
      <c r="M190" s="36"/>
    </row>
    <row r="191" spans="1:13">
      <c r="A191" s="421">
        <f t="shared" si="5"/>
        <v>1</v>
      </c>
      <c r="B191" s="501"/>
      <c r="C191" s="178"/>
      <c r="D191" s="491"/>
      <c r="E191" s="502"/>
      <c r="F191" s="177">
        <f t="shared" si="4"/>
        <v>0</v>
      </c>
      <c r="G191" s="177" t="str">
        <f>IF(IFERROR(IF(Str_TypeDonneesCpt8=Cpt_Index,Tab_Compteur_8[[#This Row],[Index]]-E190,Tab_Compteur_8[[#This Row],[Quantité]])/Tab_Compteur_8[[#This Row],[Delta Jour]],"")&lt;0,"",IFERROR(IF(Str_TypeDonneesCpt8=Cpt_Index,Tab_Compteur_8[[#This Row],[Index]]-E190,Tab_Compteur_8[[#This Row],[Quantité]])/Tab_Compteur_8[[#This Row],[Delta Jour]],""))</f>
        <v/>
      </c>
      <c r="H191" s="177" t="str">
        <f>IFERROR(Tab_Compteur_8[[#This Row],[Montant]]/Tab_Compteur_8[[#This Row],[Delta Jour]],"")</f>
        <v/>
      </c>
      <c r="I191" s="184" t="str">
        <f>IF(SUM(Tab_Compteur_8[[#This Row],[Quantité]],Tab_Compteur_8[[#This Row],[Index]])&lt;=0,"",G191)</f>
        <v/>
      </c>
      <c r="J191" s="185"/>
      <c r="K191" s="36"/>
      <c r="L191" s="36"/>
      <c r="M191" s="36"/>
    </row>
    <row r="192" spans="1:13">
      <c r="A192" s="421">
        <f t="shared" si="5"/>
        <v>1</v>
      </c>
      <c r="B192" s="501"/>
      <c r="C192" s="178"/>
      <c r="D192" s="491"/>
      <c r="E192" s="502"/>
      <c r="F192" s="177">
        <f t="shared" si="4"/>
        <v>0</v>
      </c>
      <c r="G192" s="177" t="str">
        <f>IF(IFERROR(IF(Str_TypeDonneesCpt8=Cpt_Index,Tab_Compteur_8[[#This Row],[Index]]-E191,Tab_Compteur_8[[#This Row],[Quantité]])/Tab_Compteur_8[[#This Row],[Delta Jour]],"")&lt;0,"",IFERROR(IF(Str_TypeDonneesCpt8=Cpt_Index,Tab_Compteur_8[[#This Row],[Index]]-E191,Tab_Compteur_8[[#This Row],[Quantité]])/Tab_Compteur_8[[#This Row],[Delta Jour]],""))</f>
        <v/>
      </c>
      <c r="H192" s="177" t="str">
        <f>IFERROR(Tab_Compteur_8[[#This Row],[Montant]]/Tab_Compteur_8[[#This Row],[Delta Jour]],"")</f>
        <v/>
      </c>
      <c r="I192" s="184" t="str">
        <f>IF(SUM(Tab_Compteur_8[[#This Row],[Quantité]],Tab_Compteur_8[[#This Row],[Index]])&lt;=0,"",G192)</f>
        <v/>
      </c>
      <c r="J192" s="185"/>
      <c r="K192" s="36"/>
      <c r="L192" s="36"/>
      <c r="M192" s="36"/>
    </row>
    <row r="193" spans="1:13">
      <c r="A193" s="421">
        <f t="shared" si="5"/>
        <v>1</v>
      </c>
      <c r="B193" s="501"/>
      <c r="C193" s="178"/>
      <c r="D193" s="491"/>
      <c r="E193" s="502"/>
      <c r="F193" s="177">
        <f t="shared" si="4"/>
        <v>0</v>
      </c>
      <c r="G193" s="177" t="str">
        <f>IF(IFERROR(IF(Str_TypeDonneesCpt8=Cpt_Index,Tab_Compteur_8[[#This Row],[Index]]-E192,Tab_Compteur_8[[#This Row],[Quantité]])/Tab_Compteur_8[[#This Row],[Delta Jour]],"")&lt;0,"",IFERROR(IF(Str_TypeDonneesCpt8=Cpt_Index,Tab_Compteur_8[[#This Row],[Index]]-E192,Tab_Compteur_8[[#This Row],[Quantité]])/Tab_Compteur_8[[#This Row],[Delta Jour]],""))</f>
        <v/>
      </c>
      <c r="H193" s="177" t="str">
        <f>IFERROR(Tab_Compteur_8[[#This Row],[Montant]]/Tab_Compteur_8[[#This Row],[Delta Jour]],"")</f>
        <v/>
      </c>
      <c r="I193" s="184" t="str">
        <f>IF(SUM(Tab_Compteur_8[[#This Row],[Quantité]],Tab_Compteur_8[[#This Row],[Index]])&lt;=0,"",G193)</f>
        <v/>
      </c>
      <c r="J193" s="185"/>
      <c r="K193" s="36"/>
      <c r="L193" s="36"/>
      <c r="M193" s="36"/>
    </row>
    <row r="194" spans="1:13">
      <c r="A194" s="421">
        <f t="shared" si="5"/>
        <v>1</v>
      </c>
      <c r="B194" s="501"/>
      <c r="C194" s="178"/>
      <c r="D194" s="491"/>
      <c r="E194" s="502"/>
      <c r="F194" s="177">
        <f t="shared" si="4"/>
        <v>0</v>
      </c>
      <c r="G194" s="177" t="str">
        <f>IF(IFERROR(IF(Str_TypeDonneesCpt8=Cpt_Index,Tab_Compteur_8[[#This Row],[Index]]-E193,Tab_Compteur_8[[#This Row],[Quantité]])/Tab_Compteur_8[[#This Row],[Delta Jour]],"")&lt;0,"",IFERROR(IF(Str_TypeDonneesCpt8=Cpt_Index,Tab_Compteur_8[[#This Row],[Index]]-E193,Tab_Compteur_8[[#This Row],[Quantité]])/Tab_Compteur_8[[#This Row],[Delta Jour]],""))</f>
        <v/>
      </c>
      <c r="H194" s="177" t="str">
        <f>IFERROR(Tab_Compteur_8[[#This Row],[Montant]]/Tab_Compteur_8[[#This Row],[Delta Jour]],"")</f>
        <v/>
      </c>
      <c r="I194" s="184" t="str">
        <f>IF(SUM(Tab_Compteur_8[[#This Row],[Quantité]],Tab_Compteur_8[[#This Row],[Index]])&lt;=0,"",G194)</f>
        <v/>
      </c>
      <c r="J194" s="185"/>
      <c r="K194" s="36"/>
      <c r="L194" s="36"/>
      <c r="M194" s="36"/>
    </row>
    <row r="195" spans="1:13">
      <c r="A195" s="421">
        <f t="shared" si="5"/>
        <v>1</v>
      </c>
      <c r="B195" s="501"/>
      <c r="C195" s="178"/>
      <c r="D195" s="491"/>
      <c r="E195" s="502"/>
      <c r="F195" s="177">
        <f t="shared" si="4"/>
        <v>0</v>
      </c>
      <c r="G195" s="177" t="str">
        <f>IF(IFERROR(IF(Str_TypeDonneesCpt8=Cpt_Index,Tab_Compteur_8[[#This Row],[Index]]-E194,Tab_Compteur_8[[#This Row],[Quantité]])/Tab_Compteur_8[[#This Row],[Delta Jour]],"")&lt;0,"",IFERROR(IF(Str_TypeDonneesCpt8=Cpt_Index,Tab_Compteur_8[[#This Row],[Index]]-E194,Tab_Compteur_8[[#This Row],[Quantité]])/Tab_Compteur_8[[#This Row],[Delta Jour]],""))</f>
        <v/>
      </c>
      <c r="H195" s="177" t="str">
        <f>IFERROR(Tab_Compteur_8[[#This Row],[Montant]]/Tab_Compteur_8[[#This Row],[Delta Jour]],"")</f>
        <v/>
      </c>
      <c r="I195" s="184" t="str">
        <f>IF(SUM(Tab_Compteur_8[[#This Row],[Quantité]],Tab_Compteur_8[[#This Row],[Index]])&lt;=0,"",G195)</f>
        <v/>
      </c>
      <c r="J195" s="185"/>
      <c r="K195" s="36"/>
      <c r="L195" s="36"/>
      <c r="M195" s="36"/>
    </row>
    <row r="196" spans="1:13">
      <c r="A196" s="421">
        <f t="shared" si="5"/>
        <v>1</v>
      </c>
      <c r="B196" s="501"/>
      <c r="C196" s="178"/>
      <c r="D196" s="491"/>
      <c r="E196" s="502"/>
      <c r="F196" s="177">
        <f t="shared" si="4"/>
        <v>0</v>
      </c>
      <c r="G196" s="177" t="str">
        <f>IF(IFERROR(IF(Str_TypeDonneesCpt8=Cpt_Index,Tab_Compteur_8[[#This Row],[Index]]-E195,Tab_Compteur_8[[#This Row],[Quantité]])/Tab_Compteur_8[[#This Row],[Delta Jour]],"")&lt;0,"",IFERROR(IF(Str_TypeDonneesCpt8=Cpt_Index,Tab_Compteur_8[[#This Row],[Index]]-E195,Tab_Compteur_8[[#This Row],[Quantité]])/Tab_Compteur_8[[#This Row],[Delta Jour]],""))</f>
        <v/>
      </c>
      <c r="H196" s="177" t="str">
        <f>IFERROR(Tab_Compteur_8[[#This Row],[Montant]]/Tab_Compteur_8[[#This Row],[Delta Jour]],"")</f>
        <v/>
      </c>
      <c r="I196" s="184" t="str">
        <f>IF(SUM(Tab_Compteur_8[[#This Row],[Quantité]],Tab_Compteur_8[[#This Row],[Index]])&lt;=0,"",G196)</f>
        <v/>
      </c>
      <c r="J196" s="185"/>
      <c r="K196" s="36"/>
      <c r="L196" s="36"/>
      <c r="M196" s="36"/>
    </row>
    <row r="197" spans="1:13">
      <c r="A197" s="421">
        <f t="shared" si="5"/>
        <v>1</v>
      </c>
      <c r="B197" s="501"/>
      <c r="C197" s="178"/>
      <c r="D197" s="491"/>
      <c r="E197" s="502"/>
      <c r="F197" s="177">
        <f t="shared" ref="F197:F243" si="6">IFERROR(B197-A197+1,"")</f>
        <v>0</v>
      </c>
      <c r="G197" s="177" t="str">
        <f>IF(IFERROR(IF(Str_TypeDonneesCpt8=Cpt_Index,Tab_Compteur_8[[#This Row],[Index]]-E196,Tab_Compteur_8[[#This Row],[Quantité]])/Tab_Compteur_8[[#This Row],[Delta Jour]],"")&lt;0,"",IFERROR(IF(Str_TypeDonneesCpt8=Cpt_Index,Tab_Compteur_8[[#This Row],[Index]]-E196,Tab_Compteur_8[[#This Row],[Quantité]])/Tab_Compteur_8[[#This Row],[Delta Jour]],""))</f>
        <v/>
      </c>
      <c r="H197" s="177" t="str">
        <f>IFERROR(Tab_Compteur_8[[#This Row],[Montant]]/Tab_Compteur_8[[#This Row],[Delta Jour]],"")</f>
        <v/>
      </c>
      <c r="I197" s="184" t="str">
        <f>IF(SUM(Tab_Compteur_8[[#This Row],[Quantité]],Tab_Compteur_8[[#This Row],[Index]])&lt;=0,"",G197)</f>
        <v/>
      </c>
      <c r="J197" s="185"/>
      <c r="K197" s="36"/>
      <c r="L197" s="36"/>
      <c r="M197" s="36"/>
    </row>
    <row r="198" spans="1:13">
      <c r="A198" s="421">
        <f t="shared" ref="A198:A243" si="7">IFERROR(B197+1,0)</f>
        <v>1</v>
      </c>
      <c r="B198" s="501"/>
      <c r="C198" s="178"/>
      <c r="D198" s="491"/>
      <c r="E198" s="502"/>
      <c r="F198" s="177">
        <f t="shared" si="6"/>
        <v>0</v>
      </c>
      <c r="G198" s="177" t="str">
        <f>IF(IFERROR(IF(Str_TypeDonneesCpt8=Cpt_Index,Tab_Compteur_8[[#This Row],[Index]]-E197,Tab_Compteur_8[[#This Row],[Quantité]])/Tab_Compteur_8[[#This Row],[Delta Jour]],"")&lt;0,"",IFERROR(IF(Str_TypeDonneesCpt8=Cpt_Index,Tab_Compteur_8[[#This Row],[Index]]-E197,Tab_Compteur_8[[#This Row],[Quantité]])/Tab_Compteur_8[[#This Row],[Delta Jour]],""))</f>
        <v/>
      </c>
      <c r="H198" s="177" t="str">
        <f>IFERROR(Tab_Compteur_8[[#This Row],[Montant]]/Tab_Compteur_8[[#This Row],[Delta Jour]],"")</f>
        <v/>
      </c>
      <c r="I198" s="184" t="str">
        <f>IF(SUM(Tab_Compteur_8[[#This Row],[Quantité]],Tab_Compteur_8[[#This Row],[Index]])&lt;=0,"",G198)</f>
        <v/>
      </c>
      <c r="J198" s="185"/>
      <c r="K198" s="36"/>
      <c r="L198" s="36"/>
      <c r="M198" s="36"/>
    </row>
    <row r="199" spans="1:13">
      <c r="A199" s="421">
        <f t="shared" si="7"/>
        <v>1</v>
      </c>
      <c r="B199" s="501"/>
      <c r="C199" s="178"/>
      <c r="D199" s="491"/>
      <c r="E199" s="502"/>
      <c r="F199" s="177">
        <f t="shared" si="6"/>
        <v>0</v>
      </c>
      <c r="G199" s="177" t="str">
        <f>IF(IFERROR(IF(Str_TypeDonneesCpt8=Cpt_Index,Tab_Compteur_8[[#This Row],[Index]]-E198,Tab_Compteur_8[[#This Row],[Quantité]])/Tab_Compteur_8[[#This Row],[Delta Jour]],"")&lt;0,"",IFERROR(IF(Str_TypeDonneesCpt8=Cpt_Index,Tab_Compteur_8[[#This Row],[Index]]-E198,Tab_Compteur_8[[#This Row],[Quantité]])/Tab_Compteur_8[[#This Row],[Delta Jour]],""))</f>
        <v/>
      </c>
      <c r="H199" s="177" t="str">
        <f>IFERROR(Tab_Compteur_8[[#This Row],[Montant]]/Tab_Compteur_8[[#This Row],[Delta Jour]],"")</f>
        <v/>
      </c>
      <c r="I199" s="184" t="str">
        <f>IF(SUM(Tab_Compteur_8[[#This Row],[Quantité]],Tab_Compteur_8[[#This Row],[Index]])&lt;=0,"",G199)</f>
        <v/>
      </c>
      <c r="J199" s="185"/>
      <c r="K199" s="36"/>
      <c r="L199" s="36"/>
      <c r="M199" s="36"/>
    </row>
    <row r="200" spans="1:13">
      <c r="A200" s="421">
        <f t="shared" si="7"/>
        <v>1</v>
      </c>
      <c r="B200" s="501"/>
      <c r="C200" s="178"/>
      <c r="D200" s="491"/>
      <c r="E200" s="502"/>
      <c r="F200" s="177">
        <f t="shared" si="6"/>
        <v>0</v>
      </c>
      <c r="G200" s="177" t="str">
        <f>IF(IFERROR(IF(Str_TypeDonneesCpt8=Cpt_Index,Tab_Compteur_8[[#This Row],[Index]]-E199,Tab_Compteur_8[[#This Row],[Quantité]])/Tab_Compteur_8[[#This Row],[Delta Jour]],"")&lt;0,"",IFERROR(IF(Str_TypeDonneesCpt8=Cpt_Index,Tab_Compteur_8[[#This Row],[Index]]-E199,Tab_Compteur_8[[#This Row],[Quantité]])/Tab_Compteur_8[[#This Row],[Delta Jour]],""))</f>
        <v/>
      </c>
      <c r="H200" s="177" t="str">
        <f>IFERROR(Tab_Compteur_8[[#This Row],[Montant]]/Tab_Compteur_8[[#This Row],[Delta Jour]],"")</f>
        <v/>
      </c>
      <c r="I200" s="184" t="str">
        <f>IF(SUM(Tab_Compteur_8[[#This Row],[Quantité]],Tab_Compteur_8[[#This Row],[Index]])&lt;=0,"",G200)</f>
        <v/>
      </c>
      <c r="J200" s="185"/>
      <c r="K200" s="36"/>
      <c r="L200" s="36"/>
      <c r="M200" s="36"/>
    </row>
    <row r="201" spans="1:13">
      <c r="A201" s="421">
        <f t="shared" si="7"/>
        <v>1</v>
      </c>
      <c r="B201" s="501"/>
      <c r="C201" s="178"/>
      <c r="D201" s="491"/>
      <c r="E201" s="502"/>
      <c r="F201" s="177">
        <f t="shared" si="6"/>
        <v>0</v>
      </c>
      <c r="G201" s="177" t="str">
        <f>IF(IFERROR(IF(Str_TypeDonneesCpt8=Cpt_Index,Tab_Compteur_8[[#This Row],[Index]]-E200,Tab_Compteur_8[[#This Row],[Quantité]])/Tab_Compteur_8[[#This Row],[Delta Jour]],"")&lt;0,"",IFERROR(IF(Str_TypeDonneesCpt8=Cpt_Index,Tab_Compteur_8[[#This Row],[Index]]-E200,Tab_Compteur_8[[#This Row],[Quantité]])/Tab_Compteur_8[[#This Row],[Delta Jour]],""))</f>
        <v/>
      </c>
      <c r="H201" s="177" t="str">
        <f>IFERROR(Tab_Compteur_8[[#This Row],[Montant]]/Tab_Compteur_8[[#This Row],[Delta Jour]],"")</f>
        <v/>
      </c>
      <c r="I201" s="184" t="str">
        <f>IF(SUM(Tab_Compteur_8[[#This Row],[Quantité]],Tab_Compteur_8[[#This Row],[Index]])&lt;=0,"",G201)</f>
        <v/>
      </c>
      <c r="J201" s="185"/>
      <c r="K201" s="36"/>
      <c r="L201" s="36"/>
      <c r="M201" s="36"/>
    </row>
    <row r="202" spans="1:13">
      <c r="A202" s="421">
        <f t="shared" si="7"/>
        <v>1</v>
      </c>
      <c r="B202" s="501"/>
      <c r="C202" s="178"/>
      <c r="D202" s="491"/>
      <c r="E202" s="502"/>
      <c r="F202" s="177">
        <f t="shared" si="6"/>
        <v>0</v>
      </c>
      <c r="G202" s="177" t="str">
        <f>IF(IFERROR(IF(Str_TypeDonneesCpt8=Cpt_Index,Tab_Compteur_8[[#This Row],[Index]]-E201,Tab_Compteur_8[[#This Row],[Quantité]])/Tab_Compteur_8[[#This Row],[Delta Jour]],"")&lt;0,"",IFERROR(IF(Str_TypeDonneesCpt8=Cpt_Index,Tab_Compteur_8[[#This Row],[Index]]-E201,Tab_Compteur_8[[#This Row],[Quantité]])/Tab_Compteur_8[[#This Row],[Delta Jour]],""))</f>
        <v/>
      </c>
      <c r="H202" s="177" t="str">
        <f>IFERROR(Tab_Compteur_8[[#This Row],[Montant]]/Tab_Compteur_8[[#This Row],[Delta Jour]],"")</f>
        <v/>
      </c>
      <c r="I202" s="184" t="str">
        <f>IF(SUM(Tab_Compteur_8[[#This Row],[Quantité]],Tab_Compteur_8[[#This Row],[Index]])&lt;=0,"",G202)</f>
        <v/>
      </c>
      <c r="J202" s="185"/>
      <c r="K202" s="36"/>
      <c r="L202" s="36"/>
      <c r="M202" s="36"/>
    </row>
    <row r="203" spans="1:13">
      <c r="A203" s="421">
        <f t="shared" si="7"/>
        <v>1</v>
      </c>
      <c r="B203" s="501"/>
      <c r="C203" s="178"/>
      <c r="D203" s="491"/>
      <c r="E203" s="502"/>
      <c r="F203" s="177">
        <f t="shared" si="6"/>
        <v>0</v>
      </c>
      <c r="G203" s="177" t="str">
        <f>IF(IFERROR(IF(Str_TypeDonneesCpt8=Cpt_Index,Tab_Compteur_8[[#This Row],[Index]]-E202,Tab_Compteur_8[[#This Row],[Quantité]])/Tab_Compteur_8[[#This Row],[Delta Jour]],"")&lt;0,"",IFERROR(IF(Str_TypeDonneesCpt8=Cpt_Index,Tab_Compteur_8[[#This Row],[Index]]-E202,Tab_Compteur_8[[#This Row],[Quantité]])/Tab_Compteur_8[[#This Row],[Delta Jour]],""))</f>
        <v/>
      </c>
      <c r="H203" s="177" t="str">
        <f>IFERROR(Tab_Compteur_8[[#This Row],[Montant]]/Tab_Compteur_8[[#This Row],[Delta Jour]],"")</f>
        <v/>
      </c>
      <c r="I203" s="184" t="str">
        <f>IF(SUM(Tab_Compteur_8[[#This Row],[Quantité]],Tab_Compteur_8[[#This Row],[Index]])&lt;=0,"",G203)</f>
        <v/>
      </c>
      <c r="J203" s="185"/>
      <c r="K203" s="36"/>
      <c r="L203" s="36"/>
      <c r="M203" s="36"/>
    </row>
    <row r="204" spans="1:13">
      <c r="A204" s="421">
        <f t="shared" si="7"/>
        <v>1</v>
      </c>
      <c r="B204" s="501"/>
      <c r="C204" s="178"/>
      <c r="D204" s="491"/>
      <c r="E204" s="502"/>
      <c r="F204" s="177">
        <f t="shared" si="6"/>
        <v>0</v>
      </c>
      <c r="G204" s="177" t="str">
        <f>IF(IFERROR(IF(Str_TypeDonneesCpt8=Cpt_Index,Tab_Compteur_8[[#This Row],[Index]]-E203,Tab_Compteur_8[[#This Row],[Quantité]])/Tab_Compteur_8[[#This Row],[Delta Jour]],"")&lt;0,"",IFERROR(IF(Str_TypeDonneesCpt8=Cpt_Index,Tab_Compteur_8[[#This Row],[Index]]-E203,Tab_Compteur_8[[#This Row],[Quantité]])/Tab_Compteur_8[[#This Row],[Delta Jour]],""))</f>
        <v/>
      </c>
      <c r="H204" s="177" t="str">
        <f>IFERROR(Tab_Compteur_8[[#This Row],[Montant]]/Tab_Compteur_8[[#This Row],[Delta Jour]],"")</f>
        <v/>
      </c>
      <c r="I204" s="184" t="str">
        <f>IF(SUM(Tab_Compteur_8[[#This Row],[Quantité]],Tab_Compteur_8[[#This Row],[Index]])&lt;=0,"",G204)</f>
        <v/>
      </c>
      <c r="J204" s="185"/>
      <c r="K204" s="36"/>
      <c r="L204" s="36"/>
      <c r="M204" s="36"/>
    </row>
    <row r="205" spans="1:13">
      <c r="A205" s="421">
        <f t="shared" si="7"/>
        <v>1</v>
      </c>
      <c r="B205" s="501"/>
      <c r="C205" s="178"/>
      <c r="D205" s="491"/>
      <c r="E205" s="502"/>
      <c r="F205" s="177">
        <f t="shared" si="6"/>
        <v>0</v>
      </c>
      <c r="G205" s="177" t="str">
        <f>IF(IFERROR(IF(Str_TypeDonneesCpt8=Cpt_Index,Tab_Compteur_8[[#This Row],[Index]]-E204,Tab_Compteur_8[[#This Row],[Quantité]])/Tab_Compteur_8[[#This Row],[Delta Jour]],"")&lt;0,"",IFERROR(IF(Str_TypeDonneesCpt8=Cpt_Index,Tab_Compteur_8[[#This Row],[Index]]-E204,Tab_Compteur_8[[#This Row],[Quantité]])/Tab_Compteur_8[[#This Row],[Delta Jour]],""))</f>
        <v/>
      </c>
      <c r="H205" s="177" t="str">
        <f>IFERROR(Tab_Compteur_8[[#This Row],[Montant]]/Tab_Compteur_8[[#This Row],[Delta Jour]],"")</f>
        <v/>
      </c>
      <c r="I205" s="184" t="str">
        <f>IF(SUM(Tab_Compteur_8[[#This Row],[Quantité]],Tab_Compteur_8[[#This Row],[Index]])&lt;=0,"",G205)</f>
        <v/>
      </c>
      <c r="J205" s="185"/>
      <c r="K205" s="36"/>
      <c r="L205" s="36"/>
      <c r="M205" s="36"/>
    </row>
    <row r="206" spans="1:13">
      <c r="A206" s="421">
        <f t="shared" si="7"/>
        <v>1</v>
      </c>
      <c r="B206" s="501"/>
      <c r="C206" s="178"/>
      <c r="D206" s="491"/>
      <c r="E206" s="502"/>
      <c r="F206" s="177">
        <f t="shared" si="6"/>
        <v>0</v>
      </c>
      <c r="G206" s="177" t="str">
        <f>IF(IFERROR(IF(Str_TypeDonneesCpt8=Cpt_Index,Tab_Compteur_8[[#This Row],[Index]]-E205,Tab_Compteur_8[[#This Row],[Quantité]])/Tab_Compteur_8[[#This Row],[Delta Jour]],"")&lt;0,"",IFERROR(IF(Str_TypeDonneesCpt8=Cpt_Index,Tab_Compteur_8[[#This Row],[Index]]-E205,Tab_Compteur_8[[#This Row],[Quantité]])/Tab_Compteur_8[[#This Row],[Delta Jour]],""))</f>
        <v/>
      </c>
      <c r="H206" s="177" t="str">
        <f>IFERROR(Tab_Compteur_8[[#This Row],[Montant]]/Tab_Compteur_8[[#This Row],[Delta Jour]],"")</f>
        <v/>
      </c>
      <c r="I206" s="184" t="str">
        <f>IF(SUM(Tab_Compteur_8[[#This Row],[Quantité]],Tab_Compteur_8[[#This Row],[Index]])&lt;=0,"",G206)</f>
        <v/>
      </c>
      <c r="J206" s="185"/>
      <c r="K206" s="36"/>
      <c r="L206" s="36"/>
      <c r="M206" s="36"/>
    </row>
    <row r="207" spans="1:13">
      <c r="A207" s="421">
        <f t="shared" si="7"/>
        <v>1</v>
      </c>
      <c r="B207" s="501"/>
      <c r="C207" s="178"/>
      <c r="D207" s="491"/>
      <c r="E207" s="502"/>
      <c r="F207" s="177">
        <f t="shared" si="6"/>
        <v>0</v>
      </c>
      <c r="G207" s="177" t="str">
        <f>IF(IFERROR(IF(Str_TypeDonneesCpt8=Cpt_Index,Tab_Compteur_8[[#This Row],[Index]]-E206,Tab_Compteur_8[[#This Row],[Quantité]])/Tab_Compteur_8[[#This Row],[Delta Jour]],"")&lt;0,"",IFERROR(IF(Str_TypeDonneesCpt8=Cpt_Index,Tab_Compteur_8[[#This Row],[Index]]-E206,Tab_Compteur_8[[#This Row],[Quantité]])/Tab_Compteur_8[[#This Row],[Delta Jour]],""))</f>
        <v/>
      </c>
      <c r="H207" s="177" t="str">
        <f>IFERROR(Tab_Compteur_8[[#This Row],[Montant]]/Tab_Compteur_8[[#This Row],[Delta Jour]],"")</f>
        <v/>
      </c>
      <c r="I207" s="184" t="str">
        <f>IF(SUM(Tab_Compteur_8[[#This Row],[Quantité]],Tab_Compteur_8[[#This Row],[Index]])&lt;=0,"",G207)</f>
        <v/>
      </c>
      <c r="J207" s="185"/>
      <c r="K207" s="36"/>
      <c r="L207" s="36"/>
      <c r="M207" s="36"/>
    </row>
    <row r="208" spans="1:13">
      <c r="A208" s="421">
        <f t="shared" si="7"/>
        <v>1</v>
      </c>
      <c r="B208" s="501"/>
      <c r="C208" s="178"/>
      <c r="D208" s="491"/>
      <c r="E208" s="502"/>
      <c r="F208" s="177">
        <f t="shared" si="6"/>
        <v>0</v>
      </c>
      <c r="G208" s="177" t="str">
        <f>IF(IFERROR(IF(Str_TypeDonneesCpt8=Cpt_Index,Tab_Compteur_8[[#This Row],[Index]]-E207,Tab_Compteur_8[[#This Row],[Quantité]])/Tab_Compteur_8[[#This Row],[Delta Jour]],"")&lt;0,"",IFERROR(IF(Str_TypeDonneesCpt8=Cpt_Index,Tab_Compteur_8[[#This Row],[Index]]-E207,Tab_Compteur_8[[#This Row],[Quantité]])/Tab_Compteur_8[[#This Row],[Delta Jour]],""))</f>
        <v/>
      </c>
      <c r="H208" s="177" t="str">
        <f>IFERROR(Tab_Compteur_8[[#This Row],[Montant]]/Tab_Compteur_8[[#This Row],[Delta Jour]],"")</f>
        <v/>
      </c>
      <c r="I208" s="184" t="str">
        <f>IF(SUM(Tab_Compteur_8[[#This Row],[Quantité]],Tab_Compteur_8[[#This Row],[Index]])&lt;=0,"",G208)</f>
        <v/>
      </c>
      <c r="J208" s="185"/>
      <c r="K208" s="36"/>
      <c r="L208" s="36"/>
      <c r="M208" s="36"/>
    </row>
    <row r="209" spans="1:13">
      <c r="A209" s="421">
        <f t="shared" si="7"/>
        <v>1</v>
      </c>
      <c r="B209" s="501"/>
      <c r="C209" s="178"/>
      <c r="D209" s="491"/>
      <c r="E209" s="502"/>
      <c r="F209" s="177">
        <f t="shared" si="6"/>
        <v>0</v>
      </c>
      <c r="G209" s="177" t="str">
        <f>IF(IFERROR(IF(Str_TypeDonneesCpt8=Cpt_Index,Tab_Compteur_8[[#This Row],[Index]]-E208,Tab_Compteur_8[[#This Row],[Quantité]])/Tab_Compteur_8[[#This Row],[Delta Jour]],"")&lt;0,"",IFERROR(IF(Str_TypeDonneesCpt8=Cpt_Index,Tab_Compteur_8[[#This Row],[Index]]-E208,Tab_Compteur_8[[#This Row],[Quantité]])/Tab_Compteur_8[[#This Row],[Delta Jour]],""))</f>
        <v/>
      </c>
      <c r="H209" s="177" t="str">
        <f>IFERROR(Tab_Compteur_8[[#This Row],[Montant]]/Tab_Compteur_8[[#This Row],[Delta Jour]],"")</f>
        <v/>
      </c>
      <c r="I209" s="184" t="str">
        <f>IF(SUM(Tab_Compteur_8[[#This Row],[Quantité]],Tab_Compteur_8[[#This Row],[Index]])&lt;=0,"",G209)</f>
        <v/>
      </c>
      <c r="J209" s="185"/>
      <c r="K209" s="36"/>
      <c r="L209" s="36"/>
      <c r="M209" s="36"/>
    </row>
    <row r="210" spans="1:13">
      <c r="A210" s="421">
        <f t="shared" si="7"/>
        <v>1</v>
      </c>
      <c r="B210" s="501"/>
      <c r="C210" s="178"/>
      <c r="D210" s="491"/>
      <c r="E210" s="502"/>
      <c r="F210" s="177">
        <f t="shared" si="6"/>
        <v>0</v>
      </c>
      <c r="G210" s="177" t="str">
        <f>IF(IFERROR(IF(Str_TypeDonneesCpt8=Cpt_Index,Tab_Compteur_8[[#This Row],[Index]]-E209,Tab_Compteur_8[[#This Row],[Quantité]])/Tab_Compteur_8[[#This Row],[Delta Jour]],"")&lt;0,"",IFERROR(IF(Str_TypeDonneesCpt8=Cpt_Index,Tab_Compteur_8[[#This Row],[Index]]-E209,Tab_Compteur_8[[#This Row],[Quantité]])/Tab_Compteur_8[[#This Row],[Delta Jour]],""))</f>
        <v/>
      </c>
      <c r="H210" s="177" t="str">
        <f>IFERROR(Tab_Compteur_8[[#This Row],[Montant]]/Tab_Compteur_8[[#This Row],[Delta Jour]],"")</f>
        <v/>
      </c>
      <c r="I210" s="184" t="str">
        <f>IF(SUM(Tab_Compteur_8[[#This Row],[Quantité]],Tab_Compteur_8[[#This Row],[Index]])&lt;=0,"",G210)</f>
        <v/>
      </c>
      <c r="J210" s="185"/>
      <c r="K210" s="36"/>
      <c r="L210" s="36"/>
      <c r="M210" s="36"/>
    </row>
    <row r="211" spans="1:13">
      <c r="A211" s="421">
        <f t="shared" si="7"/>
        <v>1</v>
      </c>
      <c r="B211" s="501"/>
      <c r="C211" s="178"/>
      <c r="D211" s="491"/>
      <c r="E211" s="502"/>
      <c r="F211" s="177">
        <f t="shared" si="6"/>
        <v>0</v>
      </c>
      <c r="G211" s="177" t="str">
        <f>IF(IFERROR(IF(Str_TypeDonneesCpt8=Cpt_Index,Tab_Compteur_8[[#This Row],[Index]]-E210,Tab_Compteur_8[[#This Row],[Quantité]])/Tab_Compteur_8[[#This Row],[Delta Jour]],"")&lt;0,"",IFERROR(IF(Str_TypeDonneesCpt8=Cpt_Index,Tab_Compteur_8[[#This Row],[Index]]-E210,Tab_Compteur_8[[#This Row],[Quantité]])/Tab_Compteur_8[[#This Row],[Delta Jour]],""))</f>
        <v/>
      </c>
      <c r="H211" s="177" t="str">
        <f>IFERROR(Tab_Compteur_8[[#This Row],[Montant]]/Tab_Compteur_8[[#This Row],[Delta Jour]],"")</f>
        <v/>
      </c>
      <c r="I211" s="184" t="str">
        <f>IF(SUM(Tab_Compteur_8[[#This Row],[Quantité]],Tab_Compteur_8[[#This Row],[Index]])&lt;=0,"",G211)</f>
        <v/>
      </c>
      <c r="J211" s="185"/>
      <c r="K211" s="36"/>
      <c r="L211" s="36"/>
      <c r="M211" s="36"/>
    </row>
    <row r="212" spans="1:13">
      <c r="A212" s="421">
        <f t="shared" si="7"/>
        <v>1</v>
      </c>
      <c r="B212" s="501"/>
      <c r="C212" s="178"/>
      <c r="D212" s="491"/>
      <c r="E212" s="502"/>
      <c r="F212" s="177">
        <f t="shared" si="6"/>
        <v>0</v>
      </c>
      <c r="G212" s="177" t="str">
        <f>IF(IFERROR(IF(Str_TypeDonneesCpt8=Cpt_Index,Tab_Compteur_8[[#This Row],[Index]]-E211,Tab_Compteur_8[[#This Row],[Quantité]])/Tab_Compteur_8[[#This Row],[Delta Jour]],"")&lt;0,"",IFERROR(IF(Str_TypeDonneesCpt8=Cpt_Index,Tab_Compteur_8[[#This Row],[Index]]-E211,Tab_Compteur_8[[#This Row],[Quantité]])/Tab_Compteur_8[[#This Row],[Delta Jour]],""))</f>
        <v/>
      </c>
      <c r="H212" s="177" t="str">
        <f>IFERROR(Tab_Compteur_8[[#This Row],[Montant]]/Tab_Compteur_8[[#This Row],[Delta Jour]],"")</f>
        <v/>
      </c>
      <c r="I212" s="184" t="str">
        <f>IF(SUM(Tab_Compteur_8[[#This Row],[Quantité]],Tab_Compteur_8[[#This Row],[Index]])&lt;=0,"",G212)</f>
        <v/>
      </c>
      <c r="J212" s="185"/>
      <c r="K212" s="36"/>
      <c r="L212" s="36"/>
      <c r="M212" s="36"/>
    </row>
    <row r="213" spans="1:13">
      <c r="A213" s="421">
        <f t="shared" si="7"/>
        <v>1</v>
      </c>
      <c r="B213" s="501"/>
      <c r="C213" s="178"/>
      <c r="D213" s="491"/>
      <c r="E213" s="502"/>
      <c r="F213" s="177">
        <f t="shared" si="6"/>
        <v>0</v>
      </c>
      <c r="G213" s="177" t="str">
        <f>IF(IFERROR(IF(Str_TypeDonneesCpt8=Cpt_Index,Tab_Compteur_8[[#This Row],[Index]]-E212,Tab_Compteur_8[[#This Row],[Quantité]])/Tab_Compteur_8[[#This Row],[Delta Jour]],"")&lt;0,"",IFERROR(IF(Str_TypeDonneesCpt8=Cpt_Index,Tab_Compteur_8[[#This Row],[Index]]-E212,Tab_Compteur_8[[#This Row],[Quantité]])/Tab_Compteur_8[[#This Row],[Delta Jour]],""))</f>
        <v/>
      </c>
      <c r="H213" s="177" t="str">
        <f>IFERROR(Tab_Compteur_8[[#This Row],[Montant]]/Tab_Compteur_8[[#This Row],[Delta Jour]],"")</f>
        <v/>
      </c>
      <c r="I213" s="184" t="str">
        <f>IF(SUM(Tab_Compteur_8[[#This Row],[Quantité]],Tab_Compteur_8[[#This Row],[Index]])&lt;=0,"",G213)</f>
        <v/>
      </c>
      <c r="J213" s="185"/>
      <c r="K213" s="36"/>
      <c r="L213" s="36"/>
      <c r="M213" s="36"/>
    </row>
    <row r="214" spans="1:13">
      <c r="A214" s="421">
        <f t="shared" si="7"/>
        <v>1</v>
      </c>
      <c r="B214" s="501"/>
      <c r="C214" s="178"/>
      <c r="D214" s="491"/>
      <c r="E214" s="502"/>
      <c r="F214" s="177">
        <f t="shared" si="6"/>
        <v>0</v>
      </c>
      <c r="G214" s="177" t="str">
        <f>IF(IFERROR(IF(Str_TypeDonneesCpt8=Cpt_Index,Tab_Compteur_8[[#This Row],[Index]]-E213,Tab_Compteur_8[[#This Row],[Quantité]])/Tab_Compteur_8[[#This Row],[Delta Jour]],"")&lt;0,"",IFERROR(IF(Str_TypeDonneesCpt8=Cpt_Index,Tab_Compteur_8[[#This Row],[Index]]-E213,Tab_Compteur_8[[#This Row],[Quantité]])/Tab_Compteur_8[[#This Row],[Delta Jour]],""))</f>
        <v/>
      </c>
      <c r="H214" s="177" t="str">
        <f>IFERROR(Tab_Compteur_8[[#This Row],[Montant]]/Tab_Compteur_8[[#This Row],[Delta Jour]],"")</f>
        <v/>
      </c>
      <c r="I214" s="184" t="str">
        <f>IF(SUM(Tab_Compteur_8[[#This Row],[Quantité]],Tab_Compteur_8[[#This Row],[Index]])&lt;=0,"",G214)</f>
        <v/>
      </c>
      <c r="J214" s="185"/>
      <c r="K214" s="36"/>
      <c r="L214" s="36"/>
      <c r="M214" s="36"/>
    </row>
    <row r="215" spans="1:13">
      <c r="A215" s="421">
        <f t="shared" si="7"/>
        <v>1</v>
      </c>
      <c r="B215" s="501"/>
      <c r="C215" s="178"/>
      <c r="D215" s="491"/>
      <c r="E215" s="502"/>
      <c r="F215" s="177">
        <f t="shared" si="6"/>
        <v>0</v>
      </c>
      <c r="G215" s="177" t="str">
        <f>IF(IFERROR(IF(Str_TypeDonneesCpt8=Cpt_Index,Tab_Compteur_8[[#This Row],[Index]]-E214,Tab_Compteur_8[[#This Row],[Quantité]])/Tab_Compteur_8[[#This Row],[Delta Jour]],"")&lt;0,"",IFERROR(IF(Str_TypeDonneesCpt8=Cpt_Index,Tab_Compteur_8[[#This Row],[Index]]-E214,Tab_Compteur_8[[#This Row],[Quantité]])/Tab_Compteur_8[[#This Row],[Delta Jour]],""))</f>
        <v/>
      </c>
      <c r="H215" s="177" t="str">
        <f>IFERROR(Tab_Compteur_8[[#This Row],[Montant]]/Tab_Compteur_8[[#This Row],[Delta Jour]],"")</f>
        <v/>
      </c>
      <c r="I215" s="184" t="str">
        <f>IF(SUM(Tab_Compteur_8[[#This Row],[Quantité]],Tab_Compteur_8[[#This Row],[Index]])&lt;=0,"",G215)</f>
        <v/>
      </c>
      <c r="J215" s="185"/>
      <c r="K215" s="36"/>
      <c r="L215" s="36"/>
      <c r="M215" s="36"/>
    </row>
    <row r="216" spans="1:13">
      <c r="A216" s="421">
        <f t="shared" si="7"/>
        <v>1</v>
      </c>
      <c r="B216" s="501"/>
      <c r="C216" s="178"/>
      <c r="D216" s="491"/>
      <c r="E216" s="502"/>
      <c r="F216" s="177">
        <f t="shared" si="6"/>
        <v>0</v>
      </c>
      <c r="G216" s="177" t="str">
        <f>IF(IFERROR(IF(Str_TypeDonneesCpt8=Cpt_Index,Tab_Compteur_8[[#This Row],[Index]]-E215,Tab_Compteur_8[[#This Row],[Quantité]])/Tab_Compteur_8[[#This Row],[Delta Jour]],"")&lt;0,"",IFERROR(IF(Str_TypeDonneesCpt8=Cpt_Index,Tab_Compteur_8[[#This Row],[Index]]-E215,Tab_Compteur_8[[#This Row],[Quantité]])/Tab_Compteur_8[[#This Row],[Delta Jour]],""))</f>
        <v/>
      </c>
      <c r="H216" s="177" t="str">
        <f>IFERROR(Tab_Compteur_8[[#This Row],[Montant]]/Tab_Compteur_8[[#This Row],[Delta Jour]],"")</f>
        <v/>
      </c>
      <c r="I216" s="184" t="str">
        <f>IF(SUM(Tab_Compteur_8[[#This Row],[Quantité]],Tab_Compteur_8[[#This Row],[Index]])&lt;=0,"",G216)</f>
        <v/>
      </c>
      <c r="J216" s="185"/>
      <c r="K216" s="36"/>
      <c r="L216" s="36"/>
      <c r="M216" s="36"/>
    </row>
    <row r="217" spans="1:13">
      <c r="A217" s="421">
        <f t="shared" si="7"/>
        <v>1</v>
      </c>
      <c r="B217" s="501"/>
      <c r="C217" s="178"/>
      <c r="D217" s="491"/>
      <c r="E217" s="502"/>
      <c r="F217" s="177">
        <f t="shared" si="6"/>
        <v>0</v>
      </c>
      <c r="G217" s="177" t="str">
        <f>IF(IFERROR(IF(Str_TypeDonneesCpt8=Cpt_Index,Tab_Compteur_8[[#This Row],[Index]]-E216,Tab_Compteur_8[[#This Row],[Quantité]])/Tab_Compteur_8[[#This Row],[Delta Jour]],"")&lt;0,"",IFERROR(IF(Str_TypeDonneesCpt8=Cpt_Index,Tab_Compteur_8[[#This Row],[Index]]-E216,Tab_Compteur_8[[#This Row],[Quantité]])/Tab_Compteur_8[[#This Row],[Delta Jour]],""))</f>
        <v/>
      </c>
      <c r="H217" s="177" t="str">
        <f>IFERROR(Tab_Compteur_8[[#This Row],[Montant]]/Tab_Compteur_8[[#This Row],[Delta Jour]],"")</f>
        <v/>
      </c>
      <c r="I217" s="184" t="str">
        <f>IF(SUM(Tab_Compteur_8[[#This Row],[Quantité]],Tab_Compteur_8[[#This Row],[Index]])&lt;=0,"",G217)</f>
        <v/>
      </c>
      <c r="J217" s="185"/>
      <c r="K217" s="36"/>
      <c r="L217" s="36"/>
      <c r="M217" s="36"/>
    </row>
    <row r="218" spans="1:13">
      <c r="A218" s="421">
        <f t="shared" si="7"/>
        <v>1</v>
      </c>
      <c r="B218" s="501"/>
      <c r="C218" s="178"/>
      <c r="D218" s="491"/>
      <c r="E218" s="502"/>
      <c r="F218" s="177">
        <f t="shared" si="6"/>
        <v>0</v>
      </c>
      <c r="G218" s="177" t="str">
        <f>IF(IFERROR(IF(Str_TypeDonneesCpt8=Cpt_Index,Tab_Compteur_8[[#This Row],[Index]]-E217,Tab_Compteur_8[[#This Row],[Quantité]])/Tab_Compteur_8[[#This Row],[Delta Jour]],"")&lt;0,"",IFERROR(IF(Str_TypeDonneesCpt8=Cpt_Index,Tab_Compteur_8[[#This Row],[Index]]-E217,Tab_Compteur_8[[#This Row],[Quantité]])/Tab_Compteur_8[[#This Row],[Delta Jour]],""))</f>
        <v/>
      </c>
      <c r="H218" s="177" t="str">
        <f>IFERROR(Tab_Compteur_8[[#This Row],[Montant]]/Tab_Compteur_8[[#This Row],[Delta Jour]],"")</f>
        <v/>
      </c>
      <c r="I218" s="184" t="str">
        <f>IF(SUM(Tab_Compteur_8[[#This Row],[Quantité]],Tab_Compteur_8[[#This Row],[Index]])&lt;=0,"",G218)</f>
        <v/>
      </c>
      <c r="J218" s="185"/>
      <c r="K218" s="36"/>
      <c r="L218" s="36"/>
      <c r="M218" s="36"/>
    </row>
    <row r="219" spans="1:13">
      <c r="A219" s="421">
        <f t="shared" si="7"/>
        <v>1</v>
      </c>
      <c r="B219" s="501"/>
      <c r="C219" s="178"/>
      <c r="D219" s="491"/>
      <c r="E219" s="502"/>
      <c r="F219" s="177">
        <f t="shared" si="6"/>
        <v>0</v>
      </c>
      <c r="G219" s="177" t="str">
        <f>IF(IFERROR(IF(Str_TypeDonneesCpt8=Cpt_Index,Tab_Compteur_8[[#This Row],[Index]]-E218,Tab_Compteur_8[[#This Row],[Quantité]])/Tab_Compteur_8[[#This Row],[Delta Jour]],"")&lt;0,"",IFERROR(IF(Str_TypeDonneesCpt8=Cpt_Index,Tab_Compteur_8[[#This Row],[Index]]-E218,Tab_Compteur_8[[#This Row],[Quantité]])/Tab_Compteur_8[[#This Row],[Delta Jour]],""))</f>
        <v/>
      </c>
      <c r="H219" s="177" t="str">
        <f>IFERROR(Tab_Compteur_8[[#This Row],[Montant]]/Tab_Compteur_8[[#This Row],[Delta Jour]],"")</f>
        <v/>
      </c>
      <c r="I219" s="184" t="str">
        <f>IF(SUM(Tab_Compteur_8[[#This Row],[Quantité]],Tab_Compteur_8[[#This Row],[Index]])&lt;=0,"",G219)</f>
        <v/>
      </c>
      <c r="J219" s="185"/>
      <c r="K219" s="36"/>
      <c r="L219" s="36"/>
      <c r="M219" s="36"/>
    </row>
    <row r="220" spans="1:13">
      <c r="A220" s="421">
        <f t="shared" si="7"/>
        <v>1</v>
      </c>
      <c r="B220" s="501"/>
      <c r="C220" s="178"/>
      <c r="D220" s="491"/>
      <c r="E220" s="502"/>
      <c r="F220" s="177">
        <f t="shared" si="6"/>
        <v>0</v>
      </c>
      <c r="G220" s="177" t="str">
        <f>IF(IFERROR(IF(Str_TypeDonneesCpt8=Cpt_Index,Tab_Compteur_8[[#This Row],[Index]]-E219,Tab_Compteur_8[[#This Row],[Quantité]])/Tab_Compteur_8[[#This Row],[Delta Jour]],"")&lt;0,"",IFERROR(IF(Str_TypeDonneesCpt8=Cpt_Index,Tab_Compteur_8[[#This Row],[Index]]-E219,Tab_Compteur_8[[#This Row],[Quantité]])/Tab_Compteur_8[[#This Row],[Delta Jour]],""))</f>
        <v/>
      </c>
      <c r="H220" s="177" t="str">
        <f>IFERROR(Tab_Compteur_8[[#This Row],[Montant]]/Tab_Compteur_8[[#This Row],[Delta Jour]],"")</f>
        <v/>
      </c>
      <c r="I220" s="184" t="str">
        <f>IF(SUM(Tab_Compteur_8[[#This Row],[Quantité]],Tab_Compteur_8[[#This Row],[Index]])&lt;=0,"",G220)</f>
        <v/>
      </c>
      <c r="J220" s="185"/>
      <c r="K220" s="36"/>
      <c r="L220" s="36"/>
      <c r="M220" s="36"/>
    </row>
    <row r="221" spans="1:13">
      <c r="A221" s="421">
        <f t="shared" si="7"/>
        <v>1</v>
      </c>
      <c r="B221" s="501"/>
      <c r="C221" s="178"/>
      <c r="D221" s="491"/>
      <c r="E221" s="502"/>
      <c r="F221" s="177">
        <f t="shared" si="6"/>
        <v>0</v>
      </c>
      <c r="G221" s="177" t="str">
        <f>IF(IFERROR(IF(Str_TypeDonneesCpt8=Cpt_Index,Tab_Compteur_8[[#This Row],[Index]]-E220,Tab_Compteur_8[[#This Row],[Quantité]])/Tab_Compteur_8[[#This Row],[Delta Jour]],"")&lt;0,"",IFERROR(IF(Str_TypeDonneesCpt8=Cpt_Index,Tab_Compteur_8[[#This Row],[Index]]-E220,Tab_Compteur_8[[#This Row],[Quantité]])/Tab_Compteur_8[[#This Row],[Delta Jour]],""))</f>
        <v/>
      </c>
      <c r="H221" s="177" t="str">
        <f>IFERROR(Tab_Compteur_8[[#This Row],[Montant]]/Tab_Compteur_8[[#This Row],[Delta Jour]],"")</f>
        <v/>
      </c>
      <c r="I221" s="184" t="str">
        <f>IF(SUM(Tab_Compteur_8[[#This Row],[Quantité]],Tab_Compteur_8[[#This Row],[Index]])&lt;=0,"",G221)</f>
        <v/>
      </c>
      <c r="J221" s="185"/>
      <c r="K221" s="36"/>
      <c r="L221" s="36"/>
      <c r="M221" s="36"/>
    </row>
    <row r="222" spans="1:13">
      <c r="A222" s="421">
        <f t="shared" si="7"/>
        <v>1</v>
      </c>
      <c r="B222" s="501"/>
      <c r="C222" s="178"/>
      <c r="D222" s="491"/>
      <c r="E222" s="502"/>
      <c r="F222" s="177">
        <f t="shared" si="6"/>
        <v>0</v>
      </c>
      <c r="G222" s="177" t="str">
        <f>IF(IFERROR(IF(Str_TypeDonneesCpt8=Cpt_Index,Tab_Compteur_8[[#This Row],[Index]]-E221,Tab_Compteur_8[[#This Row],[Quantité]])/Tab_Compteur_8[[#This Row],[Delta Jour]],"")&lt;0,"",IFERROR(IF(Str_TypeDonneesCpt8=Cpt_Index,Tab_Compteur_8[[#This Row],[Index]]-E221,Tab_Compteur_8[[#This Row],[Quantité]])/Tab_Compteur_8[[#This Row],[Delta Jour]],""))</f>
        <v/>
      </c>
      <c r="H222" s="177" t="str">
        <f>IFERROR(Tab_Compteur_8[[#This Row],[Montant]]/Tab_Compteur_8[[#This Row],[Delta Jour]],"")</f>
        <v/>
      </c>
      <c r="I222" s="184" t="str">
        <f>IF(SUM(Tab_Compteur_8[[#This Row],[Quantité]],Tab_Compteur_8[[#This Row],[Index]])&lt;=0,"",G222)</f>
        <v/>
      </c>
      <c r="J222" s="185"/>
      <c r="K222" s="36"/>
      <c r="L222" s="36"/>
      <c r="M222" s="36"/>
    </row>
    <row r="223" spans="1:13">
      <c r="A223" s="421">
        <f t="shared" si="7"/>
        <v>1</v>
      </c>
      <c r="B223" s="501"/>
      <c r="C223" s="178"/>
      <c r="D223" s="491"/>
      <c r="E223" s="502"/>
      <c r="F223" s="177">
        <f t="shared" si="6"/>
        <v>0</v>
      </c>
      <c r="G223" s="177" t="str">
        <f>IF(IFERROR(IF(Str_TypeDonneesCpt8=Cpt_Index,Tab_Compteur_8[[#This Row],[Index]]-E222,Tab_Compteur_8[[#This Row],[Quantité]])/Tab_Compteur_8[[#This Row],[Delta Jour]],"")&lt;0,"",IFERROR(IF(Str_TypeDonneesCpt8=Cpt_Index,Tab_Compteur_8[[#This Row],[Index]]-E222,Tab_Compteur_8[[#This Row],[Quantité]])/Tab_Compteur_8[[#This Row],[Delta Jour]],""))</f>
        <v/>
      </c>
      <c r="H223" s="177" t="str">
        <f>IFERROR(Tab_Compteur_8[[#This Row],[Montant]]/Tab_Compteur_8[[#This Row],[Delta Jour]],"")</f>
        <v/>
      </c>
      <c r="I223" s="184" t="str">
        <f>IF(SUM(Tab_Compteur_8[[#This Row],[Quantité]],Tab_Compteur_8[[#This Row],[Index]])&lt;=0,"",G223)</f>
        <v/>
      </c>
      <c r="J223" s="185"/>
      <c r="K223" s="36"/>
      <c r="L223" s="36"/>
      <c r="M223" s="36"/>
    </row>
    <row r="224" spans="1:13">
      <c r="A224" s="421">
        <f t="shared" si="7"/>
        <v>1</v>
      </c>
      <c r="B224" s="501"/>
      <c r="C224" s="178"/>
      <c r="D224" s="491"/>
      <c r="E224" s="502"/>
      <c r="F224" s="177">
        <f t="shared" si="6"/>
        <v>0</v>
      </c>
      <c r="G224" s="177" t="str">
        <f>IF(IFERROR(IF(Str_TypeDonneesCpt8=Cpt_Index,Tab_Compteur_8[[#This Row],[Index]]-E223,Tab_Compteur_8[[#This Row],[Quantité]])/Tab_Compteur_8[[#This Row],[Delta Jour]],"")&lt;0,"",IFERROR(IF(Str_TypeDonneesCpt8=Cpt_Index,Tab_Compteur_8[[#This Row],[Index]]-E223,Tab_Compteur_8[[#This Row],[Quantité]])/Tab_Compteur_8[[#This Row],[Delta Jour]],""))</f>
        <v/>
      </c>
      <c r="H224" s="177" t="str">
        <f>IFERROR(Tab_Compteur_8[[#This Row],[Montant]]/Tab_Compteur_8[[#This Row],[Delta Jour]],"")</f>
        <v/>
      </c>
      <c r="I224" s="184" t="str">
        <f>IF(SUM(Tab_Compteur_8[[#This Row],[Quantité]],Tab_Compteur_8[[#This Row],[Index]])&lt;=0,"",G224)</f>
        <v/>
      </c>
      <c r="J224" s="185"/>
      <c r="K224" s="36"/>
      <c r="L224" s="36"/>
      <c r="M224" s="36"/>
    </row>
    <row r="225" spans="1:13">
      <c r="A225" s="421">
        <f t="shared" si="7"/>
        <v>1</v>
      </c>
      <c r="B225" s="501"/>
      <c r="C225" s="178"/>
      <c r="D225" s="491"/>
      <c r="E225" s="502"/>
      <c r="F225" s="177">
        <f t="shared" si="6"/>
        <v>0</v>
      </c>
      <c r="G225" s="177" t="str">
        <f>IF(IFERROR(IF(Str_TypeDonneesCpt8=Cpt_Index,Tab_Compteur_8[[#This Row],[Index]]-E224,Tab_Compteur_8[[#This Row],[Quantité]])/Tab_Compteur_8[[#This Row],[Delta Jour]],"")&lt;0,"",IFERROR(IF(Str_TypeDonneesCpt8=Cpt_Index,Tab_Compteur_8[[#This Row],[Index]]-E224,Tab_Compteur_8[[#This Row],[Quantité]])/Tab_Compteur_8[[#This Row],[Delta Jour]],""))</f>
        <v/>
      </c>
      <c r="H225" s="177" t="str">
        <f>IFERROR(Tab_Compteur_8[[#This Row],[Montant]]/Tab_Compteur_8[[#This Row],[Delta Jour]],"")</f>
        <v/>
      </c>
      <c r="I225" s="184" t="str">
        <f>IF(SUM(Tab_Compteur_8[[#This Row],[Quantité]],Tab_Compteur_8[[#This Row],[Index]])&lt;=0,"",G225)</f>
        <v/>
      </c>
      <c r="J225" s="185"/>
      <c r="K225" s="36"/>
      <c r="L225" s="36"/>
      <c r="M225" s="36"/>
    </row>
    <row r="226" spans="1:13">
      <c r="A226" s="421">
        <f t="shared" si="7"/>
        <v>1</v>
      </c>
      <c r="B226" s="501"/>
      <c r="C226" s="178"/>
      <c r="D226" s="491"/>
      <c r="E226" s="502"/>
      <c r="F226" s="177">
        <f t="shared" si="6"/>
        <v>0</v>
      </c>
      <c r="G226" s="177" t="str">
        <f>IF(IFERROR(IF(Str_TypeDonneesCpt8=Cpt_Index,Tab_Compteur_8[[#This Row],[Index]]-E225,Tab_Compteur_8[[#This Row],[Quantité]])/Tab_Compteur_8[[#This Row],[Delta Jour]],"")&lt;0,"",IFERROR(IF(Str_TypeDonneesCpt8=Cpt_Index,Tab_Compteur_8[[#This Row],[Index]]-E225,Tab_Compteur_8[[#This Row],[Quantité]])/Tab_Compteur_8[[#This Row],[Delta Jour]],""))</f>
        <v/>
      </c>
      <c r="H226" s="177" t="str">
        <f>IFERROR(Tab_Compteur_8[[#This Row],[Montant]]/Tab_Compteur_8[[#This Row],[Delta Jour]],"")</f>
        <v/>
      </c>
      <c r="I226" s="184" t="str">
        <f>IF(SUM(Tab_Compteur_8[[#This Row],[Quantité]],Tab_Compteur_8[[#This Row],[Index]])&lt;=0,"",G226)</f>
        <v/>
      </c>
      <c r="J226" s="185"/>
      <c r="K226" s="36"/>
      <c r="L226" s="36"/>
      <c r="M226" s="36"/>
    </row>
    <row r="227" spans="1:13">
      <c r="A227" s="421">
        <f t="shared" si="7"/>
        <v>1</v>
      </c>
      <c r="B227" s="501"/>
      <c r="C227" s="178"/>
      <c r="D227" s="491"/>
      <c r="E227" s="502"/>
      <c r="F227" s="177">
        <f t="shared" si="6"/>
        <v>0</v>
      </c>
      <c r="G227" s="177" t="str">
        <f>IF(IFERROR(IF(Str_TypeDonneesCpt8=Cpt_Index,Tab_Compteur_8[[#This Row],[Index]]-E226,Tab_Compteur_8[[#This Row],[Quantité]])/Tab_Compteur_8[[#This Row],[Delta Jour]],"")&lt;0,"",IFERROR(IF(Str_TypeDonneesCpt8=Cpt_Index,Tab_Compteur_8[[#This Row],[Index]]-E226,Tab_Compteur_8[[#This Row],[Quantité]])/Tab_Compteur_8[[#This Row],[Delta Jour]],""))</f>
        <v/>
      </c>
      <c r="H227" s="177" t="str">
        <f>IFERROR(Tab_Compteur_8[[#This Row],[Montant]]/Tab_Compteur_8[[#This Row],[Delta Jour]],"")</f>
        <v/>
      </c>
      <c r="I227" s="184" t="str">
        <f>IF(SUM(Tab_Compteur_8[[#This Row],[Quantité]],Tab_Compteur_8[[#This Row],[Index]])&lt;=0,"",G227)</f>
        <v/>
      </c>
      <c r="J227" s="185"/>
      <c r="K227" s="36"/>
      <c r="L227" s="36"/>
      <c r="M227" s="36"/>
    </row>
    <row r="228" spans="1:13">
      <c r="A228" s="421">
        <f t="shared" si="7"/>
        <v>1</v>
      </c>
      <c r="B228" s="501"/>
      <c r="C228" s="178"/>
      <c r="D228" s="491"/>
      <c r="E228" s="502"/>
      <c r="F228" s="177">
        <f t="shared" si="6"/>
        <v>0</v>
      </c>
      <c r="G228" s="177" t="str">
        <f>IF(IFERROR(IF(Str_TypeDonneesCpt8=Cpt_Index,Tab_Compteur_8[[#This Row],[Index]]-E227,Tab_Compteur_8[[#This Row],[Quantité]])/Tab_Compteur_8[[#This Row],[Delta Jour]],"")&lt;0,"",IFERROR(IF(Str_TypeDonneesCpt8=Cpt_Index,Tab_Compteur_8[[#This Row],[Index]]-E227,Tab_Compteur_8[[#This Row],[Quantité]])/Tab_Compteur_8[[#This Row],[Delta Jour]],""))</f>
        <v/>
      </c>
      <c r="H228" s="177" t="str">
        <f>IFERROR(Tab_Compteur_8[[#This Row],[Montant]]/Tab_Compteur_8[[#This Row],[Delta Jour]],"")</f>
        <v/>
      </c>
      <c r="I228" s="184" t="str">
        <f>IF(SUM(Tab_Compteur_8[[#This Row],[Quantité]],Tab_Compteur_8[[#This Row],[Index]])&lt;=0,"",G228)</f>
        <v/>
      </c>
      <c r="J228" s="185"/>
      <c r="K228" s="36"/>
      <c r="L228" s="36"/>
      <c r="M228" s="36"/>
    </row>
    <row r="229" spans="1:13">
      <c r="A229" s="421">
        <f t="shared" si="7"/>
        <v>1</v>
      </c>
      <c r="B229" s="501"/>
      <c r="C229" s="178"/>
      <c r="D229" s="491"/>
      <c r="E229" s="502"/>
      <c r="F229" s="177">
        <f t="shared" si="6"/>
        <v>0</v>
      </c>
      <c r="G229" s="177" t="str">
        <f>IF(IFERROR(IF(Str_TypeDonneesCpt8=Cpt_Index,Tab_Compteur_8[[#This Row],[Index]]-E228,Tab_Compteur_8[[#This Row],[Quantité]])/Tab_Compteur_8[[#This Row],[Delta Jour]],"")&lt;0,"",IFERROR(IF(Str_TypeDonneesCpt8=Cpt_Index,Tab_Compteur_8[[#This Row],[Index]]-E228,Tab_Compteur_8[[#This Row],[Quantité]])/Tab_Compteur_8[[#This Row],[Delta Jour]],""))</f>
        <v/>
      </c>
      <c r="H229" s="177" t="str">
        <f>IFERROR(Tab_Compteur_8[[#This Row],[Montant]]/Tab_Compteur_8[[#This Row],[Delta Jour]],"")</f>
        <v/>
      </c>
      <c r="I229" s="184" t="str">
        <f>IF(SUM(Tab_Compteur_8[[#This Row],[Quantité]],Tab_Compteur_8[[#This Row],[Index]])&lt;=0,"",G229)</f>
        <v/>
      </c>
      <c r="J229" s="185"/>
      <c r="K229" s="36"/>
      <c r="L229" s="36"/>
      <c r="M229" s="36"/>
    </row>
    <row r="230" spans="1:13">
      <c r="A230" s="421">
        <f t="shared" si="7"/>
        <v>1</v>
      </c>
      <c r="B230" s="501"/>
      <c r="C230" s="178"/>
      <c r="D230" s="491"/>
      <c r="E230" s="502"/>
      <c r="F230" s="177">
        <f t="shared" si="6"/>
        <v>0</v>
      </c>
      <c r="G230" s="177" t="str">
        <f>IF(IFERROR(IF(Str_TypeDonneesCpt8=Cpt_Index,Tab_Compteur_8[[#This Row],[Index]]-E229,Tab_Compteur_8[[#This Row],[Quantité]])/Tab_Compteur_8[[#This Row],[Delta Jour]],"")&lt;0,"",IFERROR(IF(Str_TypeDonneesCpt8=Cpt_Index,Tab_Compteur_8[[#This Row],[Index]]-E229,Tab_Compteur_8[[#This Row],[Quantité]])/Tab_Compteur_8[[#This Row],[Delta Jour]],""))</f>
        <v/>
      </c>
      <c r="H230" s="177" t="str">
        <f>IFERROR(Tab_Compteur_8[[#This Row],[Montant]]/Tab_Compteur_8[[#This Row],[Delta Jour]],"")</f>
        <v/>
      </c>
      <c r="I230" s="184" t="str">
        <f>IF(SUM(Tab_Compteur_8[[#This Row],[Quantité]],Tab_Compteur_8[[#This Row],[Index]])&lt;=0,"",G230)</f>
        <v/>
      </c>
      <c r="J230" s="185"/>
      <c r="K230" s="36"/>
      <c r="L230" s="36"/>
      <c r="M230" s="36"/>
    </row>
    <row r="231" spans="1:13">
      <c r="A231" s="421">
        <f t="shared" si="7"/>
        <v>1</v>
      </c>
      <c r="B231" s="501"/>
      <c r="C231" s="178"/>
      <c r="D231" s="491"/>
      <c r="E231" s="502"/>
      <c r="F231" s="177">
        <f t="shared" si="6"/>
        <v>0</v>
      </c>
      <c r="G231" s="177" t="str">
        <f>IF(IFERROR(IF(Str_TypeDonneesCpt8=Cpt_Index,Tab_Compteur_8[[#This Row],[Index]]-E230,Tab_Compteur_8[[#This Row],[Quantité]])/Tab_Compteur_8[[#This Row],[Delta Jour]],"")&lt;0,"",IFERROR(IF(Str_TypeDonneesCpt8=Cpt_Index,Tab_Compteur_8[[#This Row],[Index]]-E230,Tab_Compteur_8[[#This Row],[Quantité]])/Tab_Compteur_8[[#This Row],[Delta Jour]],""))</f>
        <v/>
      </c>
      <c r="H231" s="177" t="str">
        <f>IFERROR(Tab_Compteur_8[[#This Row],[Montant]]/Tab_Compteur_8[[#This Row],[Delta Jour]],"")</f>
        <v/>
      </c>
      <c r="I231" s="184" t="str">
        <f>IF(SUM(Tab_Compteur_8[[#This Row],[Quantité]],Tab_Compteur_8[[#This Row],[Index]])&lt;=0,"",G231)</f>
        <v/>
      </c>
      <c r="J231" s="185"/>
      <c r="K231" s="36"/>
      <c r="L231" s="36"/>
      <c r="M231" s="36"/>
    </row>
    <row r="232" spans="1:13">
      <c r="A232" s="421">
        <f t="shared" si="7"/>
        <v>1</v>
      </c>
      <c r="B232" s="501"/>
      <c r="C232" s="178"/>
      <c r="D232" s="491"/>
      <c r="E232" s="502"/>
      <c r="F232" s="177">
        <f t="shared" si="6"/>
        <v>0</v>
      </c>
      <c r="G232" s="177" t="str">
        <f>IF(IFERROR(IF(Str_TypeDonneesCpt8=Cpt_Index,Tab_Compteur_8[[#This Row],[Index]]-E231,Tab_Compteur_8[[#This Row],[Quantité]])/Tab_Compteur_8[[#This Row],[Delta Jour]],"")&lt;0,"",IFERROR(IF(Str_TypeDonneesCpt8=Cpt_Index,Tab_Compteur_8[[#This Row],[Index]]-E231,Tab_Compteur_8[[#This Row],[Quantité]])/Tab_Compteur_8[[#This Row],[Delta Jour]],""))</f>
        <v/>
      </c>
      <c r="H232" s="177" t="str">
        <f>IFERROR(Tab_Compteur_8[[#This Row],[Montant]]/Tab_Compteur_8[[#This Row],[Delta Jour]],"")</f>
        <v/>
      </c>
      <c r="I232" s="184" t="str">
        <f>IF(SUM(Tab_Compteur_8[[#This Row],[Quantité]],Tab_Compteur_8[[#This Row],[Index]])&lt;=0,"",G232)</f>
        <v/>
      </c>
      <c r="J232" s="185"/>
      <c r="K232" s="36"/>
      <c r="L232" s="36"/>
      <c r="M232" s="36"/>
    </row>
    <row r="233" spans="1:13">
      <c r="A233" s="421">
        <f t="shared" si="7"/>
        <v>1</v>
      </c>
      <c r="B233" s="501"/>
      <c r="C233" s="178"/>
      <c r="D233" s="491"/>
      <c r="E233" s="502"/>
      <c r="F233" s="177">
        <f t="shared" si="6"/>
        <v>0</v>
      </c>
      <c r="G233" s="177" t="str">
        <f>IF(IFERROR(IF(Str_TypeDonneesCpt8=Cpt_Index,Tab_Compteur_8[[#This Row],[Index]]-E232,Tab_Compteur_8[[#This Row],[Quantité]])/Tab_Compteur_8[[#This Row],[Delta Jour]],"")&lt;0,"",IFERROR(IF(Str_TypeDonneesCpt8=Cpt_Index,Tab_Compteur_8[[#This Row],[Index]]-E232,Tab_Compteur_8[[#This Row],[Quantité]])/Tab_Compteur_8[[#This Row],[Delta Jour]],""))</f>
        <v/>
      </c>
      <c r="H233" s="177" t="str">
        <f>IFERROR(Tab_Compteur_8[[#This Row],[Montant]]/Tab_Compteur_8[[#This Row],[Delta Jour]],"")</f>
        <v/>
      </c>
      <c r="I233" s="184" t="str">
        <f>IF(SUM(Tab_Compteur_8[[#This Row],[Quantité]],Tab_Compteur_8[[#This Row],[Index]])&lt;=0,"",G233)</f>
        <v/>
      </c>
      <c r="J233" s="185"/>
      <c r="K233" s="36"/>
      <c r="L233" s="36"/>
      <c r="M233" s="36"/>
    </row>
    <row r="234" spans="1:13">
      <c r="A234" s="421">
        <f t="shared" si="7"/>
        <v>1</v>
      </c>
      <c r="B234" s="501"/>
      <c r="C234" s="178"/>
      <c r="D234" s="491"/>
      <c r="E234" s="502"/>
      <c r="F234" s="177">
        <f t="shared" si="6"/>
        <v>0</v>
      </c>
      <c r="G234" s="177" t="str">
        <f>IF(IFERROR(IF(Str_TypeDonneesCpt8=Cpt_Index,Tab_Compteur_8[[#This Row],[Index]]-E233,Tab_Compteur_8[[#This Row],[Quantité]])/Tab_Compteur_8[[#This Row],[Delta Jour]],"")&lt;0,"",IFERROR(IF(Str_TypeDonneesCpt8=Cpt_Index,Tab_Compteur_8[[#This Row],[Index]]-E233,Tab_Compteur_8[[#This Row],[Quantité]])/Tab_Compteur_8[[#This Row],[Delta Jour]],""))</f>
        <v/>
      </c>
      <c r="H234" s="177" t="str">
        <f>IFERROR(Tab_Compteur_8[[#This Row],[Montant]]/Tab_Compteur_8[[#This Row],[Delta Jour]],"")</f>
        <v/>
      </c>
      <c r="I234" s="184" t="str">
        <f>IF(SUM(Tab_Compteur_8[[#This Row],[Quantité]],Tab_Compteur_8[[#This Row],[Index]])&lt;=0,"",G234)</f>
        <v/>
      </c>
      <c r="J234" s="185"/>
      <c r="K234" s="36"/>
      <c r="L234" s="36"/>
      <c r="M234" s="36"/>
    </row>
    <row r="235" spans="1:13">
      <c r="A235" s="421">
        <f t="shared" si="7"/>
        <v>1</v>
      </c>
      <c r="B235" s="501"/>
      <c r="C235" s="178"/>
      <c r="D235" s="491"/>
      <c r="E235" s="502"/>
      <c r="F235" s="177">
        <f t="shared" si="6"/>
        <v>0</v>
      </c>
      <c r="G235" s="177" t="str">
        <f>IF(IFERROR(IF(Str_TypeDonneesCpt8=Cpt_Index,Tab_Compteur_8[[#This Row],[Index]]-E234,Tab_Compteur_8[[#This Row],[Quantité]])/Tab_Compteur_8[[#This Row],[Delta Jour]],"")&lt;0,"",IFERROR(IF(Str_TypeDonneesCpt8=Cpt_Index,Tab_Compteur_8[[#This Row],[Index]]-E234,Tab_Compteur_8[[#This Row],[Quantité]])/Tab_Compteur_8[[#This Row],[Delta Jour]],""))</f>
        <v/>
      </c>
      <c r="H235" s="177" t="str">
        <f>IFERROR(Tab_Compteur_8[[#This Row],[Montant]]/Tab_Compteur_8[[#This Row],[Delta Jour]],"")</f>
        <v/>
      </c>
      <c r="I235" s="184" t="str">
        <f>IF(SUM(Tab_Compteur_8[[#This Row],[Quantité]],Tab_Compteur_8[[#This Row],[Index]])&lt;=0,"",G235)</f>
        <v/>
      </c>
      <c r="J235" s="185"/>
      <c r="K235" s="36"/>
      <c r="L235" s="36"/>
      <c r="M235" s="36"/>
    </row>
    <row r="236" spans="1:13">
      <c r="A236" s="421">
        <f t="shared" si="7"/>
        <v>1</v>
      </c>
      <c r="B236" s="501"/>
      <c r="C236" s="178"/>
      <c r="D236" s="491"/>
      <c r="E236" s="502"/>
      <c r="F236" s="177">
        <f t="shared" si="6"/>
        <v>0</v>
      </c>
      <c r="G236" s="177" t="str">
        <f>IF(IFERROR(IF(Str_TypeDonneesCpt8=Cpt_Index,Tab_Compteur_8[[#This Row],[Index]]-E235,Tab_Compteur_8[[#This Row],[Quantité]])/Tab_Compteur_8[[#This Row],[Delta Jour]],"")&lt;0,"",IFERROR(IF(Str_TypeDonneesCpt8=Cpt_Index,Tab_Compteur_8[[#This Row],[Index]]-E235,Tab_Compteur_8[[#This Row],[Quantité]])/Tab_Compteur_8[[#This Row],[Delta Jour]],""))</f>
        <v/>
      </c>
      <c r="H236" s="177" t="str">
        <f>IFERROR(Tab_Compteur_8[[#This Row],[Montant]]/Tab_Compteur_8[[#This Row],[Delta Jour]],"")</f>
        <v/>
      </c>
      <c r="I236" s="184" t="str">
        <f>IF(SUM(Tab_Compteur_8[[#This Row],[Quantité]],Tab_Compteur_8[[#This Row],[Index]])&lt;=0,"",G236)</f>
        <v/>
      </c>
      <c r="J236" s="185"/>
      <c r="K236" s="36"/>
      <c r="L236" s="36"/>
      <c r="M236" s="36"/>
    </row>
    <row r="237" spans="1:13">
      <c r="A237" s="421">
        <f t="shared" si="7"/>
        <v>1</v>
      </c>
      <c r="B237" s="501"/>
      <c r="C237" s="178"/>
      <c r="D237" s="491"/>
      <c r="E237" s="502"/>
      <c r="F237" s="177">
        <f t="shared" si="6"/>
        <v>0</v>
      </c>
      <c r="G237" s="177" t="str">
        <f>IF(IFERROR(IF(Str_TypeDonneesCpt8=Cpt_Index,Tab_Compteur_8[[#This Row],[Index]]-E236,Tab_Compteur_8[[#This Row],[Quantité]])/Tab_Compteur_8[[#This Row],[Delta Jour]],"")&lt;0,"",IFERROR(IF(Str_TypeDonneesCpt8=Cpt_Index,Tab_Compteur_8[[#This Row],[Index]]-E236,Tab_Compteur_8[[#This Row],[Quantité]])/Tab_Compteur_8[[#This Row],[Delta Jour]],""))</f>
        <v/>
      </c>
      <c r="H237" s="177" t="str">
        <f>IFERROR(Tab_Compteur_8[[#This Row],[Montant]]/Tab_Compteur_8[[#This Row],[Delta Jour]],"")</f>
        <v/>
      </c>
      <c r="I237" s="184" t="str">
        <f>IF(SUM(Tab_Compteur_8[[#This Row],[Quantité]],Tab_Compteur_8[[#This Row],[Index]])&lt;=0,"",G237)</f>
        <v/>
      </c>
      <c r="J237" s="185"/>
      <c r="K237" s="36"/>
      <c r="L237" s="36"/>
      <c r="M237" s="36"/>
    </row>
    <row r="238" spans="1:13">
      <c r="A238" s="421">
        <f t="shared" si="7"/>
        <v>1</v>
      </c>
      <c r="B238" s="501"/>
      <c r="C238" s="178"/>
      <c r="D238" s="491"/>
      <c r="E238" s="502"/>
      <c r="F238" s="177">
        <f t="shared" si="6"/>
        <v>0</v>
      </c>
      <c r="G238" s="177" t="str">
        <f>IF(IFERROR(IF(Str_TypeDonneesCpt8=Cpt_Index,Tab_Compteur_8[[#This Row],[Index]]-E237,Tab_Compteur_8[[#This Row],[Quantité]])/Tab_Compteur_8[[#This Row],[Delta Jour]],"")&lt;0,"",IFERROR(IF(Str_TypeDonneesCpt8=Cpt_Index,Tab_Compteur_8[[#This Row],[Index]]-E237,Tab_Compteur_8[[#This Row],[Quantité]])/Tab_Compteur_8[[#This Row],[Delta Jour]],""))</f>
        <v/>
      </c>
      <c r="H238" s="177" t="str">
        <f>IFERROR(Tab_Compteur_8[[#This Row],[Montant]]/Tab_Compteur_8[[#This Row],[Delta Jour]],"")</f>
        <v/>
      </c>
      <c r="I238" s="184" t="str">
        <f>IF(SUM(Tab_Compteur_8[[#This Row],[Quantité]],Tab_Compteur_8[[#This Row],[Index]])&lt;=0,"",G238)</f>
        <v/>
      </c>
      <c r="J238" s="185"/>
      <c r="K238" s="36"/>
      <c r="L238" s="36"/>
      <c r="M238" s="36"/>
    </row>
    <row r="239" spans="1:13">
      <c r="A239" s="421">
        <f t="shared" si="7"/>
        <v>1</v>
      </c>
      <c r="B239" s="501"/>
      <c r="C239" s="178"/>
      <c r="D239" s="491"/>
      <c r="E239" s="502"/>
      <c r="F239" s="177">
        <f t="shared" si="6"/>
        <v>0</v>
      </c>
      <c r="G239" s="177" t="str">
        <f>IF(IFERROR(IF(Str_TypeDonneesCpt8=Cpt_Index,Tab_Compteur_8[[#This Row],[Index]]-E238,Tab_Compteur_8[[#This Row],[Quantité]])/Tab_Compteur_8[[#This Row],[Delta Jour]],"")&lt;0,"",IFERROR(IF(Str_TypeDonneesCpt8=Cpt_Index,Tab_Compteur_8[[#This Row],[Index]]-E238,Tab_Compteur_8[[#This Row],[Quantité]])/Tab_Compteur_8[[#This Row],[Delta Jour]],""))</f>
        <v/>
      </c>
      <c r="H239" s="177" t="str">
        <f>IFERROR(Tab_Compteur_8[[#This Row],[Montant]]/Tab_Compteur_8[[#This Row],[Delta Jour]],"")</f>
        <v/>
      </c>
      <c r="I239" s="184" t="str">
        <f>IF(SUM(Tab_Compteur_8[[#This Row],[Quantité]],Tab_Compteur_8[[#This Row],[Index]])&lt;=0,"",G239)</f>
        <v/>
      </c>
      <c r="J239" s="185"/>
      <c r="K239" s="36"/>
      <c r="L239" s="36"/>
      <c r="M239" s="36"/>
    </row>
    <row r="240" spans="1:13">
      <c r="A240" s="421">
        <f t="shared" si="7"/>
        <v>1</v>
      </c>
      <c r="B240" s="501"/>
      <c r="C240" s="178"/>
      <c r="D240" s="491"/>
      <c r="E240" s="502"/>
      <c r="F240" s="177">
        <f t="shared" si="6"/>
        <v>0</v>
      </c>
      <c r="G240" s="177" t="str">
        <f>IF(IFERROR(IF(Str_TypeDonneesCpt8=Cpt_Index,Tab_Compteur_8[[#This Row],[Index]]-E239,Tab_Compteur_8[[#This Row],[Quantité]])/Tab_Compteur_8[[#This Row],[Delta Jour]],"")&lt;0,"",IFERROR(IF(Str_TypeDonneesCpt8=Cpt_Index,Tab_Compteur_8[[#This Row],[Index]]-E239,Tab_Compteur_8[[#This Row],[Quantité]])/Tab_Compteur_8[[#This Row],[Delta Jour]],""))</f>
        <v/>
      </c>
      <c r="H240" s="177" t="str">
        <f>IFERROR(Tab_Compteur_8[[#This Row],[Montant]]/Tab_Compteur_8[[#This Row],[Delta Jour]],"")</f>
        <v/>
      </c>
      <c r="I240" s="184" t="str">
        <f>IF(SUM(Tab_Compteur_8[[#This Row],[Quantité]],Tab_Compteur_8[[#This Row],[Index]])&lt;=0,"",G240)</f>
        <v/>
      </c>
      <c r="J240" s="185"/>
      <c r="K240" s="36"/>
      <c r="L240" s="36"/>
      <c r="M240" s="36"/>
    </row>
    <row r="241" spans="1:13">
      <c r="A241" s="421">
        <f t="shared" si="7"/>
        <v>1</v>
      </c>
      <c r="B241" s="501"/>
      <c r="C241" s="178"/>
      <c r="D241" s="491"/>
      <c r="E241" s="502"/>
      <c r="F241" s="177">
        <f t="shared" si="6"/>
        <v>0</v>
      </c>
      <c r="G241" s="177" t="str">
        <f>IF(IFERROR(IF(Str_TypeDonneesCpt8=Cpt_Index,Tab_Compteur_8[[#This Row],[Index]]-E240,Tab_Compteur_8[[#This Row],[Quantité]])/Tab_Compteur_8[[#This Row],[Delta Jour]],"")&lt;0,"",IFERROR(IF(Str_TypeDonneesCpt8=Cpt_Index,Tab_Compteur_8[[#This Row],[Index]]-E240,Tab_Compteur_8[[#This Row],[Quantité]])/Tab_Compteur_8[[#This Row],[Delta Jour]],""))</f>
        <v/>
      </c>
      <c r="H241" s="177" t="str">
        <f>IFERROR(Tab_Compteur_8[[#This Row],[Montant]]/Tab_Compteur_8[[#This Row],[Delta Jour]],"")</f>
        <v/>
      </c>
      <c r="I241" s="184" t="str">
        <f>IF(SUM(Tab_Compteur_8[[#This Row],[Quantité]],Tab_Compteur_8[[#This Row],[Index]])&lt;=0,"",G241)</f>
        <v/>
      </c>
      <c r="J241" s="185"/>
      <c r="K241" s="36"/>
      <c r="L241" s="36"/>
      <c r="M241" s="36"/>
    </row>
    <row r="242" spans="1:13">
      <c r="A242" s="421">
        <f t="shared" si="7"/>
        <v>1</v>
      </c>
      <c r="B242" s="501"/>
      <c r="C242" s="178"/>
      <c r="D242" s="491"/>
      <c r="E242" s="502"/>
      <c r="F242" s="177">
        <f t="shared" si="6"/>
        <v>0</v>
      </c>
      <c r="G242" s="177" t="str">
        <f>IF(IFERROR(IF(Str_TypeDonneesCpt8=Cpt_Index,Tab_Compteur_8[[#This Row],[Index]]-E241,Tab_Compteur_8[[#This Row],[Quantité]])/Tab_Compteur_8[[#This Row],[Delta Jour]],"")&lt;0,"",IFERROR(IF(Str_TypeDonneesCpt8=Cpt_Index,Tab_Compteur_8[[#This Row],[Index]]-E241,Tab_Compteur_8[[#This Row],[Quantité]])/Tab_Compteur_8[[#This Row],[Delta Jour]],""))</f>
        <v/>
      </c>
      <c r="H242" s="177" t="str">
        <f>IFERROR(Tab_Compteur_8[[#This Row],[Montant]]/Tab_Compteur_8[[#This Row],[Delta Jour]],"")</f>
        <v/>
      </c>
      <c r="I242" s="184" t="str">
        <f>IF(SUM(Tab_Compteur_8[[#This Row],[Quantité]],Tab_Compteur_8[[#This Row],[Index]])&lt;=0,"",G242)</f>
        <v/>
      </c>
      <c r="J242" s="185"/>
      <c r="K242" s="36"/>
      <c r="L242" s="36"/>
      <c r="M242" s="36"/>
    </row>
    <row r="243" spans="1:13">
      <c r="A243" s="421">
        <f t="shared" si="7"/>
        <v>1</v>
      </c>
      <c r="B243" s="501"/>
      <c r="C243" s="178"/>
      <c r="D243" s="491"/>
      <c r="E243" s="502"/>
      <c r="F243" s="177">
        <f t="shared" si="6"/>
        <v>0</v>
      </c>
      <c r="G243" s="177" t="str">
        <f>IF(IFERROR(IF(Str_TypeDonneesCpt8=Cpt_Index,Tab_Compteur_8[[#This Row],[Index]]-E242,Tab_Compteur_8[[#This Row],[Quantité]])/Tab_Compteur_8[[#This Row],[Delta Jour]],"")&lt;0,"",IFERROR(IF(Str_TypeDonneesCpt8=Cpt_Index,Tab_Compteur_8[[#This Row],[Index]]-E242,Tab_Compteur_8[[#This Row],[Quantité]])/Tab_Compteur_8[[#This Row],[Delta Jour]],""))</f>
        <v/>
      </c>
      <c r="H243" s="177" t="str">
        <f>IFERROR(Tab_Compteur_8[[#This Row],[Montant]]/Tab_Compteur_8[[#This Row],[Delta Jour]],"")</f>
        <v/>
      </c>
      <c r="I243" s="184" t="str">
        <f>IF(SUM(Tab_Compteur_8[[#This Row],[Quantité]],Tab_Compteur_8[[#This Row],[Index]])&lt;=0,"",G243)</f>
        <v/>
      </c>
      <c r="J243" s="185"/>
      <c r="K243" s="36"/>
      <c r="L243" s="36"/>
      <c r="M243" s="36"/>
    </row>
  </sheetData>
  <sheetProtection sheet="1" selectLockedCells="1"/>
  <protectedRanges>
    <protectedRange sqref="J2:J10 J34:J243 K244:K1048576" name="Plage3"/>
    <protectedRange sqref="C4:D59" name="Donnée_compteur1"/>
    <protectedRange sqref="C60:D243 A4:B243" name="Données_compteur"/>
    <protectedRange sqref="L2:M2" name="Données_compteur7"/>
    <protectedRange sqref="J11:M33" name="Données_compteur3_3_1"/>
    <protectedRange sqref="E2" name="Compteur_1_1"/>
    <protectedRange sqref="I2" name="Compteur_1_1_1"/>
    <protectedRange sqref="K4:L4" name="Compteur_1"/>
    <protectedRange sqref="L1 E1 I1" name="Compteur_1_2"/>
  </protectedRanges>
  <mergeCells count="2">
    <mergeCell ref="L2:M2"/>
    <mergeCell ref="K11:M33"/>
  </mergeCells>
  <conditionalFormatting sqref="B4:B243">
    <cfRule type="expression" dxfId="29" priority="1">
      <formula>$B4&lt;$A4</formula>
    </cfRule>
  </conditionalFormatting>
  <pageMargins left="0.7" right="0.7" top="0.75" bottom="0.75" header="0.3" footer="0.3"/>
  <pageSetup paperSize="9" orientation="portrait" r:id="rId1"/>
  <drawing r:id="rId2"/>
  <legacyDrawing r:id="rId3"/>
  <tableParts count="1">
    <tablePart r:id="rId4"/>
  </tablePart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36"/>
  <dimension ref="A1:Q239"/>
  <sheetViews>
    <sheetView zoomScale="70" zoomScaleNormal="70" workbookViewId="0">
      <pane ySplit="1" topLeftCell="A2" activePane="bottomLeft" state="frozen"/>
      <selection pane="bottomLeft" activeCell="A2" sqref="A2"/>
    </sheetView>
  </sheetViews>
  <sheetFormatPr baseColWidth="10" defaultRowHeight="14.5"/>
  <cols>
    <col min="1" max="1" width="16.08984375" style="177" customWidth="1"/>
    <col min="2" max="2" width="28.36328125" customWidth="1"/>
    <col min="3" max="3" width="17.26953125" customWidth="1"/>
    <col min="4" max="4" width="22.26953125" style="207" customWidth="1"/>
    <col min="5" max="5" width="14.81640625" style="228" customWidth="1"/>
    <col min="6" max="6" width="13.7265625" style="207" customWidth="1"/>
    <col min="7" max="7" width="18.81640625" style="207" customWidth="1"/>
    <col min="8" max="8" width="18.81640625" style="248" customWidth="1"/>
    <col min="9" max="9" width="32.08984375" style="177" customWidth="1"/>
    <col min="10" max="10" width="22.26953125" hidden="1" customWidth="1"/>
    <col min="11" max="11" width="9.26953125" style="177" customWidth="1"/>
    <col min="12" max="12" width="44.6328125" style="177" customWidth="1"/>
    <col min="13" max="13" width="11.36328125" customWidth="1"/>
    <col min="16" max="16" width="21" hidden="1" customWidth="1"/>
    <col min="17" max="17" width="21" bestFit="1" customWidth="1"/>
  </cols>
  <sheetData>
    <row r="1" spans="1:17" ht="51" customHeight="1">
      <c r="A1" s="222" t="s">
        <v>462</v>
      </c>
      <c r="B1" s="223" t="s">
        <v>463</v>
      </c>
      <c r="C1" s="223" t="s">
        <v>446</v>
      </c>
      <c r="D1" s="223" t="s">
        <v>445</v>
      </c>
      <c r="E1" s="220" t="s">
        <v>461</v>
      </c>
      <c r="F1" s="220" t="s">
        <v>394</v>
      </c>
      <c r="G1" s="218" t="s">
        <v>395</v>
      </c>
      <c r="H1" s="220" t="s">
        <v>516</v>
      </c>
      <c r="I1" s="224" t="s">
        <v>444</v>
      </c>
      <c r="J1" t="s">
        <v>447</v>
      </c>
      <c r="L1" s="213" t="s">
        <v>450</v>
      </c>
      <c r="M1" s="354"/>
      <c r="N1" s="354"/>
      <c r="O1" s="354"/>
      <c r="P1" s="354"/>
      <c r="Q1" s="354"/>
    </row>
    <row r="2" spans="1:17">
      <c r="A2" s="251"/>
      <c r="B2" s="252"/>
      <c r="C2" s="254"/>
      <c r="D2" s="452" t="str">
        <f>IF(Tableau12[[#This Row],[Quantité restante dans la cuve
(si remplissage, valeur 
avant le plein)]]&lt;=0,"",Tableau12[[#This Row],[Quantité restante dans la cuve
(si remplissage, valeur 
avant le plein)]]+Tableau12[[#This Row],[Remplissage / 
Quantité remise]])</f>
        <v/>
      </c>
      <c r="E2" s="221"/>
      <c r="F2" s="217"/>
      <c r="G2" s="212"/>
      <c r="H2" s="212"/>
      <c r="I2" s="214"/>
      <c r="J2" s="209"/>
      <c r="L2" s="355" t="s">
        <v>448</v>
      </c>
      <c r="M2" s="177"/>
      <c r="N2" s="354"/>
      <c r="O2" s="354"/>
      <c r="P2" s="354" t="s">
        <v>455</v>
      </c>
      <c r="Q2" s="354"/>
    </row>
    <row r="3" spans="1:17">
      <c r="A3" s="253"/>
      <c r="B3" s="254"/>
      <c r="C3" s="254"/>
      <c r="D3" s="452" t="str">
        <f>IF(Tableau12[[#This Row],[Quantité restante dans la cuve
(si remplissage, valeur 
avant le plein)]]&lt;=0,"",Tableau12[[#This Row],[Quantité restante dans la cuve
(si remplissage, valeur 
avant le plein)]]+Tableau12[[#This Row],[Remplissage / 
Quantité remise]])</f>
        <v/>
      </c>
      <c r="E3" s="208" t="str">
        <f>IFERROR(G3/(A3-A2),"")</f>
        <v/>
      </c>
      <c r="F3" s="258" t="str">
        <f>IF(A3="","",A3)</f>
        <v/>
      </c>
      <c r="G3" s="259" t="str">
        <f>IF(B3&lt;=0,"",D2-B3)</f>
        <v/>
      </c>
      <c r="H3" s="259"/>
      <c r="I3" s="215"/>
      <c r="J3" s="210" t="str">
        <f>IF(C2&lt;=0,IF(B3&gt;B2,"Erreur saisie","Saisie ok"),"Saisie ok, plein fait")</f>
        <v>Saisie ok</v>
      </c>
      <c r="L3" s="262" t="s">
        <v>464</v>
      </c>
      <c r="M3" s="177"/>
      <c r="N3" s="354"/>
      <c r="O3" s="354"/>
      <c r="P3" s="354" t="s">
        <v>456</v>
      </c>
      <c r="Q3" s="211"/>
    </row>
    <row r="4" spans="1:17">
      <c r="A4" s="253"/>
      <c r="B4" s="254"/>
      <c r="C4" s="254"/>
      <c r="D4" s="452" t="str">
        <f>IF(Tableau12[[#This Row],[Quantité restante dans la cuve
(si remplissage, valeur 
avant le plein)]]&lt;=0,"",Tableau12[[#This Row],[Quantité restante dans la cuve
(si remplissage, valeur 
avant le plein)]]+Tableau12[[#This Row],[Remplissage / 
Quantité remise]])</f>
        <v/>
      </c>
      <c r="E4" s="208" t="str">
        <f t="shared" ref="E4:E67" si="0">IFERROR(G4/(A4-A3),"")</f>
        <v/>
      </c>
      <c r="F4" s="258" t="str">
        <f t="shared" ref="F4:F67" si="1">IF(A4="","",A4)</f>
        <v/>
      </c>
      <c r="G4" s="259" t="str">
        <f t="shared" ref="G4:G67" si="2">IF(B4&lt;=0,"",D3-B4)</f>
        <v/>
      </c>
      <c r="H4" s="259"/>
      <c r="I4" s="215"/>
      <c r="J4" s="210" t="str">
        <f t="shared" ref="J4:J67" si="3">IF(C3&lt;=0,IF(B4&gt;B3,"Erreur saisie","Saisie ok"),"Saisie ok, plein fait")</f>
        <v>Saisie ok</v>
      </c>
      <c r="L4" s="356" t="s">
        <v>449</v>
      </c>
      <c r="M4" s="177"/>
      <c r="N4" s="354"/>
      <c r="O4" s="354"/>
      <c r="P4" s="354" t="s">
        <v>457</v>
      </c>
      <c r="Q4" s="211"/>
    </row>
    <row r="5" spans="1:17">
      <c r="A5" s="253"/>
      <c r="B5" s="254"/>
      <c r="C5" s="254"/>
      <c r="D5" s="452" t="str">
        <f>IF(Tableau12[[#This Row],[Quantité restante dans la cuve
(si remplissage, valeur 
avant le plein)]]&lt;=0,"",Tableau12[[#This Row],[Quantité restante dans la cuve
(si remplissage, valeur 
avant le plein)]]+Tableau12[[#This Row],[Remplissage / 
Quantité remise]])</f>
        <v/>
      </c>
      <c r="E5" s="208" t="str">
        <f t="shared" si="0"/>
        <v/>
      </c>
      <c r="F5" s="258" t="str">
        <f t="shared" si="1"/>
        <v/>
      </c>
      <c r="G5" s="259" t="str">
        <f t="shared" si="2"/>
        <v/>
      </c>
      <c r="H5" s="259"/>
      <c r="I5" s="215"/>
      <c r="J5" s="210" t="str">
        <f t="shared" si="3"/>
        <v>Saisie ok</v>
      </c>
      <c r="L5" s="263" t="s">
        <v>465</v>
      </c>
      <c r="M5" s="177"/>
      <c r="N5" s="354"/>
      <c r="O5" s="354"/>
      <c r="P5" s="354" t="s">
        <v>460</v>
      </c>
      <c r="Q5" s="211"/>
    </row>
    <row r="6" spans="1:17">
      <c r="A6" s="253"/>
      <c r="B6" s="254"/>
      <c r="C6" s="254"/>
      <c r="D6" s="452" t="str">
        <f>IF(Tableau12[[#This Row],[Quantité restante dans la cuve
(si remplissage, valeur 
avant le plein)]]&lt;=0,"",Tableau12[[#This Row],[Quantité restante dans la cuve
(si remplissage, valeur 
avant le plein)]]+Tableau12[[#This Row],[Remplissage / 
Quantité remise]])</f>
        <v/>
      </c>
      <c r="E6" s="208" t="str">
        <f t="shared" si="0"/>
        <v/>
      </c>
      <c r="F6" s="258" t="str">
        <f t="shared" si="1"/>
        <v/>
      </c>
      <c r="G6" s="259" t="str">
        <f t="shared" si="2"/>
        <v/>
      </c>
      <c r="H6" s="259"/>
      <c r="I6" s="215"/>
      <c r="J6" s="210" t="str">
        <f t="shared" si="3"/>
        <v>Saisie ok</v>
      </c>
      <c r="L6" s="356" t="s">
        <v>453</v>
      </c>
      <c r="M6" s="177"/>
      <c r="N6" s="354"/>
      <c r="O6" s="354"/>
      <c r="P6" s="354"/>
      <c r="Q6" s="211"/>
    </row>
    <row r="7" spans="1:17">
      <c r="A7" s="255"/>
      <c r="B7" s="256"/>
      <c r="C7" s="256"/>
      <c r="D7" s="452" t="str">
        <f>IF(Tableau12[[#This Row],[Quantité restante dans la cuve
(si remplissage, valeur 
avant le plein)]]&lt;=0,"",Tableau12[[#This Row],[Quantité restante dans la cuve
(si remplissage, valeur 
avant le plein)]]+Tableau12[[#This Row],[Remplissage / 
Quantité remise]])</f>
        <v/>
      </c>
      <c r="E7" s="208" t="str">
        <f t="shared" si="0"/>
        <v/>
      </c>
      <c r="F7" s="258" t="str">
        <f t="shared" si="1"/>
        <v/>
      </c>
      <c r="G7" s="259" t="str">
        <f t="shared" si="2"/>
        <v/>
      </c>
      <c r="H7" s="261"/>
      <c r="I7" s="216"/>
      <c r="J7" s="210" t="str">
        <f t="shared" si="3"/>
        <v>Saisie ok</v>
      </c>
      <c r="L7" s="263" t="s">
        <v>456</v>
      </c>
      <c r="M7" s="177"/>
      <c r="N7" s="354"/>
      <c r="O7" s="354"/>
      <c r="P7" s="354"/>
      <c r="Q7" s="211"/>
    </row>
    <row r="8" spans="1:17">
      <c r="A8" s="255"/>
      <c r="B8" s="256"/>
      <c r="C8" s="256"/>
      <c r="D8" s="452" t="str">
        <f>IF(Tableau12[[#This Row],[Quantité restante dans la cuve
(si remplissage, valeur 
avant le plein)]]&lt;=0,"",Tableau12[[#This Row],[Quantité restante dans la cuve
(si remplissage, valeur 
avant le plein)]]+Tableau12[[#This Row],[Remplissage / 
Quantité remise]])</f>
        <v/>
      </c>
      <c r="E8" s="208" t="str">
        <f t="shared" si="0"/>
        <v/>
      </c>
      <c r="F8" s="258" t="str">
        <f t="shared" si="1"/>
        <v/>
      </c>
      <c r="G8" s="259" t="str">
        <f t="shared" si="2"/>
        <v/>
      </c>
      <c r="H8" s="261"/>
      <c r="I8" s="216"/>
      <c r="J8" s="210" t="str">
        <f t="shared" si="3"/>
        <v>Saisie ok</v>
      </c>
      <c r="L8" s="356" t="s">
        <v>459</v>
      </c>
      <c r="M8" s="177"/>
      <c r="N8" s="354"/>
      <c r="O8" s="354"/>
      <c r="P8" s="354"/>
      <c r="Q8" s="211"/>
    </row>
    <row r="9" spans="1:17">
      <c r="A9" s="255"/>
      <c r="B9" s="256"/>
      <c r="C9" s="256"/>
      <c r="D9" s="452" t="str">
        <f>IF(Tableau12[[#This Row],[Quantité restante dans la cuve
(si remplissage, valeur 
avant le plein)]]&lt;=0,"",Tableau12[[#This Row],[Quantité restante dans la cuve
(si remplissage, valeur 
avant le plein)]]+Tableau12[[#This Row],[Remplissage / 
Quantité remise]])</f>
        <v/>
      </c>
      <c r="E9" s="208" t="str">
        <f t="shared" si="0"/>
        <v/>
      </c>
      <c r="F9" s="258" t="str">
        <f t="shared" si="1"/>
        <v/>
      </c>
      <c r="G9" s="259" t="str">
        <f t="shared" si="2"/>
        <v/>
      </c>
      <c r="H9" s="261"/>
      <c r="I9" s="216"/>
      <c r="J9" s="210" t="str">
        <f t="shared" si="3"/>
        <v>Saisie ok</v>
      </c>
      <c r="L9" s="264"/>
      <c r="M9" s="177"/>
      <c r="N9" s="354"/>
      <c r="O9" s="354"/>
      <c r="P9" s="354"/>
      <c r="Q9" s="211"/>
    </row>
    <row r="10" spans="1:17">
      <c r="A10" s="255"/>
      <c r="B10" s="256"/>
      <c r="C10" s="256"/>
      <c r="D10" s="452" t="str">
        <f>IF(Tableau12[[#This Row],[Quantité restante dans la cuve
(si remplissage, valeur 
avant le plein)]]&lt;=0,"",Tableau12[[#This Row],[Quantité restante dans la cuve
(si remplissage, valeur 
avant le plein)]]+Tableau12[[#This Row],[Remplissage / 
Quantité remise]])</f>
        <v/>
      </c>
      <c r="E10" s="208" t="str">
        <f t="shared" si="0"/>
        <v/>
      </c>
      <c r="F10" s="258" t="str">
        <f t="shared" si="1"/>
        <v/>
      </c>
      <c r="G10" s="259" t="str">
        <f t="shared" si="2"/>
        <v/>
      </c>
      <c r="H10" s="261"/>
      <c r="I10" s="216"/>
      <c r="J10" s="210" t="str">
        <f t="shared" si="3"/>
        <v>Saisie ok</v>
      </c>
      <c r="L10" s="356" t="s">
        <v>454</v>
      </c>
      <c r="M10" s="177"/>
      <c r="N10" s="354"/>
      <c r="O10" s="354"/>
      <c r="P10" s="354"/>
      <c r="Q10" s="354"/>
    </row>
    <row r="11" spans="1:17">
      <c r="A11" s="253"/>
      <c r="B11" s="254"/>
      <c r="C11" s="254"/>
      <c r="D11" s="452" t="str">
        <f>IF(Tableau12[[#This Row],[Quantité restante dans la cuve
(si remplissage, valeur 
avant le plein)]]&lt;=0,"",Tableau12[[#This Row],[Quantité restante dans la cuve
(si remplissage, valeur 
avant le plein)]]+Tableau12[[#This Row],[Remplissage / 
Quantité remise]])</f>
        <v/>
      </c>
      <c r="E11" s="208" t="str">
        <f t="shared" si="0"/>
        <v/>
      </c>
      <c r="F11" s="258" t="str">
        <f t="shared" si="1"/>
        <v/>
      </c>
      <c r="G11" s="259" t="str">
        <f t="shared" si="2"/>
        <v/>
      </c>
      <c r="H11" s="259"/>
      <c r="I11" s="215"/>
      <c r="J11" s="210" t="str">
        <f t="shared" si="3"/>
        <v>Saisie ok</v>
      </c>
      <c r="L11" s="265"/>
      <c r="M11" s="177"/>
      <c r="N11" s="354"/>
      <c r="O11" s="354"/>
      <c r="P11" s="354"/>
      <c r="Q11" s="354"/>
    </row>
    <row r="12" spans="1:17">
      <c r="A12" s="253"/>
      <c r="B12" s="254"/>
      <c r="C12" s="254"/>
      <c r="D12" s="452" t="str">
        <f>IF(Tableau12[[#This Row],[Quantité restante dans la cuve
(si remplissage, valeur 
avant le plein)]]&lt;=0,"",Tableau12[[#This Row],[Quantité restante dans la cuve
(si remplissage, valeur 
avant le plein)]]+Tableau12[[#This Row],[Remplissage / 
Quantité remise]])</f>
        <v/>
      </c>
      <c r="E12" s="208" t="str">
        <f t="shared" si="0"/>
        <v/>
      </c>
      <c r="F12" s="258" t="str">
        <f t="shared" si="1"/>
        <v/>
      </c>
      <c r="G12" s="259" t="str">
        <f t="shared" si="2"/>
        <v/>
      </c>
      <c r="H12" s="259"/>
      <c r="I12" s="215"/>
      <c r="J12" s="210" t="str">
        <f t="shared" si="3"/>
        <v>Saisie ok</v>
      </c>
      <c r="L12" s="356" t="s">
        <v>458</v>
      </c>
      <c r="M12" s="177"/>
      <c r="N12" s="354"/>
      <c r="O12" s="354"/>
      <c r="P12" s="354"/>
      <c r="Q12" s="354"/>
    </row>
    <row r="13" spans="1:17">
      <c r="A13" s="253"/>
      <c r="B13" s="254"/>
      <c r="C13" s="254"/>
      <c r="D13" s="452" t="str">
        <f>IF(Tableau12[[#This Row],[Quantité restante dans la cuve
(si remplissage, valeur 
avant le plein)]]&lt;=0,"",Tableau12[[#This Row],[Quantité restante dans la cuve
(si remplissage, valeur 
avant le plein)]]+Tableau12[[#This Row],[Remplissage / 
Quantité remise]])</f>
        <v/>
      </c>
      <c r="E13" s="208" t="str">
        <f t="shared" si="0"/>
        <v/>
      </c>
      <c r="F13" s="258" t="str">
        <f t="shared" si="1"/>
        <v/>
      </c>
      <c r="G13" s="259" t="str">
        <f t="shared" si="2"/>
        <v/>
      </c>
      <c r="H13" s="259"/>
      <c r="I13" s="215"/>
      <c r="J13" s="210" t="str">
        <f t="shared" si="3"/>
        <v>Saisie ok</v>
      </c>
      <c r="L13" s="279">
        <f>IF(L7=P3,L9*L11,)</f>
        <v>0</v>
      </c>
      <c r="M13" s="177"/>
      <c r="N13" s="354"/>
      <c r="O13" s="354"/>
      <c r="P13" s="354"/>
      <c r="Q13" s="354"/>
    </row>
    <row r="14" spans="1:17">
      <c r="A14" s="253"/>
      <c r="B14" s="254"/>
      <c r="C14" s="254"/>
      <c r="D14" s="452" t="str">
        <f>IF(Tableau12[[#This Row],[Quantité restante dans la cuve
(si remplissage, valeur 
avant le plein)]]&lt;=0,"",Tableau12[[#This Row],[Quantité restante dans la cuve
(si remplissage, valeur 
avant le plein)]]+Tableau12[[#This Row],[Remplissage / 
Quantité remise]])</f>
        <v/>
      </c>
      <c r="E14" s="208" t="str">
        <f t="shared" si="0"/>
        <v/>
      </c>
      <c r="F14" s="258" t="str">
        <f t="shared" si="1"/>
        <v/>
      </c>
      <c r="G14" s="259" t="str">
        <f t="shared" si="2"/>
        <v/>
      </c>
      <c r="H14" s="259"/>
      <c r="I14" s="215"/>
      <c r="J14" s="210" t="str">
        <f t="shared" si="3"/>
        <v>Saisie ok</v>
      </c>
      <c r="M14" s="354"/>
      <c r="N14" s="354"/>
      <c r="O14" s="354"/>
      <c r="P14" s="354"/>
      <c r="Q14" s="354"/>
    </row>
    <row r="15" spans="1:17">
      <c r="A15" s="253"/>
      <c r="B15" s="254"/>
      <c r="C15" s="254"/>
      <c r="D15" s="452" t="str">
        <f>IF(Tableau12[[#This Row],[Quantité restante dans la cuve
(si remplissage, valeur 
avant le plein)]]&lt;=0,"",Tableau12[[#This Row],[Quantité restante dans la cuve
(si remplissage, valeur 
avant le plein)]]+Tableau12[[#This Row],[Remplissage / 
Quantité remise]])</f>
        <v/>
      </c>
      <c r="E15" s="208" t="str">
        <f t="shared" si="0"/>
        <v/>
      </c>
      <c r="F15" s="258" t="str">
        <f t="shared" si="1"/>
        <v/>
      </c>
      <c r="G15" s="259" t="str">
        <f t="shared" si="2"/>
        <v/>
      </c>
      <c r="H15" s="259"/>
      <c r="I15" s="215"/>
      <c r="J15" s="210" t="str">
        <f t="shared" si="3"/>
        <v>Saisie ok</v>
      </c>
      <c r="M15" s="354"/>
      <c r="N15" s="354"/>
      <c r="O15" s="354"/>
      <c r="P15" s="354"/>
      <c r="Q15" s="354"/>
    </row>
    <row r="16" spans="1:17">
      <c r="A16" s="253"/>
      <c r="B16" s="254"/>
      <c r="C16" s="254"/>
      <c r="D16" s="452" t="str">
        <f>IF(Tableau12[[#This Row],[Quantité restante dans la cuve
(si remplissage, valeur 
avant le plein)]]&lt;=0,"",Tableau12[[#This Row],[Quantité restante dans la cuve
(si remplissage, valeur 
avant le plein)]]+Tableau12[[#This Row],[Remplissage / 
Quantité remise]])</f>
        <v/>
      </c>
      <c r="E16" s="208" t="str">
        <f t="shared" si="0"/>
        <v/>
      </c>
      <c r="F16" s="258" t="str">
        <f t="shared" si="1"/>
        <v/>
      </c>
      <c r="G16" s="259" t="str">
        <f t="shared" si="2"/>
        <v/>
      </c>
      <c r="H16" s="259"/>
      <c r="I16" s="215"/>
      <c r="J16" s="210" t="str">
        <f t="shared" si="3"/>
        <v>Saisie ok</v>
      </c>
      <c r="M16" s="354"/>
      <c r="N16" s="354"/>
      <c r="O16" s="354"/>
      <c r="P16" s="354"/>
      <c r="Q16" s="354"/>
    </row>
    <row r="17" spans="1:17">
      <c r="A17" s="253"/>
      <c r="B17" s="254"/>
      <c r="C17" s="254"/>
      <c r="D17" s="452" t="str">
        <f>IF(Tableau12[[#This Row],[Quantité restante dans la cuve
(si remplissage, valeur 
avant le plein)]]&lt;=0,"",Tableau12[[#This Row],[Quantité restante dans la cuve
(si remplissage, valeur 
avant le plein)]]+Tableau12[[#This Row],[Remplissage / 
Quantité remise]])</f>
        <v/>
      </c>
      <c r="E17" s="208" t="str">
        <f t="shared" si="0"/>
        <v/>
      </c>
      <c r="F17" s="258" t="str">
        <f t="shared" si="1"/>
        <v/>
      </c>
      <c r="G17" s="259" t="str">
        <f t="shared" si="2"/>
        <v/>
      </c>
      <c r="H17" s="259"/>
      <c r="I17" s="215"/>
      <c r="J17" s="210" t="str">
        <f t="shared" si="3"/>
        <v>Saisie ok</v>
      </c>
      <c r="L17" s="357" t="s">
        <v>511</v>
      </c>
      <c r="M17" s="358"/>
      <c r="N17" s="359"/>
      <c r="O17" s="354"/>
      <c r="P17" s="354"/>
      <c r="Q17" s="354"/>
    </row>
    <row r="18" spans="1:17">
      <c r="A18" s="253"/>
      <c r="B18" s="254"/>
      <c r="C18" s="254"/>
      <c r="D18" s="452" t="str">
        <f>IF(Tableau12[[#This Row],[Quantité restante dans la cuve
(si remplissage, valeur 
avant le plein)]]&lt;=0,"",Tableau12[[#This Row],[Quantité restante dans la cuve
(si remplissage, valeur 
avant le plein)]]+Tableau12[[#This Row],[Remplissage / 
Quantité remise]])</f>
        <v/>
      </c>
      <c r="E18" s="208" t="str">
        <f t="shared" si="0"/>
        <v/>
      </c>
      <c r="F18" s="258" t="str">
        <f t="shared" si="1"/>
        <v/>
      </c>
      <c r="G18" s="259" t="str">
        <f t="shared" si="2"/>
        <v/>
      </c>
      <c r="H18" s="259"/>
      <c r="I18" s="215"/>
      <c r="J18" s="210" t="str">
        <f t="shared" si="3"/>
        <v>Saisie ok</v>
      </c>
      <c r="M18" s="354"/>
      <c r="N18" s="354"/>
      <c r="O18" s="354"/>
      <c r="P18" s="354"/>
      <c r="Q18" s="354"/>
    </row>
    <row r="19" spans="1:17">
      <c r="A19" s="253"/>
      <c r="B19" s="254"/>
      <c r="C19" s="254"/>
      <c r="D19" s="452" t="str">
        <f>IF(Tableau12[[#This Row],[Quantité restante dans la cuve
(si remplissage, valeur 
avant le plein)]]&lt;=0,"",Tableau12[[#This Row],[Quantité restante dans la cuve
(si remplissage, valeur 
avant le plein)]]+Tableau12[[#This Row],[Remplissage / 
Quantité remise]])</f>
        <v/>
      </c>
      <c r="E19" s="208" t="str">
        <f t="shared" si="0"/>
        <v/>
      </c>
      <c r="F19" s="258" t="str">
        <f t="shared" si="1"/>
        <v/>
      </c>
      <c r="G19" s="259" t="str">
        <f t="shared" si="2"/>
        <v/>
      </c>
      <c r="H19" s="259"/>
      <c r="I19" s="215"/>
      <c r="J19" s="210" t="str">
        <f t="shared" si="3"/>
        <v>Saisie ok</v>
      </c>
      <c r="L19" s="260" t="s">
        <v>512</v>
      </c>
      <c r="M19" s="354"/>
      <c r="N19" s="354"/>
      <c r="O19" s="354"/>
      <c r="P19" s="354"/>
      <c r="Q19" s="354"/>
    </row>
    <row r="20" spans="1:17">
      <c r="A20" s="253"/>
      <c r="B20" s="254"/>
      <c r="C20" s="254"/>
      <c r="D20" s="452" t="str">
        <f>IF(Tableau12[[#This Row],[Quantité restante dans la cuve
(si remplissage, valeur 
avant le plein)]]&lt;=0,"",Tableau12[[#This Row],[Quantité restante dans la cuve
(si remplissage, valeur 
avant le plein)]]+Tableau12[[#This Row],[Remplissage / 
Quantité remise]])</f>
        <v/>
      </c>
      <c r="E20" s="208" t="str">
        <f t="shared" si="0"/>
        <v/>
      </c>
      <c r="F20" s="258" t="str">
        <f t="shared" si="1"/>
        <v/>
      </c>
      <c r="G20" s="259" t="str">
        <f t="shared" si="2"/>
        <v/>
      </c>
      <c r="H20" s="259"/>
      <c r="I20" s="215"/>
      <c r="J20" s="210" t="str">
        <f t="shared" si="3"/>
        <v>Saisie ok</v>
      </c>
      <c r="L20" s="257" t="s">
        <v>825</v>
      </c>
      <c r="M20" s="354"/>
      <c r="N20" s="354"/>
      <c r="O20" s="354"/>
      <c r="P20" s="354"/>
      <c r="Q20" s="354"/>
    </row>
    <row r="21" spans="1:17">
      <c r="A21" s="253"/>
      <c r="B21" s="254"/>
      <c r="C21" s="254"/>
      <c r="D21" s="452" t="str">
        <f>IF(Tableau12[[#This Row],[Quantité restante dans la cuve
(si remplissage, valeur 
avant le plein)]]&lt;=0,"",Tableau12[[#This Row],[Quantité restante dans la cuve
(si remplissage, valeur 
avant le plein)]]+Tableau12[[#This Row],[Remplissage / 
Quantité remise]])</f>
        <v/>
      </c>
      <c r="E21" s="208" t="str">
        <f t="shared" si="0"/>
        <v/>
      </c>
      <c r="F21" s="258" t="str">
        <f t="shared" si="1"/>
        <v/>
      </c>
      <c r="G21" s="259" t="str">
        <f t="shared" si="2"/>
        <v/>
      </c>
      <c r="H21" s="259"/>
      <c r="I21" s="215"/>
      <c r="J21" s="210" t="str">
        <f t="shared" si="3"/>
        <v>Saisie ok</v>
      </c>
      <c r="L21" s="257" t="s">
        <v>826</v>
      </c>
      <c r="M21" s="354"/>
      <c r="N21" s="354"/>
      <c r="O21" s="354"/>
      <c r="P21" s="354"/>
      <c r="Q21" s="354"/>
    </row>
    <row r="22" spans="1:17">
      <c r="A22" s="253"/>
      <c r="B22" s="254"/>
      <c r="C22" s="254"/>
      <c r="D22" s="452" t="str">
        <f>IF(Tableau12[[#This Row],[Quantité restante dans la cuve
(si remplissage, valeur 
avant le plein)]]&lt;=0,"",Tableau12[[#This Row],[Quantité restante dans la cuve
(si remplissage, valeur 
avant le plein)]]+Tableau12[[#This Row],[Remplissage / 
Quantité remise]])</f>
        <v/>
      </c>
      <c r="E22" s="208" t="str">
        <f t="shared" si="0"/>
        <v/>
      </c>
      <c r="F22" s="258" t="str">
        <f t="shared" si="1"/>
        <v/>
      </c>
      <c r="G22" s="259" t="str">
        <f t="shared" si="2"/>
        <v/>
      </c>
      <c r="H22" s="259"/>
      <c r="I22" s="215"/>
      <c r="J22" s="210" t="str">
        <f t="shared" si="3"/>
        <v>Saisie ok</v>
      </c>
      <c r="L22" s="257" t="s">
        <v>514</v>
      </c>
      <c r="M22" s="354"/>
      <c r="N22" s="354"/>
      <c r="O22" s="354"/>
      <c r="P22" s="354"/>
      <c r="Q22" s="354"/>
    </row>
    <row r="23" spans="1:17">
      <c r="A23" s="253"/>
      <c r="B23" s="254"/>
      <c r="C23" s="254"/>
      <c r="D23" s="452" t="str">
        <f>IF(Tableau12[[#This Row],[Quantité restante dans la cuve
(si remplissage, valeur 
avant le plein)]]&lt;=0,"",Tableau12[[#This Row],[Quantité restante dans la cuve
(si remplissage, valeur 
avant le plein)]]+Tableau12[[#This Row],[Remplissage / 
Quantité remise]])</f>
        <v/>
      </c>
      <c r="E23" s="208" t="str">
        <f t="shared" si="0"/>
        <v/>
      </c>
      <c r="F23" s="258" t="str">
        <f t="shared" si="1"/>
        <v/>
      </c>
      <c r="G23" s="259" t="str">
        <f t="shared" si="2"/>
        <v/>
      </c>
      <c r="H23" s="259"/>
      <c r="I23" s="215"/>
      <c r="J23" s="210" t="str">
        <f t="shared" si="3"/>
        <v>Saisie ok</v>
      </c>
      <c r="M23" s="354"/>
      <c r="N23" s="354"/>
      <c r="O23" s="354"/>
      <c r="P23" s="354"/>
      <c r="Q23" s="354"/>
    </row>
    <row r="24" spans="1:17">
      <c r="A24" s="253"/>
      <c r="B24" s="254"/>
      <c r="C24" s="254"/>
      <c r="D24" s="452" t="str">
        <f>IF(Tableau12[[#This Row],[Quantité restante dans la cuve
(si remplissage, valeur 
avant le plein)]]&lt;=0,"",Tableau12[[#This Row],[Quantité restante dans la cuve
(si remplissage, valeur 
avant le plein)]]+Tableau12[[#This Row],[Remplissage / 
Quantité remise]])</f>
        <v/>
      </c>
      <c r="E24" s="208" t="str">
        <f t="shared" si="0"/>
        <v/>
      </c>
      <c r="F24" s="258" t="str">
        <f t="shared" si="1"/>
        <v/>
      </c>
      <c r="G24" s="259" t="str">
        <f t="shared" si="2"/>
        <v/>
      </c>
      <c r="H24" s="259"/>
      <c r="I24" s="215"/>
      <c r="J24" s="210" t="str">
        <f t="shared" si="3"/>
        <v>Saisie ok</v>
      </c>
      <c r="L24" s="257" t="s">
        <v>515</v>
      </c>
      <c r="M24" s="354"/>
      <c r="N24" s="354"/>
      <c r="O24" s="354"/>
      <c r="P24" s="354"/>
      <c r="Q24" s="354"/>
    </row>
    <row r="25" spans="1:17">
      <c r="A25" s="253"/>
      <c r="B25" s="254"/>
      <c r="C25" s="254"/>
      <c r="D25" s="452" t="str">
        <f>IF(Tableau12[[#This Row],[Quantité restante dans la cuve
(si remplissage, valeur 
avant le plein)]]&lt;=0,"",Tableau12[[#This Row],[Quantité restante dans la cuve
(si remplissage, valeur 
avant le plein)]]+Tableau12[[#This Row],[Remplissage / 
Quantité remise]])</f>
        <v/>
      </c>
      <c r="E25" s="208" t="str">
        <f t="shared" si="0"/>
        <v/>
      </c>
      <c r="F25" s="258" t="str">
        <f t="shared" si="1"/>
        <v/>
      </c>
      <c r="G25" s="259" t="str">
        <f t="shared" si="2"/>
        <v/>
      </c>
      <c r="H25" s="259"/>
      <c r="I25" s="215"/>
      <c r="J25" s="210" t="str">
        <f t="shared" si="3"/>
        <v>Saisie ok</v>
      </c>
      <c r="L25" s="257" t="s">
        <v>513</v>
      </c>
      <c r="M25" s="354"/>
      <c r="N25" s="354"/>
      <c r="O25" s="354"/>
      <c r="P25" s="354"/>
      <c r="Q25" s="354"/>
    </row>
    <row r="26" spans="1:17">
      <c r="A26" s="253"/>
      <c r="B26" s="254"/>
      <c r="C26" s="254"/>
      <c r="D26" s="452" t="str">
        <f>IF(Tableau12[[#This Row],[Quantité restante dans la cuve
(si remplissage, valeur 
avant le plein)]]&lt;=0,"",Tableau12[[#This Row],[Quantité restante dans la cuve
(si remplissage, valeur 
avant le plein)]]+Tableau12[[#This Row],[Remplissage / 
Quantité remise]])</f>
        <v/>
      </c>
      <c r="E26" s="208" t="str">
        <f t="shared" si="0"/>
        <v/>
      </c>
      <c r="F26" s="258" t="str">
        <f t="shared" si="1"/>
        <v/>
      </c>
      <c r="G26" s="259" t="str">
        <f t="shared" si="2"/>
        <v/>
      </c>
      <c r="H26" s="259"/>
      <c r="I26" s="215"/>
      <c r="J26" s="210" t="str">
        <f t="shared" si="3"/>
        <v>Saisie ok</v>
      </c>
      <c r="L26" s="257" t="s">
        <v>517</v>
      </c>
      <c r="M26" s="354"/>
      <c r="N26" s="354"/>
      <c r="O26" s="354"/>
      <c r="P26" s="354"/>
      <c r="Q26" s="354"/>
    </row>
    <row r="27" spans="1:17">
      <c r="A27" s="253"/>
      <c r="B27" s="254"/>
      <c r="C27" s="254"/>
      <c r="D27" s="452" t="str">
        <f>IF(Tableau12[[#This Row],[Quantité restante dans la cuve
(si remplissage, valeur 
avant le plein)]]&lt;=0,"",Tableau12[[#This Row],[Quantité restante dans la cuve
(si remplissage, valeur 
avant le plein)]]+Tableau12[[#This Row],[Remplissage / 
Quantité remise]])</f>
        <v/>
      </c>
      <c r="E27" s="208" t="str">
        <f t="shared" si="0"/>
        <v/>
      </c>
      <c r="F27" s="258" t="str">
        <f t="shared" si="1"/>
        <v/>
      </c>
      <c r="G27" s="259" t="str">
        <f t="shared" si="2"/>
        <v/>
      </c>
      <c r="H27" s="259"/>
      <c r="I27" s="215"/>
      <c r="J27" s="210" t="str">
        <f t="shared" si="3"/>
        <v>Saisie ok</v>
      </c>
      <c r="L27" s="257" t="s">
        <v>827</v>
      </c>
      <c r="M27" s="354"/>
      <c r="N27" s="354"/>
      <c r="O27" s="354"/>
      <c r="P27" s="354"/>
      <c r="Q27" s="354"/>
    </row>
    <row r="28" spans="1:17">
      <c r="A28" s="253"/>
      <c r="B28" s="254"/>
      <c r="C28" s="254"/>
      <c r="D28" s="452" t="str">
        <f>IF(Tableau12[[#This Row],[Quantité restante dans la cuve
(si remplissage, valeur 
avant le plein)]]&lt;=0,"",Tableau12[[#This Row],[Quantité restante dans la cuve
(si remplissage, valeur 
avant le plein)]]+Tableau12[[#This Row],[Remplissage / 
Quantité remise]])</f>
        <v/>
      </c>
      <c r="E28" s="208" t="str">
        <f t="shared" si="0"/>
        <v/>
      </c>
      <c r="F28" s="258" t="str">
        <f t="shared" si="1"/>
        <v/>
      </c>
      <c r="G28" s="259" t="str">
        <f t="shared" si="2"/>
        <v/>
      </c>
      <c r="H28" s="259"/>
      <c r="I28" s="215"/>
      <c r="J28" s="210" t="str">
        <f t="shared" si="3"/>
        <v>Saisie ok</v>
      </c>
      <c r="M28" s="354"/>
      <c r="N28" s="354"/>
      <c r="O28" s="354"/>
      <c r="P28" s="354"/>
      <c r="Q28" s="354"/>
    </row>
    <row r="29" spans="1:17">
      <c r="A29" s="253"/>
      <c r="B29" s="254"/>
      <c r="C29" s="254"/>
      <c r="D29" s="452" t="str">
        <f>IF(Tableau12[[#This Row],[Quantité restante dans la cuve
(si remplissage, valeur 
avant le plein)]]&lt;=0,"",Tableau12[[#This Row],[Quantité restante dans la cuve
(si remplissage, valeur 
avant le plein)]]+Tableau12[[#This Row],[Remplissage / 
Quantité remise]])</f>
        <v/>
      </c>
      <c r="E29" s="208" t="str">
        <f t="shared" si="0"/>
        <v/>
      </c>
      <c r="F29" s="258" t="str">
        <f t="shared" si="1"/>
        <v/>
      </c>
      <c r="G29" s="259" t="str">
        <f t="shared" si="2"/>
        <v/>
      </c>
      <c r="H29" s="259"/>
      <c r="I29" s="215"/>
      <c r="J29" s="210" t="str">
        <f t="shared" si="3"/>
        <v>Saisie ok</v>
      </c>
    </row>
    <row r="30" spans="1:17">
      <c r="A30" s="253"/>
      <c r="B30" s="254"/>
      <c r="C30" s="254"/>
      <c r="D30" s="452" t="str">
        <f>IF(Tableau12[[#This Row],[Quantité restante dans la cuve
(si remplissage, valeur 
avant le plein)]]&lt;=0,"",Tableau12[[#This Row],[Quantité restante dans la cuve
(si remplissage, valeur 
avant le plein)]]+Tableau12[[#This Row],[Remplissage / 
Quantité remise]])</f>
        <v/>
      </c>
      <c r="E30" s="208" t="str">
        <f t="shared" si="0"/>
        <v/>
      </c>
      <c r="F30" s="258" t="str">
        <f t="shared" si="1"/>
        <v/>
      </c>
      <c r="G30" s="259" t="str">
        <f t="shared" si="2"/>
        <v/>
      </c>
      <c r="H30" s="259"/>
      <c r="I30" s="215"/>
      <c r="J30" s="210" t="str">
        <f t="shared" si="3"/>
        <v>Saisie ok</v>
      </c>
    </row>
    <row r="31" spans="1:17">
      <c r="A31" s="253"/>
      <c r="B31" s="254"/>
      <c r="C31" s="254"/>
      <c r="D31" s="452" t="str">
        <f>IF(Tableau12[[#This Row],[Quantité restante dans la cuve
(si remplissage, valeur 
avant le plein)]]&lt;=0,"",Tableau12[[#This Row],[Quantité restante dans la cuve
(si remplissage, valeur 
avant le plein)]]+Tableau12[[#This Row],[Remplissage / 
Quantité remise]])</f>
        <v/>
      </c>
      <c r="E31" s="208" t="str">
        <f t="shared" si="0"/>
        <v/>
      </c>
      <c r="F31" s="258" t="str">
        <f t="shared" si="1"/>
        <v/>
      </c>
      <c r="G31" s="259" t="str">
        <f t="shared" si="2"/>
        <v/>
      </c>
      <c r="H31" s="259"/>
      <c r="I31" s="215"/>
      <c r="J31" s="210" t="str">
        <f t="shared" si="3"/>
        <v>Saisie ok</v>
      </c>
    </row>
    <row r="32" spans="1:17">
      <c r="A32" s="253"/>
      <c r="B32" s="254"/>
      <c r="C32" s="254"/>
      <c r="D32" s="452" t="str">
        <f>IF(Tableau12[[#This Row],[Quantité restante dans la cuve
(si remplissage, valeur 
avant le plein)]]&lt;=0,"",Tableau12[[#This Row],[Quantité restante dans la cuve
(si remplissage, valeur 
avant le plein)]]+Tableau12[[#This Row],[Remplissage / 
Quantité remise]])</f>
        <v/>
      </c>
      <c r="E32" s="208" t="str">
        <f t="shared" si="0"/>
        <v/>
      </c>
      <c r="F32" s="258" t="str">
        <f t="shared" si="1"/>
        <v/>
      </c>
      <c r="G32" s="259" t="str">
        <f t="shared" si="2"/>
        <v/>
      </c>
      <c r="H32" s="259"/>
      <c r="I32" s="215"/>
      <c r="J32" s="210" t="str">
        <f t="shared" si="3"/>
        <v>Saisie ok</v>
      </c>
    </row>
    <row r="33" spans="1:10">
      <c r="A33" s="253"/>
      <c r="B33" s="254"/>
      <c r="C33" s="254"/>
      <c r="D33" s="452" t="str">
        <f>IF(Tableau12[[#This Row],[Quantité restante dans la cuve
(si remplissage, valeur 
avant le plein)]]&lt;=0,"",Tableau12[[#This Row],[Quantité restante dans la cuve
(si remplissage, valeur 
avant le plein)]]+Tableau12[[#This Row],[Remplissage / 
Quantité remise]])</f>
        <v/>
      </c>
      <c r="E33" s="208" t="str">
        <f t="shared" si="0"/>
        <v/>
      </c>
      <c r="F33" s="258" t="str">
        <f t="shared" si="1"/>
        <v/>
      </c>
      <c r="G33" s="259" t="str">
        <f t="shared" si="2"/>
        <v/>
      </c>
      <c r="H33" s="259"/>
      <c r="I33" s="215"/>
      <c r="J33" s="210" t="str">
        <f t="shared" si="3"/>
        <v>Saisie ok</v>
      </c>
    </row>
    <row r="34" spans="1:10">
      <c r="A34" s="253"/>
      <c r="B34" s="254"/>
      <c r="C34" s="254"/>
      <c r="D34" s="452" t="str">
        <f>IF(Tableau12[[#This Row],[Quantité restante dans la cuve
(si remplissage, valeur 
avant le plein)]]&lt;=0,"",Tableau12[[#This Row],[Quantité restante dans la cuve
(si remplissage, valeur 
avant le plein)]]+Tableau12[[#This Row],[Remplissage / 
Quantité remise]])</f>
        <v/>
      </c>
      <c r="E34" s="208" t="str">
        <f t="shared" si="0"/>
        <v/>
      </c>
      <c r="F34" s="258" t="str">
        <f t="shared" si="1"/>
        <v/>
      </c>
      <c r="G34" s="259" t="str">
        <f t="shared" si="2"/>
        <v/>
      </c>
      <c r="H34" s="259"/>
      <c r="I34" s="215"/>
      <c r="J34" s="210" t="str">
        <f t="shared" si="3"/>
        <v>Saisie ok</v>
      </c>
    </row>
    <row r="35" spans="1:10">
      <c r="A35" s="253"/>
      <c r="B35" s="254"/>
      <c r="C35" s="254"/>
      <c r="D35" s="452" t="str">
        <f>IF(Tableau12[[#This Row],[Quantité restante dans la cuve
(si remplissage, valeur 
avant le plein)]]&lt;=0,"",Tableau12[[#This Row],[Quantité restante dans la cuve
(si remplissage, valeur 
avant le plein)]]+Tableau12[[#This Row],[Remplissage / 
Quantité remise]])</f>
        <v/>
      </c>
      <c r="E35" s="208" t="str">
        <f t="shared" si="0"/>
        <v/>
      </c>
      <c r="F35" s="258" t="str">
        <f t="shared" si="1"/>
        <v/>
      </c>
      <c r="G35" s="259" t="str">
        <f t="shared" si="2"/>
        <v/>
      </c>
      <c r="H35" s="259"/>
      <c r="I35" s="215"/>
      <c r="J35" s="210" t="str">
        <f t="shared" si="3"/>
        <v>Saisie ok</v>
      </c>
    </row>
    <row r="36" spans="1:10">
      <c r="A36" s="253"/>
      <c r="B36" s="254"/>
      <c r="C36" s="254"/>
      <c r="D36" s="452" t="str">
        <f>IF(Tableau12[[#This Row],[Quantité restante dans la cuve
(si remplissage, valeur 
avant le plein)]]&lt;=0,"",Tableau12[[#This Row],[Quantité restante dans la cuve
(si remplissage, valeur 
avant le plein)]]+Tableau12[[#This Row],[Remplissage / 
Quantité remise]])</f>
        <v/>
      </c>
      <c r="E36" s="208" t="str">
        <f t="shared" si="0"/>
        <v/>
      </c>
      <c r="F36" s="258" t="str">
        <f t="shared" si="1"/>
        <v/>
      </c>
      <c r="G36" s="259" t="str">
        <f t="shared" si="2"/>
        <v/>
      </c>
      <c r="H36" s="259"/>
      <c r="I36" s="215"/>
      <c r="J36" s="210" t="str">
        <f t="shared" si="3"/>
        <v>Saisie ok</v>
      </c>
    </row>
    <row r="37" spans="1:10">
      <c r="A37" s="253"/>
      <c r="B37" s="254"/>
      <c r="C37" s="254"/>
      <c r="D37" s="452" t="str">
        <f>IF(Tableau12[[#This Row],[Quantité restante dans la cuve
(si remplissage, valeur 
avant le plein)]]&lt;=0,"",Tableau12[[#This Row],[Quantité restante dans la cuve
(si remplissage, valeur 
avant le plein)]]+Tableau12[[#This Row],[Remplissage / 
Quantité remise]])</f>
        <v/>
      </c>
      <c r="E37" s="208" t="str">
        <f t="shared" si="0"/>
        <v/>
      </c>
      <c r="F37" s="258" t="str">
        <f t="shared" si="1"/>
        <v/>
      </c>
      <c r="G37" s="259" t="str">
        <f t="shared" si="2"/>
        <v/>
      </c>
      <c r="H37" s="259"/>
      <c r="I37" s="215"/>
      <c r="J37" s="210" t="str">
        <f t="shared" si="3"/>
        <v>Saisie ok</v>
      </c>
    </row>
    <row r="38" spans="1:10">
      <c r="A38" s="253"/>
      <c r="B38" s="254"/>
      <c r="C38" s="254"/>
      <c r="D38" s="452" t="str">
        <f>IF(Tableau12[[#This Row],[Quantité restante dans la cuve
(si remplissage, valeur 
avant le plein)]]&lt;=0,"",Tableau12[[#This Row],[Quantité restante dans la cuve
(si remplissage, valeur 
avant le plein)]]+Tableau12[[#This Row],[Remplissage / 
Quantité remise]])</f>
        <v/>
      </c>
      <c r="E38" s="208" t="str">
        <f t="shared" si="0"/>
        <v/>
      </c>
      <c r="F38" s="258" t="str">
        <f t="shared" si="1"/>
        <v/>
      </c>
      <c r="G38" s="259" t="str">
        <f t="shared" si="2"/>
        <v/>
      </c>
      <c r="H38" s="259"/>
      <c r="I38" s="215"/>
      <c r="J38" s="210" t="str">
        <f t="shared" si="3"/>
        <v>Saisie ok</v>
      </c>
    </row>
    <row r="39" spans="1:10">
      <c r="A39" s="253"/>
      <c r="B39" s="254"/>
      <c r="C39" s="254"/>
      <c r="D39" s="452" t="str">
        <f>IF(Tableau12[[#This Row],[Quantité restante dans la cuve
(si remplissage, valeur 
avant le plein)]]&lt;=0,"",Tableau12[[#This Row],[Quantité restante dans la cuve
(si remplissage, valeur 
avant le plein)]]+Tableau12[[#This Row],[Remplissage / 
Quantité remise]])</f>
        <v/>
      </c>
      <c r="E39" s="208" t="str">
        <f t="shared" si="0"/>
        <v/>
      </c>
      <c r="F39" s="258" t="str">
        <f t="shared" si="1"/>
        <v/>
      </c>
      <c r="G39" s="259" t="str">
        <f t="shared" si="2"/>
        <v/>
      </c>
      <c r="H39" s="259"/>
      <c r="I39" s="215"/>
      <c r="J39" s="210" t="str">
        <f t="shared" si="3"/>
        <v>Saisie ok</v>
      </c>
    </row>
    <row r="40" spans="1:10">
      <c r="A40" s="253"/>
      <c r="B40" s="254"/>
      <c r="C40" s="254"/>
      <c r="D40" s="452" t="str">
        <f>IF(Tableau12[[#This Row],[Quantité restante dans la cuve
(si remplissage, valeur 
avant le plein)]]&lt;=0,"",Tableau12[[#This Row],[Quantité restante dans la cuve
(si remplissage, valeur 
avant le plein)]]+Tableau12[[#This Row],[Remplissage / 
Quantité remise]])</f>
        <v/>
      </c>
      <c r="E40" s="208" t="str">
        <f t="shared" si="0"/>
        <v/>
      </c>
      <c r="F40" s="258" t="str">
        <f t="shared" si="1"/>
        <v/>
      </c>
      <c r="G40" s="259" t="str">
        <f t="shared" si="2"/>
        <v/>
      </c>
      <c r="H40" s="259"/>
      <c r="I40" s="215"/>
      <c r="J40" s="210" t="str">
        <f t="shared" si="3"/>
        <v>Saisie ok</v>
      </c>
    </row>
    <row r="41" spans="1:10">
      <c r="A41" s="253"/>
      <c r="B41" s="254"/>
      <c r="C41" s="254"/>
      <c r="D41" s="452" t="str">
        <f>IF(Tableau12[[#This Row],[Quantité restante dans la cuve
(si remplissage, valeur 
avant le plein)]]&lt;=0,"",Tableau12[[#This Row],[Quantité restante dans la cuve
(si remplissage, valeur 
avant le plein)]]+Tableau12[[#This Row],[Remplissage / 
Quantité remise]])</f>
        <v/>
      </c>
      <c r="E41" s="208" t="str">
        <f t="shared" si="0"/>
        <v/>
      </c>
      <c r="F41" s="258" t="str">
        <f t="shared" si="1"/>
        <v/>
      </c>
      <c r="G41" s="259" t="str">
        <f t="shared" si="2"/>
        <v/>
      </c>
      <c r="H41" s="259"/>
      <c r="I41" s="215"/>
      <c r="J41" s="210" t="str">
        <f t="shared" si="3"/>
        <v>Saisie ok</v>
      </c>
    </row>
    <row r="42" spans="1:10">
      <c r="A42" s="253"/>
      <c r="B42" s="254"/>
      <c r="C42" s="254"/>
      <c r="D42" s="452" t="str">
        <f>IF(Tableau12[[#This Row],[Quantité restante dans la cuve
(si remplissage, valeur 
avant le plein)]]&lt;=0,"",Tableau12[[#This Row],[Quantité restante dans la cuve
(si remplissage, valeur 
avant le plein)]]+Tableau12[[#This Row],[Remplissage / 
Quantité remise]])</f>
        <v/>
      </c>
      <c r="E42" s="208" t="str">
        <f t="shared" si="0"/>
        <v/>
      </c>
      <c r="F42" s="258" t="str">
        <f t="shared" si="1"/>
        <v/>
      </c>
      <c r="G42" s="259" t="str">
        <f t="shared" si="2"/>
        <v/>
      </c>
      <c r="H42" s="259"/>
      <c r="I42" s="215"/>
      <c r="J42" s="210" t="str">
        <f t="shared" si="3"/>
        <v>Saisie ok</v>
      </c>
    </row>
    <row r="43" spans="1:10">
      <c r="A43" s="253"/>
      <c r="B43" s="254"/>
      <c r="C43" s="254"/>
      <c r="D43" s="452" t="str">
        <f>IF(Tableau12[[#This Row],[Quantité restante dans la cuve
(si remplissage, valeur 
avant le plein)]]&lt;=0,"",Tableau12[[#This Row],[Quantité restante dans la cuve
(si remplissage, valeur 
avant le plein)]]+Tableau12[[#This Row],[Remplissage / 
Quantité remise]])</f>
        <v/>
      </c>
      <c r="E43" s="208" t="str">
        <f t="shared" si="0"/>
        <v/>
      </c>
      <c r="F43" s="258" t="str">
        <f t="shared" si="1"/>
        <v/>
      </c>
      <c r="G43" s="259" t="str">
        <f t="shared" si="2"/>
        <v/>
      </c>
      <c r="H43" s="259"/>
      <c r="I43" s="215"/>
      <c r="J43" s="210" t="str">
        <f t="shared" si="3"/>
        <v>Saisie ok</v>
      </c>
    </row>
    <row r="44" spans="1:10">
      <c r="A44" s="253"/>
      <c r="B44" s="254"/>
      <c r="C44" s="254"/>
      <c r="D44" s="452" t="str">
        <f>IF(Tableau12[[#This Row],[Quantité restante dans la cuve
(si remplissage, valeur 
avant le plein)]]&lt;=0,"",Tableau12[[#This Row],[Quantité restante dans la cuve
(si remplissage, valeur 
avant le plein)]]+Tableau12[[#This Row],[Remplissage / 
Quantité remise]])</f>
        <v/>
      </c>
      <c r="E44" s="208" t="str">
        <f t="shared" si="0"/>
        <v/>
      </c>
      <c r="F44" s="258" t="str">
        <f t="shared" si="1"/>
        <v/>
      </c>
      <c r="G44" s="259" t="str">
        <f t="shared" si="2"/>
        <v/>
      </c>
      <c r="H44" s="259"/>
      <c r="I44" s="215"/>
      <c r="J44" s="210" t="str">
        <f t="shared" si="3"/>
        <v>Saisie ok</v>
      </c>
    </row>
    <row r="45" spans="1:10">
      <c r="A45" s="253"/>
      <c r="B45" s="254"/>
      <c r="C45" s="254"/>
      <c r="D45" s="452" t="str">
        <f>IF(Tableau12[[#This Row],[Quantité restante dans la cuve
(si remplissage, valeur 
avant le plein)]]&lt;=0,"",Tableau12[[#This Row],[Quantité restante dans la cuve
(si remplissage, valeur 
avant le plein)]]+Tableau12[[#This Row],[Remplissage / 
Quantité remise]])</f>
        <v/>
      </c>
      <c r="E45" s="208" t="str">
        <f t="shared" si="0"/>
        <v/>
      </c>
      <c r="F45" s="258" t="str">
        <f t="shared" si="1"/>
        <v/>
      </c>
      <c r="G45" s="259" t="str">
        <f t="shared" si="2"/>
        <v/>
      </c>
      <c r="H45" s="259"/>
      <c r="I45" s="215"/>
      <c r="J45" s="210" t="str">
        <f t="shared" si="3"/>
        <v>Saisie ok</v>
      </c>
    </row>
    <row r="46" spans="1:10">
      <c r="A46" s="253"/>
      <c r="B46" s="254"/>
      <c r="C46" s="254"/>
      <c r="D46" s="452" t="str">
        <f>IF(Tableau12[[#This Row],[Quantité restante dans la cuve
(si remplissage, valeur 
avant le plein)]]&lt;=0,"",Tableau12[[#This Row],[Quantité restante dans la cuve
(si remplissage, valeur 
avant le plein)]]+Tableau12[[#This Row],[Remplissage / 
Quantité remise]])</f>
        <v/>
      </c>
      <c r="E46" s="208" t="str">
        <f t="shared" si="0"/>
        <v/>
      </c>
      <c r="F46" s="258" t="str">
        <f t="shared" si="1"/>
        <v/>
      </c>
      <c r="G46" s="259" t="str">
        <f t="shared" si="2"/>
        <v/>
      </c>
      <c r="H46" s="259"/>
      <c r="I46" s="215"/>
      <c r="J46" s="210" t="str">
        <f t="shared" si="3"/>
        <v>Saisie ok</v>
      </c>
    </row>
    <row r="47" spans="1:10">
      <c r="A47" s="253"/>
      <c r="B47" s="254"/>
      <c r="C47" s="254"/>
      <c r="D47" s="452" t="str">
        <f>IF(Tableau12[[#This Row],[Quantité restante dans la cuve
(si remplissage, valeur 
avant le plein)]]&lt;=0,"",Tableau12[[#This Row],[Quantité restante dans la cuve
(si remplissage, valeur 
avant le plein)]]+Tableau12[[#This Row],[Remplissage / 
Quantité remise]])</f>
        <v/>
      </c>
      <c r="E47" s="208" t="str">
        <f t="shared" si="0"/>
        <v/>
      </c>
      <c r="F47" s="258" t="str">
        <f t="shared" si="1"/>
        <v/>
      </c>
      <c r="G47" s="259" t="str">
        <f t="shared" si="2"/>
        <v/>
      </c>
      <c r="H47" s="259"/>
      <c r="I47" s="215"/>
      <c r="J47" s="210" t="str">
        <f t="shared" si="3"/>
        <v>Saisie ok</v>
      </c>
    </row>
    <row r="48" spans="1:10">
      <c r="A48" s="253"/>
      <c r="B48" s="254"/>
      <c r="C48" s="254"/>
      <c r="D48" s="452" t="str">
        <f>IF(Tableau12[[#This Row],[Quantité restante dans la cuve
(si remplissage, valeur 
avant le plein)]]&lt;=0,"",Tableau12[[#This Row],[Quantité restante dans la cuve
(si remplissage, valeur 
avant le plein)]]+Tableau12[[#This Row],[Remplissage / 
Quantité remise]])</f>
        <v/>
      </c>
      <c r="E48" s="208" t="str">
        <f t="shared" si="0"/>
        <v/>
      </c>
      <c r="F48" s="258" t="str">
        <f t="shared" si="1"/>
        <v/>
      </c>
      <c r="G48" s="259" t="str">
        <f t="shared" si="2"/>
        <v/>
      </c>
      <c r="H48" s="259"/>
      <c r="I48" s="215"/>
      <c r="J48" s="210" t="str">
        <f t="shared" si="3"/>
        <v>Saisie ok</v>
      </c>
    </row>
    <row r="49" spans="1:10">
      <c r="A49" s="253"/>
      <c r="B49" s="254"/>
      <c r="C49" s="254"/>
      <c r="D49" s="452" t="str">
        <f>IF(Tableau12[[#This Row],[Quantité restante dans la cuve
(si remplissage, valeur 
avant le plein)]]&lt;=0,"",Tableau12[[#This Row],[Quantité restante dans la cuve
(si remplissage, valeur 
avant le plein)]]+Tableau12[[#This Row],[Remplissage / 
Quantité remise]])</f>
        <v/>
      </c>
      <c r="E49" s="208" t="str">
        <f t="shared" si="0"/>
        <v/>
      </c>
      <c r="F49" s="258" t="str">
        <f t="shared" si="1"/>
        <v/>
      </c>
      <c r="G49" s="259" t="str">
        <f t="shared" si="2"/>
        <v/>
      </c>
      <c r="H49" s="259"/>
      <c r="I49" s="215"/>
      <c r="J49" s="210" t="str">
        <f t="shared" si="3"/>
        <v>Saisie ok</v>
      </c>
    </row>
    <row r="50" spans="1:10">
      <c r="A50" s="253"/>
      <c r="B50" s="254"/>
      <c r="C50" s="254"/>
      <c r="D50" s="452" t="str">
        <f>IF(Tableau12[[#This Row],[Quantité restante dans la cuve
(si remplissage, valeur 
avant le plein)]]&lt;=0,"",Tableau12[[#This Row],[Quantité restante dans la cuve
(si remplissage, valeur 
avant le plein)]]+Tableau12[[#This Row],[Remplissage / 
Quantité remise]])</f>
        <v/>
      </c>
      <c r="E50" s="208" t="str">
        <f t="shared" si="0"/>
        <v/>
      </c>
      <c r="F50" s="258" t="str">
        <f t="shared" si="1"/>
        <v/>
      </c>
      <c r="G50" s="259" t="str">
        <f t="shared" si="2"/>
        <v/>
      </c>
      <c r="H50" s="259"/>
      <c r="I50" s="215"/>
      <c r="J50" s="210" t="str">
        <f t="shared" si="3"/>
        <v>Saisie ok</v>
      </c>
    </row>
    <row r="51" spans="1:10">
      <c r="A51" s="253"/>
      <c r="B51" s="254"/>
      <c r="C51" s="254"/>
      <c r="D51" s="452" t="str">
        <f>IF(Tableau12[[#This Row],[Quantité restante dans la cuve
(si remplissage, valeur 
avant le plein)]]&lt;=0,"",Tableau12[[#This Row],[Quantité restante dans la cuve
(si remplissage, valeur 
avant le plein)]]+Tableau12[[#This Row],[Remplissage / 
Quantité remise]])</f>
        <v/>
      </c>
      <c r="E51" s="208" t="str">
        <f t="shared" si="0"/>
        <v/>
      </c>
      <c r="F51" s="258" t="str">
        <f t="shared" si="1"/>
        <v/>
      </c>
      <c r="G51" s="259" t="str">
        <f t="shared" si="2"/>
        <v/>
      </c>
      <c r="H51" s="259"/>
      <c r="I51" s="215"/>
      <c r="J51" s="210" t="str">
        <f t="shared" si="3"/>
        <v>Saisie ok</v>
      </c>
    </row>
    <row r="52" spans="1:10">
      <c r="A52" s="253"/>
      <c r="B52" s="254"/>
      <c r="C52" s="254"/>
      <c r="D52" s="452" t="str">
        <f>IF(Tableau12[[#This Row],[Quantité restante dans la cuve
(si remplissage, valeur 
avant le plein)]]&lt;=0,"",Tableau12[[#This Row],[Quantité restante dans la cuve
(si remplissage, valeur 
avant le plein)]]+Tableau12[[#This Row],[Remplissage / 
Quantité remise]])</f>
        <v/>
      </c>
      <c r="E52" s="208" t="str">
        <f t="shared" si="0"/>
        <v/>
      </c>
      <c r="F52" s="258" t="str">
        <f t="shared" si="1"/>
        <v/>
      </c>
      <c r="G52" s="259" t="str">
        <f t="shared" si="2"/>
        <v/>
      </c>
      <c r="H52" s="259"/>
      <c r="I52" s="215"/>
      <c r="J52" s="210" t="str">
        <f t="shared" si="3"/>
        <v>Saisie ok</v>
      </c>
    </row>
    <row r="53" spans="1:10">
      <c r="A53" s="253"/>
      <c r="B53" s="254"/>
      <c r="C53" s="254"/>
      <c r="D53" s="452" t="str">
        <f>IF(Tableau12[[#This Row],[Quantité restante dans la cuve
(si remplissage, valeur 
avant le plein)]]&lt;=0,"",Tableau12[[#This Row],[Quantité restante dans la cuve
(si remplissage, valeur 
avant le plein)]]+Tableau12[[#This Row],[Remplissage / 
Quantité remise]])</f>
        <v/>
      </c>
      <c r="E53" s="208" t="str">
        <f t="shared" si="0"/>
        <v/>
      </c>
      <c r="F53" s="258" t="str">
        <f t="shared" si="1"/>
        <v/>
      </c>
      <c r="G53" s="259" t="str">
        <f t="shared" si="2"/>
        <v/>
      </c>
      <c r="H53" s="259"/>
      <c r="I53" s="215"/>
      <c r="J53" s="210" t="str">
        <f t="shared" si="3"/>
        <v>Saisie ok</v>
      </c>
    </row>
    <row r="54" spans="1:10">
      <c r="A54" s="253"/>
      <c r="B54" s="254"/>
      <c r="C54" s="254"/>
      <c r="D54" s="452" t="str">
        <f>IF(Tableau12[[#This Row],[Quantité restante dans la cuve
(si remplissage, valeur 
avant le plein)]]&lt;=0,"",Tableau12[[#This Row],[Quantité restante dans la cuve
(si remplissage, valeur 
avant le plein)]]+Tableau12[[#This Row],[Remplissage / 
Quantité remise]])</f>
        <v/>
      </c>
      <c r="E54" s="208" t="str">
        <f t="shared" si="0"/>
        <v/>
      </c>
      <c r="F54" s="258" t="str">
        <f t="shared" si="1"/>
        <v/>
      </c>
      <c r="G54" s="259" t="str">
        <f t="shared" si="2"/>
        <v/>
      </c>
      <c r="H54" s="259"/>
      <c r="I54" s="215"/>
      <c r="J54" s="210" t="str">
        <f t="shared" si="3"/>
        <v>Saisie ok</v>
      </c>
    </row>
    <row r="55" spans="1:10">
      <c r="A55" s="253"/>
      <c r="B55" s="254"/>
      <c r="C55" s="254"/>
      <c r="D55" s="452" t="str">
        <f>IF(Tableau12[[#This Row],[Quantité restante dans la cuve
(si remplissage, valeur 
avant le plein)]]&lt;=0,"",Tableau12[[#This Row],[Quantité restante dans la cuve
(si remplissage, valeur 
avant le plein)]]+Tableau12[[#This Row],[Remplissage / 
Quantité remise]])</f>
        <v/>
      </c>
      <c r="E55" s="208" t="str">
        <f t="shared" si="0"/>
        <v/>
      </c>
      <c r="F55" s="258" t="str">
        <f t="shared" si="1"/>
        <v/>
      </c>
      <c r="G55" s="259" t="str">
        <f t="shared" si="2"/>
        <v/>
      </c>
      <c r="H55" s="259"/>
      <c r="I55" s="215"/>
      <c r="J55" s="210" t="str">
        <f t="shared" si="3"/>
        <v>Saisie ok</v>
      </c>
    </row>
    <row r="56" spans="1:10">
      <c r="A56" s="253"/>
      <c r="B56" s="254"/>
      <c r="C56" s="254"/>
      <c r="D56" s="452" t="str">
        <f>IF(Tableau12[[#This Row],[Quantité restante dans la cuve
(si remplissage, valeur 
avant le plein)]]&lt;=0,"",Tableau12[[#This Row],[Quantité restante dans la cuve
(si remplissage, valeur 
avant le plein)]]+Tableau12[[#This Row],[Remplissage / 
Quantité remise]])</f>
        <v/>
      </c>
      <c r="E56" s="208" t="str">
        <f t="shared" si="0"/>
        <v/>
      </c>
      <c r="F56" s="258" t="str">
        <f t="shared" si="1"/>
        <v/>
      </c>
      <c r="G56" s="259" t="str">
        <f t="shared" si="2"/>
        <v/>
      </c>
      <c r="H56" s="259"/>
      <c r="I56" s="215"/>
      <c r="J56" s="210" t="str">
        <f t="shared" si="3"/>
        <v>Saisie ok</v>
      </c>
    </row>
    <row r="57" spans="1:10">
      <c r="A57" s="253"/>
      <c r="B57" s="254"/>
      <c r="C57" s="254"/>
      <c r="D57" s="452" t="str">
        <f>IF(Tableau12[[#This Row],[Quantité restante dans la cuve
(si remplissage, valeur 
avant le plein)]]&lt;=0,"",Tableau12[[#This Row],[Quantité restante dans la cuve
(si remplissage, valeur 
avant le plein)]]+Tableau12[[#This Row],[Remplissage / 
Quantité remise]])</f>
        <v/>
      </c>
      <c r="E57" s="208" t="str">
        <f t="shared" si="0"/>
        <v/>
      </c>
      <c r="F57" s="258" t="str">
        <f t="shared" si="1"/>
        <v/>
      </c>
      <c r="G57" s="259" t="str">
        <f t="shared" si="2"/>
        <v/>
      </c>
      <c r="H57" s="259"/>
      <c r="I57" s="215"/>
      <c r="J57" s="210" t="str">
        <f t="shared" si="3"/>
        <v>Saisie ok</v>
      </c>
    </row>
    <row r="58" spans="1:10">
      <c r="A58" s="253"/>
      <c r="B58" s="254"/>
      <c r="C58" s="254"/>
      <c r="D58" s="452" t="str">
        <f>IF(Tableau12[[#This Row],[Quantité restante dans la cuve
(si remplissage, valeur 
avant le plein)]]&lt;=0,"",Tableau12[[#This Row],[Quantité restante dans la cuve
(si remplissage, valeur 
avant le plein)]]+Tableau12[[#This Row],[Remplissage / 
Quantité remise]])</f>
        <v/>
      </c>
      <c r="E58" s="208" t="str">
        <f t="shared" si="0"/>
        <v/>
      </c>
      <c r="F58" s="258" t="str">
        <f t="shared" si="1"/>
        <v/>
      </c>
      <c r="G58" s="259" t="str">
        <f t="shared" si="2"/>
        <v/>
      </c>
      <c r="H58" s="259"/>
      <c r="I58" s="215"/>
      <c r="J58" s="210" t="str">
        <f t="shared" si="3"/>
        <v>Saisie ok</v>
      </c>
    </row>
    <row r="59" spans="1:10">
      <c r="A59" s="253"/>
      <c r="B59" s="254"/>
      <c r="C59" s="254"/>
      <c r="D59" s="452" t="str">
        <f>IF(Tableau12[[#This Row],[Quantité restante dans la cuve
(si remplissage, valeur 
avant le plein)]]&lt;=0,"",Tableau12[[#This Row],[Quantité restante dans la cuve
(si remplissage, valeur 
avant le plein)]]+Tableau12[[#This Row],[Remplissage / 
Quantité remise]])</f>
        <v/>
      </c>
      <c r="E59" s="208" t="str">
        <f t="shared" si="0"/>
        <v/>
      </c>
      <c r="F59" s="258" t="str">
        <f t="shared" si="1"/>
        <v/>
      </c>
      <c r="G59" s="259" t="str">
        <f t="shared" si="2"/>
        <v/>
      </c>
      <c r="H59" s="259"/>
      <c r="I59" s="215"/>
      <c r="J59" s="210" t="str">
        <f t="shared" si="3"/>
        <v>Saisie ok</v>
      </c>
    </row>
    <row r="60" spans="1:10">
      <c r="A60" s="253"/>
      <c r="B60" s="254"/>
      <c r="C60" s="254"/>
      <c r="D60" s="452" t="str">
        <f>IF(Tableau12[[#This Row],[Quantité restante dans la cuve
(si remplissage, valeur 
avant le plein)]]&lt;=0,"",Tableau12[[#This Row],[Quantité restante dans la cuve
(si remplissage, valeur 
avant le plein)]]+Tableau12[[#This Row],[Remplissage / 
Quantité remise]])</f>
        <v/>
      </c>
      <c r="E60" s="208" t="str">
        <f t="shared" si="0"/>
        <v/>
      </c>
      <c r="F60" s="258" t="str">
        <f t="shared" si="1"/>
        <v/>
      </c>
      <c r="G60" s="259" t="str">
        <f t="shared" si="2"/>
        <v/>
      </c>
      <c r="H60" s="259"/>
      <c r="I60" s="215"/>
      <c r="J60" s="210" t="str">
        <f t="shared" si="3"/>
        <v>Saisie ok</v>
      </c>
    </row>
    <row r="61" spans="1:10">
      <c r="A61" s="253"/>
      <c r="B61" s="254"/>
      <c r="C61" s="254"/>
      <c r="D61" s="452" t="str">
        <f>IF(Tableau12[[#This Row],[Quantité restante dans la cuve
(si remplissage, valeur 
avant le plein)]]&lt;=0,"",Tableau12[[#This Row],[Quantité restante dans la cuve
(si remplissage, valeur 
avant le plein)]]+Tableau12[[#This Row],[Remplissage / 
Quantité remise]])</f>
        <v/>
      </c>
      <c r="E61" s="208" t="str">
        <f t="shared" si="0"/>
        <v/>
      </c>
      <c r="F61" s="258" t="str">
        <f t="shared" si="1"/>
        <v/>
      </c>
      <c r="G61" s="259" t="str">
        <f t="shared" si="2"/>
        <v/>
      </c>
      <c r="H61" s="259"/>
      <c r="I61" s="215"/>
      <c r="J61" s="210" t="str">
        <f t="shared" si="3"/>
        <v>Saisie ok</v>
      </c>
    </row>
    <row r="62" spans="1:10">
      <c r="A62" s="253"/>
      <c r="B62" s="254"/>
      <c r="C62" s="254"/>
      <c r="D62" s="452" t="str">
        <f>IF(Tableau12[[#This Row],[Quantité restante dans la cuve
(si remplissage, valeur 
avant le plein)]]&lt;=0,"",Tableau12[[#This Row],[Quantité restante dans la cuve
(si remplissage, valeur 
avant le plein)]]+Tableau12[[#This Row],[Remplissage / 
Quantité remise]])</f>
        <v/>
      </c>
      <c r="E62" s="208" t="str">
        <f t="shared" si="0"/>
        <v/>
      </c>
      <c r="F62" s="258" t="str">
        <f t="shared" si="1"/>
        <v/>
      </c>
      <c r="G62" s="259" t="str">
        <f t="shared" si="2"/>
        <v/>
      </c>
      <c r="H62" s="259"/>
      <c r="I62" s="215"/>
      <c r="J62" s="210" t="str">
        <f t="shared" si="3"/>
        <v>Saisie ok</v>
      </c>
    </row>
    <row r="63" spans="1:10">
      <c r="A63" s="253"/>
      <c r="B63" s="254"/>
      <c r="C63" s="254"/>
      <c r="D63" s="452" t="str">
        <f>IF(Tableau12[[#This Row],[Quantité restante dans la cuve
(si remplissage, valeur 
avant le plein)]]&lt;=0,"",Tableau12[[#This Row],[Quantité restante dans la cuve
(si remplissage, valeur 
avant le plein)]]+Tableau12[[#This Row],[Remplissage / 
Quantité remise]])</f>
        <v/>
      </c>
      <c r="E63" s="208" t="str">
        <f t="shared" si="0"/>
        <v/>
      </c>
      <c r="F63" s="258" t="str">
        <f t="shared" si="1"/>
        <v/>
      </c>
      <c r="G63" s="259" t="str">
        <f t="shared" si="2"/>
        <v/>
      </c>
      <c r="H63" s="259"/>
      <c r="I63" s="215"/>
      <c r="J63" s="210" t="str">
        <f t="shared" si="3"/>
        <v>Saisie ok</v>
      </c>
    </row>
    <row r="64" spans="1:10">
      <c r="A64" s="253"/>
      <c r="B64" s="254"/>
      <c r="C64" s="254"/>
      <c r="D64" s="452" t="str">
        <f>IF(Tableau12[[#This Row],[Quantité restante dans la cuve
(si remplissage, valeur 
avant le plein)]]&lt;=0,"",Tableau12[[#This Row],[Quantité restante dans la cuve
(si remplissage, valeur 
avant le plein)]]+Tableau12[[#This Row],[Remplissage / 
Quantité remise]])</f>
        <v/>
      </c>
      <c r="E64" s="208" t="str">
        <f t="shared" si="0"/>
        <v/>
      </c>
      <c r="F64" s="258" t="str">
        <f t="shared" si="1"/>
        <v/>
      </c>
      <c r="G64" s="259" t="str">
        <f t="shared" si="2"/>
        <v/>
      </c>
      <c r="H64" s="259"/>
      <c r="I64" s="215"/>
      <c r="J64" s="210" t="str">
        <f t="shared" si="3"/>
        <v>Saisie ok</v>
      </c>
    </row>
    <row r="65" spans="1:10">
      <c r="A65" s="253"/>
      <c r="B65" s="254"/>
      <c r="C65" s="254"/>
      <c r="D65" s="452" t="str">
        <f>IF(Tableau12[[#This Row],[Quantité restante dans la cuve
(si remplissage, valeur 
avant le plein)]]&lt;=0,"",Tableau12[[#This Row],[Quantité restante dans la cuve
(si remplissage, valeur 
avant le plein)]]+Tableau12[[#This Row],[Remplissage / 
Quantité remise]])</f>
        <v/>
      </c>
      <c r="E65" s="208" t="str">
        <f t="shared" si="0"/>
        <v/>
      </c>
      <c r="F65" s="258" t="str">
        <f t="shared" si="1"/>
        <v/>
      </c>
      <c r="G65" s="259" t="str">
        <f t="shared" si="2"/>
        <v/>
      </c>
      <c r="H65" s="259"/>
      <c r="I65" s="215"/>
      <c r="J65" s="210" t="str">
        <f t="shared" si="3"/>
        <v>Saisie ok</v>
      </c>
    </row>
    <row r="66" spans="1:10">
      <c r="A66" s="253"/>
      <c r="B66" s="254"/>
      <c r="C66" s="254"/>
      <c r="D66" s="452" t="str">
        <f>IF(Tableau12[[#This Row],[Quantité restante dans la cuve
(si remplissage, valeur 
avant le plein)]]&lt;=0,"",Tableau12[[#This Row],[Quantité restante dans la cuve
(si remplissage, valeur 
avant le plein)]]+Tableau12[[#This Row],[Remplissage / 
Quantité remise]])</f>
        <v/>
      </c>
      <c r="E66" s="208" t="str">
        <f t="shared" si="0"/>
        <v/>
      </c>
      <c r="F66" s="258" t="str">
        <f t="shared" si="1"/>
        <v/>
      </c>
      <c r="G66" s="259" t="str">
        <f t="shared" si="2"/>
        <v/>
      </c>
      <c r="H66" s="259"/>
      <c r="I66" s="215"/>
      <c r="J66" s="210" t="str">
        <f t="shared" si="3"/>
        <v>Saisie ok</v>
      </c>
    </row>
    <row r="67" spans="1:10">
      <c r="A67" s="253"/>
      <c r="B67" s="254"/>
      <c r="C67" s="254"/>
      <c r="D67" s="452" t="str">
        <f>IF(Tableau12[[#This Row],[Quantité restante dans la cuve
(si remplissage, valeur 
avant le plein)]]&lt;=0,"",Tableau12[[#This Row],[Quantité restante dans la cuve
(si remplissage, valeur 
avant le plein)]]+Tableau12[[#This Row],[Remplissage / 
Quantité remise]])</f>
        <v/>
      </c>
      <c r="E67" s="208" t="str">
        <f t="shared" si="0"/>
        <v/>
      </c>
      <c r="F67" s="258" t="str">
        <f t="shared" si="1"/>
        <v/>
      </c>
      <c r="G67" s="259" t="str">
        <f t="shared" si="2"/>
        <v/>
      </c>
      <c r="H67" s="259"/>
      <c r="I67" s="215"/>
      <c r="J67" s="210" t="str">
        <f t="shared" si="3"/>
        <v>Saisie ok</v>
      </c>
    </row>
    <row r="68" spans="1:10">
      <c r="A68" s="253"/>
      <c r="B68" s="254"/>
      <c r="C68" s="254"/>
      <c r="D68" s="452" t="str">
        <f>IF(Tableau12[[#This Row],[Quantité restante dans la cuve
(si remplissage, valeur 
avant le plein)]]&lt;=0,"",Tableau12[[#This Row],[Quantité restante dans la cuve
(si remplissage, valeur 
avant le plein)]]+Tableau12[[#This Row],[Remplissage / 
Quantité remise]])</f>
        <v/>
      </c>
      <c r="E68" s="208" t="str">
        <f t="shared" ref="E68:E131" si="4">IFERROR(G68/(A68-A67),"")</f>
        <v/>
      </c>
      <c r="F68" s="258" t="str">
        <f t="shared" ref="F68:F131" si="5">IF(A68="","",A68)</f>
        <v/>
      </c>
      <c r="G68" s="259" t="str">
        <f t="shared" ref="G68:G131" si="6">IF(B68&lt;=0,"",D67-B68)</f>
        <v/>
      </c>
      <c r="H68" s="259"/>
      <c r="I68" s="215"/>
      <c r="J68" s="210" t="str">
        <f t="shared" ref="J68:J131" si="7">IF(C67&lt;=0,IF(B68&gt;B67,"Erreur saisie","Saisie ok"),"Saisie ok, plein fait")</f>
        <v>Saisie ok</v>
      </c>
    </row>
    <row r="69" spans="1:10">
      <c r="A69" s="253"/>
      <c r="B69" s="254"/>
      <c r="C69" s="254"/>
      <c r="D69" s="452" t="str">
        <f>IF(Tableau12[[#This Row],[Quantité restante dans la cuve
(si remplissage, valeur 
avant le plein)]]&lt;=0,"",Tableau12[[#This Row],[Quantité restante dans la cuve
(si remplissage, valeur 
avant le plein)]]+Tableau12[[#This Row],[Remplissage / 
Quantité remise]])</f>
        <v/>
      </c>
      <c r="E69" s="208" t="str">
        <f t="shared" si="4"/>
        <v/>
      </c>
      <c r="F69" s="258" t="str">
        <f t="shared" si="5"/>
        <v/>
      </c>
      <c r="G69" s="259" t="str">
        <f t="shared" si="6"/>
        <v/>
      </c>
      <c r="H69" s="259"/>
      <c r="I69" s="215"/>
      <c r="J69" s="210" t="str">
        <f t="shared" si="7"/>
        <v>Saisie ok</v>
      </c>
    </row>
    <row r="70" spans="1:10">
      <c r="A70" s="253"/>
      <c r="B70" s="254"/>
      <c r="C70" s="254"/>
      <c r="D70" s="452" t="str">
        <f>IF(Tableau12[[#This Row],[Quantité restante dans la cuve
(si remplissage, valeur 
avant le plein)]]&lt;=0,"",Tableau12[[#This Row],[Quantité restante dans la cuve
(si remplissage, valeur 
avant le plein)]]+Tableau12[[#This Row],[Remplissage / 
Quantité remise]])</f>
        <v/>
      </c>
      <c r="E70" s="208" t="str">
        <f t="shared" si="4"/>
        <v/>
      </c>
      <c r="F70" s="258" t="str">
        <f t="shared" si="5"/>
        <v/>
      </c>
      <c r="G70" s="259" t="str">
        <f t="shared" si="6"/>
        <v/>
      </c>
      <c r="H70" s="259"/>
      <c r="I70" s="215"/>
      <c r="J70" s="210" t="str">
        <f t="shared" si="7"/>
        <v>Saisie ok</v>
      </c>
    </row>
    <row r="71" spans="1:10">
      <c r="A71" s="253"/>
      <c r="B71" s="254"/>
      <c r="C71" s="254"/>
      <c r="D71" s="452" t="str">
        <f>IF(Tableau12[[#This Row],[Quantité restante dans la cuve
(si remplissage, valeur 
avant le plein)]]&lt;=0,"",Tableau12[[#This Row],[Quantité restante dans la cuve
(si remplissage, valeur 
avant le plein)]]+Tableau12[[#This Row],[Remplissage / 
Quantité remise]])</f>
        <v/>
      </c>
      <c r="E71" s="208" t="str">
        <f t="shared" si="4"/>
        <v/>
      </c>
      <c r="F71" s="258" t="str">
        <f t="shared" si="5"/>
        <v/>
      </c>
      <c r="G71" s="259" t="str">
        <f t="shared" si="6"/>
        <v/>
      </c>
      <c r="H71" s="259"/>
      <c r="I71" s="215"/>
      <c r="J71" s="210" t="str">
        <f t="shared" si="7"/>
        <v>Saisie ok</v>
      </c>
    </row>
    <row r="72" spans="1:10">
      <c r="A72" s="253"/>
      <c r="B72" s="254"/>
      <c r="C72" s="254"/>
      <c r="D72" s="452" t="str">
        <f>IF(Tableau12[[#This Row],[Quantité restante dans la cuve
(si remplissage, valeur 
avant le plein)]]&lt;=0,"",Tableau12[[#This Row],[Quantité restante dans la cuve
(si remplissage, valeur 
avant le plein)]]+Tableau12[[#This Row],[Remplissage / 
Quantité remise]])</f>
        <v/>
      </c>
      <c r="E72" s="208" t="str">
        <f t="shared" si="4"/>
        <v/>
      </c>
      <c r="F72" s="258" t="str">
        <f t="shared" si="5"/>
        <v/>
      </c>
      <c r="G72" s="259" t="str">
        <f t="shared" si="6"/>
        <v/>
      </c>
      <c r="H72" s="259"/>
      <c r="I72" s="215"/>
      <c r="J72" s="210" t="str">
        <f t="shared" si="7"/>
        <v>Saisie ok</v>
      </c>
    </row>
    <row r="73" spans="1:10">
      <c r="A73" s="253"/>
      <c r="B73" s="254"/>
      <c r="C73" s="254"/>
      <c r="D73" s="452" t="str">
        <f>IF(Tableau12[[#This Row],[Quantité restante dans la cuve
(si remplissage, valeur 
avant le plein)]]&lt;=0,"",Tableau12[[#This Row],[Quantité restante dans la cuve
(si remplissage, valeur 
avant le plein)]]+Tableau12[[#This Row],[Remplissage / 
Quantité remise]])</f>
        <v/>
      </c>
      <c r="E73" s="208" t="str">
        <f t="shared" si="4"/>
        <v/>
      </c>
      <c r="F73" s="258" t="str">
        <f t="shared" si="5"/>
        <v/>
      </c>
      <c r="G73" s="259" t="str">
        <f t="shared" si="6"/>
        <v/>
      </c>
      <c r="H73" s="259"/>
      <c r="I73" s="215"/>
      <c r="J73" s="210" t="str">
        <f t="shared" si="7"/>
        <v>Saisie ok</v>
      </c>
    </row>
    <row r="74" spans="1:10">
      <c r="A74" s="253"/>
      <c r="B74" s="254"/>
      <c r="C74" s="254"/>
      <c r="D74" s="452" t="str">
        <f>IF(Tableau12[[#This Row],[Quantité restante dans la cuve
(si remplissage, valeur 
avant le plein)]]&lt;=0,"",Tableau12[[#This Row],[Quantité restante dans la cuve
(si remplissage, valeur 
avant le plein)]]+Tableau12[[#This Row],[Remplissage / 
Quantité remise]])</f>
        <v/>
      </c>
      <c r="E74" s="208" t="str">
        <f t="shared" si="4"/>
        <v/>
      </c>
      <c r="F74" s="258" t="str">
        <f t="shared" si="5"/>
        <v/>
      </c>
      <c r="G74" s="259" t="str">
        <f t="shared" si="6"/>
        <v/>
      </c>
      <c r="H74" s="259"/>
      <c r="I74" s="215"/>
      <c r="J74" s="210" t="str">
        <f t="shared" si="7"/>
        <v>Saisie ok</v>
      </c>
    </row>
    <row r="75" spans="1:10">
      <c r="A75" s="253"/>
      <c r="B75" s="254"/>
      <c r="C75" s="254"/>
      <c r="D75" s="452" t="str">
        <f>IF(Tableau12[[#This Row],[Quantité restante dans la cuve
(si remplissage, valeur 
avant le plein)]]&lt;=0,"",Tableau12[[#This Row],[Quantité restante dans la cuve
(si remplissage, valeur 
avant le plein)]]+Tableau12[[#This Row],[Remplissage / 
Quantité remise]])</f>
        <v/>
      </c>
      <c r="E75" s="208" t="str">
        <f t="shared" si="4"/>
        <v/>
      </c>
      <c r="F75" s="258" t="str">
        <f t="shared" si="5"/>
        <v/>
      </c>
      <c r="G75" s="259" t="str">
        <f t="shared" si="6"/>
        <v/>
      </c>
      <c r="H75" s="259"/>
      <c r="I75" s="215"/>
      <c r="J75" s="210" t="str">
        <f t="shared" si="7"/>
        <v>Saisie ok</v>
      </c>
    </row>
    <row r="76" spans="1:10">
      <c r="A76" s="253"/>
      <c r="B76" s="254"/>
      <c r="C76" s="254"/>
      <c r="D76" s="452" t="str">
        <f>IF(Tableau12[[#This Row],[Quantité restante dans la cuve
(si remplissage, valeur 
avant le plein)]]&lt;=0,"",Tableau12[[#This Row],[Quantité restante dans la cuve
(si remplissage, valeur 
avant le plein)]]+Tableau12[[#This Row],[Remplissage / 
Quantité remise]])</f>
        <v/>
      </c>
      <c r="E76" s="208" t="str">
        <f t="shared" si="4"/>
        <v/>
      </c>
      <c r="F76" s="258" t="str">
        <f t="shared" si="5"/>
        <v/>
      </c>
      <c r="G76" s="259" t="str">
        <f t="shared" si="6"/>
        <v/>
      </c>
      <c r="H76" s="259"/>
      <c r="I76" s="215"/>
      <c r="J76" s="210" t="str">
        <f t="shared" si="7"/>
        <v>Saisie ok</v>
      </c>
    </row>
    <row r="77" spans="1:10">
      <c r="A77" s="253"/>
      <c r="B77" s="254"/>
      <c r="C77" s="254"/>
      <c r="D77" s="452" t="str">
        <f>IF(Tableau12[[#This Row],[Quantité restante dans la cuve
(si remplissage, valeur 
avant le plein)]]&lt;=0,"",Tableau12[[#This Row],[Quantité restante dans la cuve
(si remplissage, valeur 
avant le plein)]]+Tableau12[[#This Row],[Remplissage / 
Quantité remise]])</f>
        <v/>
      </c>
      <c r="E77" s="208" t="str">
        <f t="shared" si="4"/>
        <v/>
      </c>
      <c r="F77" s="258" t="str">
        <f t="shared" si="5"/>
        <v/>
      </c>
      <c r="G77" s="259" t="str">
        <f t="shared" si="6"/>
        <v/>
      </c>
      <c r="H77" s="259"/>
      <c r="I77" s="215"/>
      <c r="J77" s="210" t="str">
        <f t="shared" si="7"/>
        <v>Saisie ok</v>
      </c>
    </row>
    <row r="78" spans="1:10">
      <c r="A78" s="253"/>
      <c r="B78" s="254"/>
      <c r="C78" s="254"/>
      <c r="D78" s="452" t="str">
        <f>IF(Tableau12[[#This Row],[Quantité restante dans la cuve
(si remplissage, valeur 
avant le plein)]]&lt;=0,"",Tableau12[[#This Row],[Quantité restante dans la cuve
(si remplissage, valeur 
avant le plein)]]+Tableau12[[#This Row],[Remplissage / 
Quantité remise]])</f>
        <v/>
      </c>
      <c r="E78" s="208" t="str">
        <f t="shared" si="4"/>
        <v/>
      </c>
      <c r="F78" s="258" t="str">
        <f t="shared" si="5"/>
        <v/>
      </c>
      <c r="G78" s="259" t="str">
        <f t="shared" si="6"/>
        <v/>
      </c>
      <c r="H78" s="259"/>
      <c r="I78" s="215"/>
      <c r="J78" s="210" t="str">
        <f t="shared" si="7"/>
        <v>Saisie ok</v>
      </c>
    </row>
    <row r="79" spans="1:10">
      <c r="A79" s="253"/>
      <c r="B79" s="254"/>
      <c r="C79" s="254"/>
      <c r="D79" s="452" t="str">
        <f>IF(Tableau12[[#This Row],[Quantité restante dans la cuve
(si remplissage, valeur 
avant le plein)]]&lt;=0,"",Tableau12[[#This Row],[Quantité restante dans la cuve
(si remplissage, valeur 
avant le plein)]]+Tableau12[[#This Row],[Remplissage / 
Quantité remise]])</f>
        <v/>
      </c>
      <c r="E79" s="208" t="str">
        <f t="shared" si="4"/>
        <v/>
      </c>
      <c r="F79" s="258" t="str">
        <f t="shared" si="5"/>
        <v/>
      </c>
      <c r="G79" s="259" t="str">
        <f t="shared" si="6"/>
        <v/>
      </c>
      <c r="H79" s="259"/>
      <c r="I79" s="215"/>
      <c r="J79" s="210" t="str">
        <f t="shared" si="7"/>
        <v>Saisie ok</v>
      </c>
    </row>
    <row r="80" spans="1:10">
      <c r="A80" s="253"/>
      <c r="B80" s="254"/>
      <c r="C80" s="254"/>
      <c r="D80" s="452" t="str">
        <f>IF(Tableau12[[#This Row],[Quantité restante dans la cuve
(si remplissage, valeur 
avant le plein)]]&lt;=0,"",Tableau12[[#This Row],[Quantité restante dans la cuve
(si remplissage, valeur 
avant le plein)]]+Tableau12[[#This Row],[Remplissage / 
Quantité remise]])</f>
        <v/>
      </c>
      <c r="E80" s="208" t="str">
        <f t="shared" si="4"/>
        <v/>
      </c>
      <c r="F80" s="258" t="str">
        <f t="shared" si="5"/>
        <v/>
      </c>
      <c r="G80" s="259" t="str">
        <f t="shared" si="6"/>
        <v/>
      </c>
      <c r="H80" s="259"/>
      <c r="I80" s="215"/>
      <c r="J80" s="210" t="str">
        <f t="shared" si="7"/>
        <v>Saisie ok</v>
      </c>
    </row>
    <row r="81" spans="1:10">
      <c r="A81" s="253"/>
      <c r="B81" s="254"/>
      <c r="C81" s="254"/>
      <c r="D81" s="452" t="str">
        <f>IF(Tableau12[[#This Row],[Quantité restante dans la cuve
(si remplissage, valeur 
avant le plein)]]&lt;=0,"",Tableau12[[#This Row],[Quantité restante dans la cuve
(si remplissage, valeur 
avant le plein)]]+Tableau12[[#This Row],[Remplissage / 
Quantité remise]])</f>
        <v/>
      </c>
      <c r="E81" s="208" t="str">
        <f t="shared" si="4"/>
        <v/>
      </c>
      <c r="F81" s="258" t="str">
        <f t="shared" si="5"/>
        <v/>
      </c>
      <c r="G81" s="259" t="str">
        <f t="shared" si="6"/>
        <v/>
      </c>
      <c r="H81" s="259"/>
      <c r="I81" s="215"/>
      <c r="J81" s="210" t="str">
        <f t="shared" si="7"/>
        <v>Saisie ok</v>
      </c>
    </row>
    <row r="82" spans="1:10">
      <c r="A82" s="253"/>
      <c r="B82" s="254"/>
      <c r="C82" s="254"/>
      <c r="D82" s="452" t="str">
        <f>IF(Tableau12[[#This Row],[Quantité restante dans la cuve
(si remplissage, valeur 
avant le plein)]]&lt;=0,"",Tableau12[[#This Row],[Quantité restante dans la cuve
(si remplissage, valeur 
avant le plein)]]+Tableau12[[#This Row],[Remplissage / 
Quantité remise]])</f>
        <v/>
      </c>
      <c r="E82" s="208" t="str">
        <f t="shared" si="4"/>
        <v/>
      </c>
      <c r="F82" s="258" t="str">
        <f t="shared" si="5"/>
        <v/>
      </c>
      <c r="G82" s="259" t="str">
        <f t="shared" si="6"/>
        <v/>
      </c>
      <c r="H82" s="259"/>
      <c r="I82" s="215"/>
      <c r="J82" s="210" t="str">
        <f t="shared" si="7"/>
        <v>Saisie ok</v>
      </c>
    </row>
    <row r="83" spans="1:10">
      <c r="A83" s="253"/>
      <c r="B83" s="254"/>
      <c r="C83" s="254"/>
      <c r="D83" s="452" t="str">
        <f>IF(Tableau12[[#This Row],[Quantité restante dans la cuve
(si remplissage, valeur 
avant le plein)]]&lt;=0,"",Tableau12[[#This Row],[Quantité restante dans la cuve
(si remplissage, valeur 
avant le plein)]]+Tableau12[[#This Row],[Remplissage / 
Quantité remise]])</f>
        <v/>
      </c>
      <c r="E83" s="208" t="str">
        <f t="shared" si="4"/>
        <v/>
      </c>
      <c r="F83" s="258" t="str">
        <f t="shared" si="5"/>
        <v/>
      </c>
      <c r="G83" s="259" t="str">
        <f t="shared" si="6"/>
        <v/>
      </c>
      <c r="H83" s="259"/>
      <c r="I83" s="215"/>
      <c r="J83" s="210" t="str">
        <f t="shared" si="7"/>
        <v>Saisie ok</v>
      </c>
    </row>
    <row r="84" spans="1:10">
      <c r="A84" s="253"/>
      <c r="B84" s="254"/>
      <c r="C84" s="254"/>
      <c r="D84" s="452" t="str">
        <f>IF(Tableau12[[#This Row],[Quantité restante dans la cuve
(si remplissage, valeur 
avant le plein)]]&lt;=0,"",Tableau12[[#This Row],[Quantité restante dans la cuve
(si remplissage, valeur 
avant le plein)]]+Tableau12[[#This Row],[Remplissage / 
Quantité remise]])</f>
        <v/>
      </c>
      <c r="E84" s="208" t="str">
        <f t="shared" si="4"/>
        <v/>
      </c>
      <c r="F84" s="258" t="str">
        <f t="shared" si="5"/>
        <v/>
      </c>
      <c r="G84" s="259" t="str">
        <f t="shared" si="6"/>
        <v/>
      </c>
      <c r="H84" s="259"/>
      <c r="I84" s="215"/>
      <c r="J84" s="210" t="str">
        <f t="shared" si="7"/>
        <v>Saisie ok</v>
      </c>
    </row>
    <row r="85" spans="1:10">
      <c r="A85" s="253"/>
      <c r="B85" s="254"/>
      <c r="C85" s="254"/>
      <c r="D85" s="452" t="str">
        <f>IF(Tableau12[[#This Row],[Quantité restante dans la cuve
(si remplissage, valeur 
avant le plein)]]&lt;=0,"",Tableau12[[#This Row],[Quantité restante dans la cuve
(si remplissage, valeur 
avant le plein)]]+Tableau12[[#This Row],[Remplissage / 
Quantité remise]])</f>
        <v/>
      </c>
      <c r="E85" s="208" t="str">
        <f t="shared" si="4"/>
        <v/>
      </c>
      <c r="F85" s="258" t="str">
        <f t="shared" si="5"/>
        <v/>
      </c>
      <c r="G85" s="259" t="str">
        <f t="shared" si="6"/>
        <v/>
      </c>
      <c r="H85" s="259"/>
      <c r="I85" s="215"/>
      <c r="J85" s="210" t="str">
        <f t="shared" si="7"/>
        <v>Saisie ok</v>
      </c>
    </row>
    <row r="86" spans="1:10">
      <c r="A86" s="253"/>
      <c r="B86" s="254"/>
      <c r="C86" s="254"/>
      <c r="D86" s="452" t="str">
        <f>IF(Tableau12[[#This Row],[Quantité restante dans la cuve
(si remplissage, valeur 
avant le plein)]]&lt;=0,"",Tableau12[[#This Row],[Quantité restante dans la cuve
(si remplissage, valeur 
avant le plein)]]+Tableau12[[#This Row],[Remplissage / 
Quantité remise]])</f>
        <v/>
      </c>
      <c r="E86" s="208" t="str">
        <f t="shared" si="4"/>
        <v/>
      </c>
      <c r="F86" s="258" t="str">
        <f t="shared" si="5"/>
        <v/>
      </c>
      <c r="G86" s="259" t="str">
        <f t="shared" si="6"/>
        <v/>
      </c>
      <c r="H86" s="259"/>
      <c r="I86" s="215"/>
      <c r="J86" s="210" t="str">
        <f t="shared" si="7"/>
        <v>Saisie ok</v>
      </c>
    </row>
    <row r="87" spans="1:10">
      <c r="A87" s="253"/>
      <c r="B87" s="254"/>
      <c r="C87" s="254"/>
      <c r="D87" s="452" t="str">
        <f>IF(Tableau12[[#This Row],[Quantité restante dans la cuve
(si remplissage, valeur 
avant le plein)]]&lt;=0,"",Tableau12[[#This Row],[Quantité restante dans la cuve
(si remplissage, valeur 
avant le plein)]]+Tableau12[[#This Row],[Remplissage / 
Quantité remise]])</f>
        <v/>
      </c>
      <c r="E87" s="208" t="str">
        <f t="shared" si="4"/>
        <v/>
      </c>
      <c r="F87" s="258" t="str">
        <f t="shared" si="5"/>
        <v/>
      </c>
      <c r="G87" s="259" t="str">
        <f t="shared" si="6"/>
        <v/>
      </c>
      <c r="H87" s="259"/>
      <c r="I87" s="215"/>
      <c r="J87" s="210" t="str">
        <f t="shared" si="7"/>
        <v>Saisie ok</v>
      </c>
    </row>
    <row r="88" spans="1:10">
      <c r="A88" s="253"/>
      <c r="B88" s="254"/>
      <c r="C88" s="254"/>
      <c r="D88" s="452" t="str">
        <f>IF(Tableau12[[#This Row],[Quantité restante dans la cuve
(si remplissage, valeur 
avant le plein)]]&lt;=0,"",Tableau12[[#This Row],[Quantité restante dans la cuve
(si remplissage, valeur 
avant le plein)]]+Tableau12[[#This Row],[Remplissage / 
Quantité remise]])</f>
        <v/>
      </c>
      <c r="E88" s="208" t="str">
        <f t="shared" si="4"/>
        <v/>
      </c>
      <c r="F88" s="258" t="str">
        <f t="shared" si="5"/>
        <v/>
      </c>
      <c r="G88" s="259" t="str">
        <f t="shared" si="6"/>
        <v/>
      </c>
      <c r="H88" s="259"/>
      <c r="I88" s="215"/>
      <c r="J88" s="210" t="str">
        <f t="shared" si="7"/>
        <v>Saisie ok</v>
      </c>
    </row>
    <row r="89" spans="1:10">
      <c r="A89" s="253"/>
      <c r="B89" s="254"/>
      <c r="C89" s="254"/>
      <c r="D89" s="452" t="str">
        <f>IF(Tableau12[[#This Row],[Quantité restante dans la cuve
(si remplissage, valeur 
avant le plein)]]&lt;=0,"",Tableau12[[#This Row],[Quantité restante dans la cuve
(si remplissage, valeur 
avant le plein)]]+Tableau12[[#This Row],[Remplissage / 
Quantité remise]])</f>
        <v/>
      </c>
      <c r="E89" s="208" t="str">
        <f t="shared" si="4"/>
        <v/>
      </c>
      <c r="F89" s="258" t="str">
        <f t="shared" si="5"/>
        <v/>
      </c>
      <c r="G89" s="259" t="str">
        <f t="shared" si="6"/>
        <v/>
      </c>
      <c r="H89" s="259"/>
      <c r="I89" s="215"/>
      <c r="J89" s="210" t="str">
        <f t="shared" si="7"/>
        <v>Saisie ok</v>
      </c>
    </row>
    <row r="90" spans="1:10">
      <c r="A90" s="253"/>
      <c r="B90" s="254"/>
      <c r="C90" s="254"/>
      <c r="D90" s="452" t="str">
        <f>IF(Tableau12[[#This Row],[Quantité restante dans la cuve
(si remplissage, valeur 
avant le plein)]]&lt;=0,"",Tableau12[[#This Row],[Quantité restante dans la cuve
(si remplissage, valeur 
avant le plein)]]+Tableau12[[#This Row],[Remplissage / 
Quantité remise]])</f>
        <v/>
      </c>
      <c r="E90" s="208" t="str">
        <f t="shared" si="4"/>
        <v/>
      </c>
      <c r="F90" s="258" t="str">
        <f t="shared" si="5"/>
        <v/>
      </c>
      <c r="G90" s="259" t="str">
        <f t="shared" si="6"/>
        <v/>
      </c>
      <c r="H90" s="259"/>
      <c r="I90" s="215"/>
      <c r="J90" s="210" t="str">
        <f t="shared" si="7"/>
        <v>Saisie ok</v>
      </c>
    </row>
    <row r="91" spans="1:10">
      <c r="A91" s="253"/>
      <c r="B91" s="254"/>
      <c r="C91" s="254"/>
      <c r="D91" s="452" t="str">
        <f>IF(Tableau12[[#This Row],[Quantité restante dans la cuve
(si remplissage, valeur 
avant le plein)]]&lt;=0,"",Tableau12[[#This Row],[Quantité restante dans la cuve
(si remplissage, valeur 
avant le plein)]]+Tableau12[[#This Row],[Remplissage / 
Quantité remise]])</f>
        <v/>
      </c>
      <c r="E91" s="208" t="str">
        <f t="shared" si="4"/>
        <v/>
      </c>
      <c r="F91" s="258" t="str">
        <f t="shared" si="5"/>
        <v/>
      </c>
      <c r="G91" s="259" t="str">
        <f t="shared" si="6"/>
        <v/>
      </c>
      <c r="H91" s="259"/>
      <c r="I91" s="215"/>
      <c r="J91" s="210" t="str">
        <f t="shared" si="7"/>
        <v>Saisie ok</v>
      </c>
    </row>
    <row r="92" spans="1:10">
      <c r="A92" s="253"/>
      <c r="B92" s="254"/>
      <c r="C92" s="254"/>
      <c r="D92" s="452" t="str">
        <f>IF(Tableau12[[#This Row],[Quantité restante dans la cuve
(si remplissage, valeur 
avant le plein)]]&lt;=0,"",Tableau12[[#This Row],[Quantité restante dans la cuve
(si remplissage, valeur 
avant le plein)]]+Tableau12[[#This Row],[Remplissage / 
Quantité remise]])</f>
        <v/>
      </c>
      <c r="E92" s="208" t="str">
        <f t="shared" si="4"/>
        <v/>
      </c>
      <c r="F92" s="258" t="str">
        <f t="shared" si="5"/>
        <v/>
      </c>
      <c r="G92" s="259" t="str">
        <f t="shared" si="6"/>
        <v/>
      </c>
      <c r="H92" s="259"/>
      <c r="I92" s="215"/>
      <c r="J92" s="210" t="str">
        <f t="shared" si="7"/>
        <v>Saisie ok</v>
      </c>
    </row>
    <row r="93" spans="1:10">
      <c r="A93" s="253"/>
      <c r="B93" s="254"/>
      <c r="C93" s="254"/>
      <c r="D93" s="452" t="str">
        <f>IF(Tableau12[[#This Row],[Quantité restante dans la cuve
(si remplissage, valeur 
avant le plein)]]&lt;=0,"",Tableau12[[#This Row],[Quantité restante dans la cuve
(si remplissage, valeur 
avant le plein)]]+Tableau12[[#This Row],[Remplissage / 
Quantité remise]])</f>
        <v/>
      </c>
      <c r="E93" s="208" t="str">
        <f t="shared" si="4"/>
        <v/>
      </c>
      <c r="F93" s="258" t="str">
        <f t="shared" si="5"/>
        <v/>
      </c>
      <c r="G93" s="259" t="str">
        <f t="shared" si="6"/>
        <v/>
      </c>
      <c r="H93" s="259"/>
      <c r="I93" s="215"/>
      <c r="J93" s="210" t="str">
        <f t="shared" si="7"/>
        <v>Saisie ok</v>
      </c>
    </row>
    <row r="94" spans="1:10">
      <c r="A94" s="253"/>
      <c r="B94" s="254"/>
      <c r="C94" s="254"/>
      <c r="D94" s="452" t="str">
        <f>IF(Tableau12[[#This Row],[Quantité restante dans la cuve
(si remplissage, valeur 
avant le plein)]]&lt;=0,"",Tableau12[[#This Row],[Quantité restante dans la cuve
(si remplissage, valeur 
avant le plein)]]+Tableau12[[#This Row],[Remplissage / 
Quantité remise]])</f>
        <v/>
      </c>
      <c r="E94" s="208" t="str">
        <f t="shared" si="4"/>
        <v/>
      </c>
      <c r="F94" s="258" t="str">
        <f t="shared" si="5"/>
        <v/>
      </c>
      <c r="G94" s="259" t="str">
        <f t="shared" si="6"/>
        <v/>
      </c>
      <c r="H94" s="259"/>
      <c r="I94" s="215"/>
      <c r="J94" s="210" t="str">
        <f t="shared" si="7"/>
        <v>Saisie ok</v>
      </c>
    </row>
    <row r="95" spans="1:10">
      <c r="A95" s="253"/>
      <c r="B95" s="254"/>
      <c r="C95" s="254"/>
      <c r="D95" s="452" t="str">
        <f>IF(Tableau12[[#This Row],[Quantité restante dans la cuve
(si remplissage, valeur 
avant le plein)]]&lt;=0,"",Tableau12[[#This Row],[Quantité restante dans la cuve
(si remplissage, valeur 
avant le plein)]]+Tableau12[[#This Row],[Remplissage / 
Quantité remise]])</f>
        <v/>
      </c>
      <c r="E95" s="208" t="str">
        <f t="shared" si="4"/>
        <v/>
      </c>
      <c r="F95" s="258" t="str">
        <f t="shared" si="5"/>
        <v/>
      </c>
      <c r="G95" s="259" t="str">
        <f t="shared" si="6"/>
        <v/>
      </c>
      <c r="H95" s="259"/>
      <c r="I95" s="215"/>
      <c r="J95" s="210" t="str">
        <f t="shared" si="7"/>
        <v>Saisie ok</v>
      </c>
    </row>
    <row r="96" spans="1:10">
      <c r="A96" s="253"/>
      <c r="B96" s="254"/>
      <c r="C96" s="254"/>
      <c r="D96" s="452" t="str">
        <f>IF(Tableau12[[#This Row],[Quantité restante dans la cuve
(si remplissage, valeur 
avant le plein)]]&lt;=0,"",Tableau12[[#This Row],[Quantité restante dans la cuve
(si remplissage, valeur 
avant le plein)]]+Tableau12[[#This Row],[Remplissage / 
Quantité remise]])</f>
        <v/>
      </c>
      <c r="E96" s="208" t="str">
        <f t="shared" si="4"/>
        <v/>
      </c>
      <c r="F96" s="258" t="str">
        <f t="shared" si="5"/>
        <v/>
      </c>
      <c r="G96" s="259" t="str">
        <f t="shared" si="6"/>
        <v/>
      </c>
      <c r="H96" s="259"/>
      <c r="I96" s="215"/>
      <c r="J96" s="210" t="str">
        <f t="shared" si="7"/>
        <v>Saisie ok</v>
      </c>
    </row>
    <row r="97" spans="1:10">
      <c r="A97" s="253"/>
      <c r="B97" s="254"/>
      <c r="C97" s="254"/>
      <c r="D97" s="452" t="str">
        <f>IF(Tableau12[[#This Row],[Quantité restante dans la cuve
(si remplissage, valeur 
avant le plein)]]&lt;=0,"",Tableau12[[#This Row],[Quantité restante dans la cuve
(si remplissage, valeur 
avant le plein)]]+Tableau12[[#This Row],[Remplissage / 
Quantité remise]])</f>
        <v/>
      </c>
      <c r="E97" s="208" t="str">
        <f t="shared" si="4"/>
        <v/>
      </c>
      <c r="F97" s="258" t="str">
        <f t="shared" si="5"/>
        <v/>
      </c>
      <c r="G97" s="259" t="str">
        <f t="shared" si="6"/>
        <v/>
      </c>
      <c r="H97" s="259"/>
      <c r="I97" s="215"/>
      <c r="J97" s="210" t="str">
        <f t="shared" si="7"/>
        <v>Saisie ok</v>
      </c>
    </row>
    <row r="98" spans="1:10">
      <c r="A98" s="253"/>
      <c r="B98" s="254"/>
      <c r="C98" s="254"/>
      <c r="D98" s="452" t="str">
        <f>IF(Tableau12[[#This Row],[Quantité restante dans la cuve
(si remplissage, valeur 
avant le plein)]]&lt;=0,"",Tableau12[[#This Row],[Quantité restante dans la cuve
(si remplissage, valeur 
avant le plein)]]+Tableau12[[#This Row],[Remplissage / 
Quantité remise]])</f>
        <v/>
      </c>
      <c r="E98" s="208" t="str">
        <f t="shared" si="4"/>
        <v/>
      </c>
      <c r="F98" s="258" t="str">
        <f t="shared" si="5"/>
        <v/>
      </c>
      <c r="G98" s="259" t="str">
        <f t="shared" si="6"/>
        <v/>
      </c>
      <c r="H98" s="259"/>
      <c r="I98" s="215"/>
      <c r="J98" s="210" t="str">
        <f t="shared" si="7"/>
        <v>Saisie ok</v>
      </c>
    </row>
    <row r="99" spans="1:10">
      <c r="A99" s="253"/>
      <c r="B99" s="254"/>
      <c r="C99" s="254"/>
      <c r="D99" s="452" t="str">
        <f>IF(Tableau12[[#This Row],[Quantité restante dans la cuve
(si remplissage, valeur 
avant le plein)]]&lt;=0,"",Tableau12[[#This Row],[Quantité restante dans la cuve
(si remplissage, valeur 
avant le plein)]]+Tableau12[[#This Row],[Remplissage / 
Quantité remise]])</f>
        <v/>
      </c>
      <c r="E99" s="208" t="str">
        <f t="shared" si="4"/>
        <v/>
      </c>
      <c r="F99" s="258" t="str">
        <f t="shared" si="5"/>
        <v/>
      </c>
      <c r="G99" s="259" t="str">
        <f t="shared" si="6"/>
        <v/>
      </c>
      <c r="H99" s="259"/>
      <c r="I99" s="215"/>
      <c r="J99" s="210" t="str">
        <f t="shared" si="7"/>
        <v>Saisie ok</v>
      </c>
    </row>
    <row r="100" spans="1:10">
      <c r="A100" s="253"/>
      <c r="B100" s="254"/>
      <c r="C100" s="254"/>
      <c r="D100" s="452" t="str">
        <f>IF(Tableau12[[#This Row],[Quantité restante dans la cuve
(si remplissage, valeur 
avant le plein)]]&lt;=0,"",Tableau12[[#This Row],[Quantité restante dans la cuve
(si remplissage, valeur 
avant le plein)]]+Tableau12[[#This Row],[Remplissage / 
Quantité remise]])</f>
        <v/>
      </c>
      <c r="E100" s="208" t="str">
        <f t="shared" si="4"/>
        <v/>
      </c>
      <c r="F100" s="258" t="str">
        <f t="shared" si="5"/>
        <v/>
      </c>
      <c r="G100" s="259" t="str">
        <f t="shared" si="6"/>
        <v/>
      </c>
      <c r="H100" s="259"/>
      <c r="I100" s="215"/>
      <c r="J100" s="210" t="str">
        <f t="shared" si="7"/>
        <v>Saisie ok</v>
      </c>
    </row>
    <row r="101" spans="1:10">
      <c r="A101" s="253"/>
      <c r="B101" s="254"/>
      <c r="C101" s="254"/>
      <c r="D101" s="452" t="str">
        <f>IF(Tableau12[[#This Row],[Quantité restante dans la cuve
(si remplissage, valeur 
avant le plein)]]&lt;=0,"",Tableau12[[#This Row],[Quantité restante dans la cuve
(si remplissage, valeur 
avant le plein)]]+Tableau12[[#This Row],[Remplissage / 
Quantité remise]])</f>
        <v/>
      </c>
      <c r="E101" s="208" t="str">
        <f t="shared" si="4"/>
        <v/>
      </c>
      <c r="F101" s="258" t="str">
        <f t="shared" si="5"/>
        <v/>
      </c>
      <c r="G101" s="259" t="str">
        <f t="shared" si="6"/>
        <v/>
      </c>
      <c r="H101" s="259"/>
      <c r="I101" s="215"/>
      <c r="J101" s="210" t="str">
        <f t="shared" si="7"/>
        <v>Saisie ok</v>
      </c>
    </row>
    <row r="102" spans="1:10">
      <c r="A102" s="253"/>
      <c r="B102" s="254"/>
      <c r="C102" s="254"/>
      <c r="D102" s="452" t="str">
        <f>IF(Tableau12[[#This Row],[Quantité restante dans la cuve
(si remplissage, valeur 
avant le plein)]]&lt;=0,"",Tableau12[[#This Row],[Quantité restante dans la cuve
(si remplissage, valeur 
avant le plein)]]+Tableau12[[#This Row],[Remplissage / 
Quantité remise]])</f>
        <v/>
      </c>
      <c r="E102" s="208" t="str">
        <f t="shared" si="4"/>
        <v/>
      </c>
      <c r="F102" s="258" t="str">
        <f t="shared" si="5"/>
        <v/>
      </c>
      <c r="G102" s="259" t="str">
        <f t="shared" si="6"/>
        <v/>
      </c>
      <c r="H102" s="259"/>
      <c r="I102" s="215"/>
      <c r="J102" s="210" t="str">
        <f t="shared" si="7"/>
        <v>Saisie ok</v>
      </c>
    </row>
    <row r="103" spans="1:10">
      <c r="A103" s="253"/>
      <c r="B103" s="254"/>
      <c r="C103" s="254"/>
      <c r="D103" s="452" t="str">
        <f>IF(Tableau12[[#This Row],[Quantité restante dans la cuve
(si remplissage, valeur 
avant le plein)]]&lt;=0,"",Tableau12[[#This Row],[Quantité restante dans la cuve
(si remplissage, valeur 
avant le plein)]]+Tableau12[[#This Row],[Remplissage / 
Quantité remise]])</f>
        <v/>
      </c>
      <c r="E103" s="208" t="str">
        <f t="shared" si="4"/>
        <v/>
      </c>
      <c r="F103" s="258" t="str">
        <f t="shared" si="5"/>
        <v/>
      </c>
      <c r="G103" s="259" t="str">
        <f t="shared" si="6"/>
        <v/>
      </c>
      <c r="H103" s="259"/>
      <c r="I103" s="215"/>
      <c r="J103" s="210" t="str">
        <f t="shared" si="7"/>
        <v>Saisie ok</v>
      </c>
    </row>
    <row r="104" spans="1:10">
      <c r="A104" s="253"/>
      <c r="B104" s="254"/>
      <c r="C104" s="254"/>
      <c r="D104" s="452" t="str">
        <f>IF(Tableau12[[#This Row],[Quantité restante dans la cuve
(si remplissage, valeur 
avant le plein)]]&lt;=0,"",Tableau12[[#This Row],[Quantité restante dans la cuve
(si remplissage, valeur 
avant le plein)]]+Tableau12[[#This Row],[Remplissage / 
Quantité remise]])</f>
        <v/>
      </c>
      <c r="E104" s="208" t="str">
        <f t="shared" si="4"/>
        <v/>
      </c>
      <c r="F104" s="258" t="str">
        <f t="shared" si="5"/>
        <v/>
      </c>
      <c r="G104" s="259" t="str">
        <f t="shared" si="6"/>
        <v/>
      </c>
      <c r="H104" s="259"/>
      <c r="I104" s="215"/>
      <c r="J104" s="210" t="str">
        <f t="shared" si="7"/>
        <v>Saisie ok</v>
      </c>
    </row>
    <row r="105" spans="1:10">
      <c r="A105" s="253"/>
      <c r="B105" s="254"/>
      <c r="C105" s="254"/>
      <c r="D105" s="452" t="str">
        <f>IF(Tableau12[[#This Row],[Quantité restante dans la cuve
(si remplissage, valeur 
avant le plein)]]&lt;=0,"",Tableau12[[#This Row],[Quantité restante dans la cuve
(si remplissage, valeur 
avant le plein)]]+Tableau12[[#This Row],[Remplissage / 
Quantité remise]])</f>
        <v/>
      </c>
      <c r="E105" s="208" t="str">
        <f t="shared" si="4"/>
        <v/>
      </c>
      <c r="F105" s="258" t="str">
        <f t="shared" si="5"/>
        <v/>
      </c>
      <c r="G105" s="259" t="str">
        <f t="shared" si="6"/>
        <v/>
      </c>
      <c r="H105" s="259"/>
      <c r="I105" s="215"/>
      <c r="J105" s="210" t="str">
        <f t="shared" si="7"/>
        <v>Saisie ok</v>
      </c>
    </row>
    <row r="106" spans="1:10">
      <c r="A106" s="253"/>
      <c r="B106" s="254"/>
      <c r="C106" s="254"/>
      <c r="D106" s="452" t="str">
        <f>IF(Tableau12[[#This Row],[Quantité restante dans la cuve
(si remplissage, valeur 
avant le plein)]]&lt;=0,"",Tableau12[[#This Row],[Quantité restante dans la cuve
(si remplissage, valeur 
avant le plein)]]+Tableau12[[#This Row],[Remplissage / 
Quantité remise]])</f>
        <v/>
      </c>
      <c r="E106" s="208" t="str">
        <f t="shared" si="4"/>
        <v/>
      </c>
      <c r="F106" s="258" t="str">
        <f t="shared" si="5"/>
        <v/>
      </c>
      <c r="G106" s="259" t="str">
        <f t="shared" si="6"/>
        <v/>
      </c>
      <c r="H106" s="259"/>
      <c r="I106" s="215"/>
      <c r="J106" s="210" t="str">
        <f t="shared" si="7"/>
        <v>Saisie ok</v>
      </c>
    </row>
    <row r="107" spans="1:10">
      <c r="A107" s="253"/>
      <c r="B107" s="254"/>
      <c r="C107" s="254"/>
      <c r="D107" s="452" t="str">
        <f>IF(Tableau12[[#This Row],[Quantité restante dans la cuve
(si remplissage, valeur 
avant le plein)]]&lt;=0,"",Tableau12[[#This Row],[Quantité restante dans la cuve
(si remplissage, valeur 
avant le plein)]]+Tableau12[[#This Row],[Remplissage / 
Quantité remise]])</f>
        <v/>
      </c>
      <c r="E107" s="208" t="str">
        <f t="shared" si="4"/>
        <v/>
      </c>
      <c r="F107" s="258" t="str">
        <f t="shared" si="5"/>
        <v/>
      </c>
      <c r="G107" s="259" t="str">
        <f t="shared" si="6"/>
        <v/>
      </c>
      <c r="H107" s="259"/>
      <c r="I107" s="215"/>
      <c r="J107" s="210" t="str">
        <f t="shared" si="7"/>
        <v>Saisie ok</v>
      </c>
    </row>
    <row r="108" spans="1:10">
      <c r="A108" s="253"/>
      <c r="B108" s="254"/>
      <c r="C108" s="254"/>
      <c r="D108" s="452" t="str">
        <f>IF(Tableau12[[#This Row],[Quantité restante dans la cuve
(si remplissage, valeur 
avant le plein)]]&lt;=0,"",Tableau12[[#This Row],[Quantité restante dans la cuve
(si remplissage, valeur 
avant le plein)]]+Tableau12[[#This Row],[Remplissage / 
Quantité remise]])</f>
        <v/>
      </c>
      <c r="E108" s="208" t="str">
        <f t="shared" si="4"/>
        <v/>
      </c>
      <c r="F108" s="258" t="str">
        <f t="shared" si="5"/>
        <v/>
      </c>
      <c r="G108" s="259" t="str">
        <f t="shared" si="6"/>
        <v/>
      </c>
      <c r="H108" s="259"/>
      <c r="I108" s="215"/>
      <c r="J108" s="210" t="str">
        <f t="shared" si="7"/>
        <v>Saisie ok</v>
      </c>
    </row>
    <row r="109" spans="1:10">
      <c r="A109" s="253"/>
      <c r="B109" s="254"/>
      <c r="C109" s="254"/>
      <c r="D109" s="452" t="str">
        <f>IF(Tableau12[[#This Row],[Quantité restante dans la cuve
(si remplissage, valeur 
avant le plein)]]&lt;=0,"",Tableau12[[#This Row],[Quantité restante dans la cuve
(si remplissage, valeur 
avant le plein)]]+Tableau12[[#This Row],[Remplissage / 
Quantité remise]])</f>
        <v/>
      </c>
      <c r="E109" s="208" t="str">
        <f t="shared" si="4"/>
        <v/>
      </c>
      <c r="F109" s="258" t="str">
        <f t="shared" si="5"/>
        <v/>
      </c>
      <c r="G109" s="259" t="str">
        <f t="shared" si="6"/>
        <v/>
      </c>
      <c r="H109" s="259"/>
      <c r="I109" s="215"/>
      <c r="J109" s="210" t="str">
        <f t="shared" si="7"/>
        <v>Saisie ok</v>
      </c>
    </row>
    <row r="110" spans="1:10">
      <c r="A110" s="253"/>
      <c r="B110" s="254"/>
      <c r="C110" s="254"/>
      <c r="D110" s="452" t="str">
        <f>IF(Tableau12[[#This Row],[Quantité restante dans la cuve
(si remplissage, valeur 
avant le plein)]]&lt;=0,"",Tableau12[[#This Row],[Quantité restante dans la cuve
(si remplissage, valeur 
avant le plein)]]+Tableau12[[#This Row],[Remplissage / 
Quantité remise]])</f>
        <v/>
      </c>
      <c r="E110" s="208" t="str">
        <f t="shared" si="4"/>
        <v/>
      </c>
      <c r="F110" s="258" t="str">
        <f t="shared" si="5"/>
        <v/>
      </c>
      <c r="G110" s="259" t="str">
        <f t="shared" si="6"/>
        <v/>
      </c>
      <c r="H110" s="259"/>
      <c r="I110" s="215"/>
      <c r="J110" s="210" t="str">
        <f t="shared" si="7"/>
        <v>Saisie ok</v>
      </c>
    </row>
    <row r="111" spans="1:10">
      <c r="A111" s="253"/>
      <c r="B111" s="254"/>
      <c r="C111" s="254"/>
      <c r="D111" s="452" t="str">
        <f>IF(Tableau12[[#This Row],[Quantité restante dans la cuve
(si remplissage, valeur 
avant le plein)]]&lt;=0,"",Tableau12[[#This Row],[Quantité restante dans la cuve
(si remplissage, valeur 
avant le plein)]]+Tableau12[[#This Row],[Remplissage / 
Quantité remise]])</f>
        <v/>
      </c>
      <c r="E111" s="208" t="str">
        <f t="shared" si="4"/>
        <v/>
      </c>
      <c r="F111" s="258" t="str">
        <f t="shared" si="5"/>
        <v/>
      </c>
      <c r="G111" s="259" t="str">
        <f t="shared" si="6"/>
        <v/>
      </c>
      <c r="H111" s="259"/>
      <c r="I111" s="215"/>
      <c r="J111" s="210" t="str">
        <f t="shared" si="7"/>
        <v>Saisie ok</v>
      </c>
    </row>
    <row r="112" spans="1:10">
      <c r="A112" s="253"/>
      <c r="B112" s="254"/>
      <c r="C112" s="254"/>
      <c r="D112" s="452" t="str">
        <f>IF(Tableau12[[#This Row],[Quantité restante dans la cuve
(si remplissage, valeur 
avant le plein)]]&lt;=0,"",Tableau12[[#This Row],[Quantité restante dans la cuve
(si remplissage, valeur 
avant le plein)]]+Tableau12[[#This Row],[Remplissage / 
Quantité remise]])</f>
        <v/>
      </c>
      <c r="E112" s="208" t="str">
        <f t="shared" si="4"/>
        <v/>
      </c>
      <c r="F112" s="258" t="str">
        <f t="shared" si="5"/>
        <v/>
      </c>
      <c r="G112" s="259" t="str">
        <f t="shared" si="6"/>
        <v/>
      </c>
      <c r="H112" s="259"/>
      <c r="I112" s="215"/>
      <c r="J112" s="210" t="str">
        <f t="shared" si="7"/>
        <v>Saisie ok</v>
      </c>
    </row>
    <row r="113" spans="1:10">
      <c r="A113" s="253"/>
      <c r="B113" s="254"/>
      <c r="C113" s="254"/>
      <c r="D113" s="452" t="str">
        <f>IF(Tableau12[[#This Row],[Quantité restante dans la cuve
(si remplissage, valeur 
avant le plein)]]&lt;=0,"",Tableau12[[#This Row],[Quantité restante dans la cuve
(si remplissage, valeur 
avant le plein)]]+Tableau12[[#This Row],[Remplissage / 
Quantité remise]])</f>
        <v/>
      </c>
      <c r="E113" s="208" t="str">
        <f t="shared" si="4"/>
        <v/>
      </c>
      <c r="F113" s="258" t="str">
        <f t="shared" si="5"/>
        <v/>
      </c>
      <c r="G113" s="259" t="str">
        <f t="shared" si="6"/>
        <v/>
      </c>
      <c r="H113" s="259"/>
      <c r="I113" s="215"/>
      <c r="J113" s="210" t="str">
        <f t="shared" si="7"/>
        <v>Saisie ok</v>
      </c>
    </row>
    <row r="114" spans="1:10">
      <c r="A114" s="253"/>
      <c r="B114" s="254"/>
      <c r="C114" s="254"/>
      <c r="D114" s="452" t="str">
        <f>IF(Tableau12[[#This Row],[Quantité restante dans la cuve
(si remplissage, valeur 
avant le plein)]]&lt;=0,"",Tableau12[[#This Row],[Quantité restante dans la cuve
(si remplissage, valeur 
avant le plein)]]+Tableau12[[#This Row],[Remplissage / 
Quantité remise]])</f>
        <v/>
      </c>
      <c r="E114" s="208" t="str">
        <f t="shared" si="4"/>
        <v/>
      </c>
      <c r="F114" s="258" t="str">
        <f t="shared" si="5"/>
        <v/>
      </c>
      <c r="G114" s="259" t="str">
        <f t="shared" si="6"/>
        <v/>
      </c>
      <c r="H114" s="259"/>
      <c r="I114" s="215"/>
      <c r="J114" s="210" t="str">
        <f t="shared" si="7"/>
        <v>Saisie ok</v>
      </c>
    </row>
    <row r="115" spans="1:10">
      <c r="A115" s="253"/>
      <c r="B115" s="254"/>
      <c r="C115" s="254"/>
      <c r="D115" s="452" t="str">
        <f>IF(Tableau12[[#This Row],[Quantité restante dans la cuve
(si remplissage, valeur 
avant le plein)]]&lt;=0,"",Tableau12[[#This Row],[Quantité restante dans la cuve
(si remplissage, valeur 
avant le plein)]]+Tableau12[[#This Row],[Remplissage / 
Quantité remise]])</f>
        <v/>
      </c>
      <c r="E115" s="208" t="str">
        <f t="shared" si="4"/>
        <v/>
      </c>
      <c r="F115" s="258" t="str">
        <f t="shared" si="5"/>
        <v/>
      </c>
      <c r="G115" s="259" t="str">
        <f t="shared" si="6"/>
        <v/>
      </c>
      <c r="H115" s="259"/>
      <c r="I115" s="215"/>
      <c r="J115" s="210" t="str">
        <f t="shared" si="7"/>
        <v>Saisie ok</v>
      </c>
    </row>
    <row r="116" spans="1:10">
      <c r="A116" s="253"/>
      <c r="B116" s="254"/>
      <c r="C116" s="254"/>
      <c r="D116" s="452" t="str">
        <f>IF(Tableau12[[#This Row],[Quantité restante dans la cuve
(si remplissage, valeur 
avant le plein)]]&lt;=0,"",Tableau12[[#This Row],[Quantité restante dans la cuve
(si remplissage, valeur 
avant le plein)]]+Tableau12[[#This Row],[Remplissage / 
Quantité remise]])</f>
        <v/>
      </c>
      <c r="E116" s="208" t="str">
        <f t="shared" si="4"/>
        <v/>
      </c>
      <c r="F116" s="258" t="str">
        <f t="shared" si="5"/>
        <v/>
      </c>
      <c r="G116" s="259" t="str">
        <f t="shared" si="6"/>
        <v/>
      </c>
      <c r="H116" s="259"/>
      <c r="I116" s="215"/>
      <c r="J116" s="210" t="str">
        <f t="shared" si="7"/>
        <v>Saisie ok</v>
      </c>
    </row>
    <row r="117" spans="1:10">
      <c r="A117" s="253"/>
      <c r="B117" s="254"/>
      <c r="C117" s="254"/>
      <c r="D117" s="452" t="str">
        <f>IF(Tableau12[[#This Row],[Quantité restante dans la cuve
(si remplissage, valeur 
avant le plein)]]&lt;=0,"",Tableau12[[#This Row],[Quantité restante dans la cuve
(si remplissage, valeur 
avant le plein)]]+Tableau12[[#This Row],[Remplissage / 
Quantité remise]])</f>
        <v/>
      </c>
      <c r="E117" s="208" t="str">
        <f t="shared" si="4"/>
        <v/>
      </c>
      <c r="F117" s="258" t="str">
        <f t="shared" si="5"/>
        <v/>
      </c>
      <c r="G117" s="259" t="str">
        <f t="shared" si="6"/>
        <v/>
      </c>
      <c r="H117" s="259"/>
      <c r="I117" s="215"/>
      <c r="J117" s="210" t="str">
        <f t="shared" si="7"/>
        <v>Saisie ok</v>
      </c>
    </row>
    <row r="118" spans="1:10">
      <c r="A118" s="253"/>
      <c r="B118" s="254"/>
      <c r="C118" s="254"/>
      <c r="D118" s="452" t="str">
        <f>IF(Tableau12[[#This Row],[Quantité restante dans la cuve
(si remplissage, valeur 
avant le plein)]]&lt;=0,"",Tableau12[[#This Row],[Quantité restante dans la cuve
(si remplissage, valeur 
avant le plein)]]+Tableau12[[#This Row],[Remplissage / 
Quantité remise]])</f>
        <v/>
      </c>
      <c r="E118" s="208" t="str">
        <f t="shared" si="4"/>
        <v/>
      </c>
      <c r="F118" s="258" t="str">
        <f t="shared" si="5"/>
        <v/>
      </c>
      <c r="G118" s="259" t="str">
        <f t="shared" si="6"/>
        <v/>
      </c>
      <c r="H118" s="259"/>
      <c r="I118" s="215"/>
      <c r="J118" s="210" t="str">
        <f t="shared" si="7"/>
        <v>Saisie ok</v>
      </c>
    </row>
    <row r="119" spans="1:10">
      <c r="A119" s="253"/>
      <c r="B119" s="254"/>
      <c r="C119" s="254"/>
      <c r="D119" s="452" t="str">
        <f>IF(Tableau12[[#This Row],[Quantité restante dans la cuve
(si remplissage, valeur 
avant le plein)]]&lt;=0,"",Tableau12[[#This Row],[Quantité restante dans la cuve
(si remplissage, valeur 
avant le plein)]]+Tableau12[[#This Row],[Remplissage / 
Quantité remise]])</f>
        <v/>
      </c>
      <c r="E119" s="208" t="str">
        <f t="shared" si="4"/>
        <v/>
      </c>
      <c r="F119" s="258" t="str">
        <f t="shared" si="5"/>
        <v/>
      </c>
      <c r="G119" s="259" t="str">
        <f t="shared" si="6"/>
        <v/>
      </c>
      <c r="H119" s="259"/>
      <c r="I119" s="215"/>
      <c r="J119" s="210" t="str">
        <f t="shared" si="7"/>
        <v>Saisie ok</v>
      </c>
    </row>
    <row r="120" spans="1:10">
      <c r="A120" s="253"/>
      <c r="B120" s="254"/>
      <c r="C120" s="254"/>
      <c r="D120" s="452" t="str">
        <f>IF(Tableau12[[#This Row],[Quantité restante dans la cuve
(si remplissage, valeur 
avant le plein)]]&lt;=0,"",Tableau12[[#This Row],[Quantité restante dans la cuve
(si remplissage, valeur 
avant le plein)]]+Tableau12[[#This Row],[Remplissage / 
Quantité remise]])</f>
        <v/>
      </c>
      <c r="E120" s="208" t="str">
        <f t="shared" si="4"/>
        <v/>
      </c>
      <c r="F120" s="258" t="str">
        <f t="shared" si="5"/>
        <v/>
      </c>
      <c r="G120" s="259" t="str">
        <f t="shared" si="6"/>
        <v/>
      </c>
      <c r="H120" s="259"/>
      <c r="I120" s="215"/>
      <c r="J120" s="210" t="str">
        <f t="shared" si="7"/>
        <v>Saisie ok</v>
      </c>
    </row>
    <row r="121" spans="1:10">
      <c r="A121" s="253"/>
      <c r="B121" s="254"/>
      <c r="C121" s="254"/>
      <c r="D121" s="452" t="str">
        <f>IF(Tableau12[[#This Row],[Quantité restante dans la cuve
(si remplissage, valeur 
avant le plein)]]&lt;=0,"",Tableau12[[#This Row],[Quantité restante dans la cuve
(si remplissage, valeur 
avant le plein)]]+Tableau12[[#This Row],[Remplissage / 
Quantité remise]])</f>
        <v/>
      </c>
      <c r="E121" s="208" t="str">
        <f t="shared" si="4"/>
        <v/>
      </c>
      <c r="F121" s="258" t="str">
        <f t="shared" si="5"/>
        <v/>
      </c>
      <c r="G121" s="259" t="str">
        <f t="shared" si="6"/>
        <v/>
      </c>
      <c r="H121" s="259"/>
      <c r="I121" s="215"/>
      <c r="J121" s="210" t="str">
        <f t="shared" si="7"/>
        <v>Saisie ok</v>
      </c>
    </row>
    <row r="122" spans="1:10">
      <c r="A122" s="253"/>
      <c r="B122" s="254"/>
      <c r="C122" s="254"/>
      <c r="D122" s="452" t="str">
        <f>IF(Tableau12[[#This Row],[Quantité restante dans la cuve
(si remplissage, valeur 
avant le plein)]]&lt;=0,"",Tableau12[[#This Row],[Quantité restante dans la cuve
(si remplissage, valeur 
avant le plein)]]+Tableau12[[#This Row],[Remplissage / 
Quantité remise]])</f>
        <v/>
      </c>
      <c r="E122" s="208" t="str">
        <f t="shared" si="4"/>
        <v/>
      </c>
      <c r="F122" s="258" t="str">
        <f t="shared" si="5"/>
        <v/>
      </c>
      <c r="G122" s="259" t="str">
        <f t="shared" si="6"/>
        <v/>
      </c>
      <c r="H122" s="259"/>
      <c r="I122" s="215"/>
      <c r="J122" s="210" t="str">
        <f t="shared" si="7"/>
        <v>Saisie ok</v>
      </c>
    </row>
    <row r="123" spans="1:10">
      <c r="A123" s="253"/>
      <c r="B123" s="254"/>
      <c r="C123" s="254"/>
      <c r="D123" s="452" t="str">
        <f>IF(Tableau12[[#This Row],[Quantité restante dans la cuve
(si remplissage, valeur 
avant le plein)]]&lt;=0,"",Tableau12[[#This Row],[Quantité restante dans la cuve
(si remplissage, valeur 
avant le plein)]]+Tableau12[[#This Row],[Remplissage / 
Quantité remise]])</f>
        <v/>
      </c>
      <c r="E123" s="208" t="str">
        <f t="shared" si="4"/>
        <v/>
      </c>
      <c r="F123" s="258" t="str">
        <f t="shared" si="5"/>
        <v/>
      </c>
      <c r="G123" s="259" t="str">
        <f t="shared" si="6"/>
        <v/>
      </c>
      <c r="H123" s="259"/>
      <c r="I123" s="215"/>
      <c r="J123" s="210" t="str">
        <f t="shared" si="7"/>
        <v>Saisie ok</v>
      </c>
    </row>
    <row r="124" spans="1:10">
      <c r="A124" s="253"/>
      <c r="B124" s="254"/>
      <c r="C124" s="254"/>
      <c r="D124" s="452" t="str">
        <f>IF(Tableau12[[#This Row],[Quantité restante dans la cuve
(si remplissage, valeur 
avant le plein)]]&lt;=0,"",Tableau12[[#This Row],[Quantité restante dans la cuve
(si remplissage, valeur 
avant le plein)]]+Tableau12[[#This Row],[Remplissage / 
Quantité remise]])</f>
        <v/>
      </c>
      <c r="E124" s="208" t="str">
        <f t="shared" si="4"/>
        <v/>
      </c>
      <c r="F124" s="258" t="str">
        <f t="shared" si="5"/>
        <v/>
      </c>
      <c r="G124" s="259" t="str">
        <f t="shared" si="6"/>
        <v/>
      </c>
      <c r="H124" s="259"/>
      <c r="I124" s="215"/>
      <c r="J124" s="210" t="str">
        <f t="shared" si="7"/>
        <v>Saisie ok</v>
      </c>
    </row>
    <row r="125" spans="1:10">
      <c r="A125" s="253"/>
      <c r="B125" s="254"/>
      <c r="C125" s="254"/>
      <c r="D125" s="452" t="str">
        <f>IF(Tableau12[[#This Row],[Quantité restante dans la cuve
(si remplissage, valeur 
avant le plein)]]&lt;=0,"",Tableau12[[#This Row],[Quantité restante dans la cuve
(si remplissage, valeur 
avant le plein)]]+Tableau12[[#This Row],[Remplissage / 
Quantité remise]])</f>
        <v/>
      </c>
      <c r="E125" s="208" t="str">
        <f t="shared" si="4"/>
        <v/>
      </c>
      <c r="F125" s="258" t="str">
        <f t="shared" si="5"/>
        <v/>
      </c>
      <c r="G125" s="259" t="str">
        <f t="shared" si="6"/>
        <v/>
      </c>
      <c r="H125" s="259"/>
      <c r="I125" s="215"/>
      <c r="J125" s="210" t="str">
        <f t="shared" si="7"/>
        <v>Saisie ok</v>
      </c>
    </row>
    <row r="126" spans="1:10">
      <c r="A126" s="253"/>
      <c r="B126" s="254"/>
      <c r="C126" s="254"/>
      <c r="D126" s="452" t="str">
        <f>IF(Tableau12[[#This Row],[Quantité restante dans la cuve
(si remplissage, valeur 
avant le plein)]]&lt;=0,"",Tableau12[[#This Row],[Quantité restante dans la cuve
(si remplissage, valeur 
avant le plein)]]+Tableau12[[#This Row],[Remplissage / 
Quantité remise]])</f>
        <v/>
      </c>
      <c r="E126" s="208" t="str">
        <f t="shared" si="4"/>
        <v/>
      </c>
      <c r="F126" s="258" t="str">
        <f t="shared" si="5"/>
        <v/>
      </c>
      <c r="G126" s="259" t="str">
        <f t="shared" si="6"/>
        <v/>
      </c>
      <c r="H126" s="259"/>
      <c r="I126" s="215"/>
      <c r="J126" s="210" t="str">
        <f t="shared" si="7"/>
        <v>Saisie ok</v>
      </c>
    </row>
    <row r="127" spans="1:10">
      <c r="A127" s="253"/>
      <c r="B127" s="254"/>
      <c r="C127" s="254"/>
      <c r="D127" s="452" t="str">
        <f>IF(Tableau12[[#This Row],[Quantité restante dans la cuve
(si remplissage, valeur 
avant le plein)]]&lt;=0,"",Tableau12[[#This Row],[Quantité restante dans la cuve
(si remplissage, valeur 
avant le plein)]]+Tableau12[[#This Row],[Remplissage / 
Quantité remise]])</f>
        <v/>
      </c>
      <c r="E127" s="208" t="str">
        <f t="shared" si="4"/>
        <v/>
      </c>
      <c r="F127" s="258" t="str">
        <f t="shared" si="5"/>
        <v/>
      </c>
      <c r="G127" s="259" t="str">
        <f t="shared" si="6"/>
        <v/>
      </c>
      <c r="H127" s="259"/>
      <c r="I127" s="215"/>
      <c r="J127" s="210" t="str">
        <f t="shared" si="7"/>
        <v>Saisie ok</v>
      </c>
    </row>
    <row r="128" spans="1:10">
      <c r="A128" s="253"/>
      <c r="B128" s="254"/>
      <c r="C128" s="254"/>
      <c r="D128" s="452" t="str">
        <f>IF(Tableau12[[#This Row],[Quantité restante dans la cuve
(si remplissage, valeur 
avant le plein)]]&lt;=0,"",Tableau12[[#This Row],[Quantité restante dans la cuve
(si remplissage, valeur 
avant le plein)]]+Tableau12[[#This Row],[Remplissage / 
Quantité remise]])</f>
        <v/>
      </c>
      <c r="E128" s="208" t="str">
        <f t="shared" si="4"/>
        <v/>
      </c>
      <c r="F128" s="258" t="str">
        <f t="shared" si="5"/>
        <v/>
      </c>
      <c r="G128" s="259" t="str">
        <f t="shared" si="6"/>
        <v/>
      </c>
      <c r="H128" s="259"/>
      <c r="I128" s="215"/>
      <c r="J128" s="210" t="str">
        <f t="shared" si="7"/>
        <v>Saisie ok</v>
      </c>
    </row>
    <row r="129" spans="1:10">
      <c r="A129" s="253"/>
      <c r="B129" s="254"/>
      <c r="C129" s="254"/>
      <c r="D129" s="452" t="str">
        <f>IF(Tableau12[[#This Row],[Quantité restante dans la cuve
(si remplissage, valeur 
avant le plein)]]&lt;=0,"",Tableau12[[#This Row],[Quantité restante dans la cuve
(si remplissage, valeur 
avant le plein)]]+Tableau12[[#This Row],[Remplissage / 
Quantité remise]])</f>
        <v/>
      </c>
      <c r="E129" s="208" t="str">
        <f t="shared" si="4"/>
        <v/>
      </c>
      <c r="F129" s="258" t="str">
        <f t="shared" si="5"/>
        <v/>
      </c>
      <c r="G129" s="259" t="str">
        <f t="shared" si="6"/>
        <v/>
      </c>
      <c r="H129" s="259"/>
      <c r="I129" s="215"/>
      <c r="J129" s="210" t="str">
        <f t="shared" si="7"/>
        <v>Saisie ok</v>
      </c>
    </row>
    <row r="130" spans="1:10">
      <c r="A130" s="253"/>
      <c r="B130" s="254"/>
      <c r="C130" s="254"/>
      <c r="D130" s="452" t="str">
        <f>IF(Tableau12[[#This Row],[Quantité restante dans la cuve
(si remplissage, valeur 
avant le plein)]]&lt;=0,"",Tableau12[[#This Row],[Quantité restante dans la cuve
(si remplissage, valeur 
avant le plein)]]+Tableau12[[#This Row],[Remplissage / 
Quantité remise]])</f>
        <v/>
      </c>
      <c r="E130" s="208" t="str">
        <f t="shared" si="4"/>
        <v/>
      </c>
      <c r="F130" s="258" t="str">
        <f t="shared" si="5"/>
        <v/>
      </c>
      <c r="G130" s="259" t="str">
        <f t="shared" si="6"/>
        <v/>
      </c>
      <c r="H130" s="259"/>
      <c r="I130" s="215"/>
      <c r="J130" s="210" t="str">
        <f t="shared" si="7"/>
        <v>Saisie ok</v>
      </c>
    </row>
    <row r="131" spans="1:10">
      <c r="A131" s="253"/>
      <c r="B131" s="254"/>
      <c r="C131" s="254"/>
      <c r="D131" s="452" t="str">
        <f>IF(Tableau12[[#This Row],[Quantité restante dans la cuve
(si remplissage, valeur 
avant le plein)]]&lt;=0,"",Tableau12[[#This Row],[Quantité restante dans la cuve
(si remplissage, valeur 
avant le plein)]]+Tableau12[[#This Row],[Remplissage / 
Quantité remise]])</f>
        <v/>
      </c>
      <c r="E131" s="208" t="str">
        <f t="shared" si="4"/>
        <v/>
      </c>
      <c r="F131" s="258" t="str">
        <f t="shared" si="5"/>
        <v/>
      </c>
      <c r="G131" s="259" t="str">
        <f t="shared" si="6"/>
        <v/>
      </c>
      <c r="H131" s="259"/>
      <c r="I131" s="215"/>
      <c r="J131" s="210" t="str">
        <f t="shared" si="7"/>
        <v>Saisie ok</v>
      </c>
    </row>
    <row r="132" spans="1:10">
      <c r="A132" s="253"/>
      <c r="B132" s="254"/>
      <c r="C132" s="254"/>
      <c r="D132" s="452" t="str">
        <f>IF(Tableau12[[#This Row],[Quantité restante dans la cuve
(si remplissage, valeur 
avant le plein)]]&lt;=0,"",Tableau12[[#This Row],[Quantité restante dans la cuve
(si remplissage, valeur 
avant le plein)]]+Tableau12[[#This Row],[Remplissage / 
Quantité remise]])</f>
        <v/>
      </c>
      <c r="E132" s="208" t="str">
        <f t="shared" ref="E132:E195" si="8">IFERROR(G132/(A132-A131),"")</f>
        <v/>
      </c>
      <c r="F132" s="258" t="str">
        <f t="shared" ref="F132:F195" si="9">IF(A132="","",A132)</f>
        <v/>
      </c>
      <c r="G132" s="259" t="str">
        <f t="shared" ref="G132:G195" si="10">IF(B132&lt;=0,"",D131-B132)</f>
        <v/>
      </c>
      <c r="H132" s="259"/>
      <c r="I132" s="215"/>
      <c r="J132" s="210" t="str">
        <f t="shared" ref="J132:J195" si="11">IF(C131&lt;=0,IF(B132&gt;B131,"Erreur saisie","Saisie ok"),"Saisie ok, plein fait")</f>
        <v>Saisie ok</v>
      </c>
    </row>
    <row r="133" spans="1:10">
      <c r="A133" s="253"/>
      <c r="B133" s="254"/>
      <c r="C133" s="254"/>
      <c r="D133" s="452" t="str">
        <f>IF(Tableau12[[#This Row],[Quantité restante dans la cuve
(si remplissage, valeur 
avant le plein)]]&lt;=0,"",Tableau12[[#This Row],[Quantité restante dans la cuve
(si remplissage, valeur 
avant le plein)]]+Tableau12[[#This Row],[Remplissage / 
Quantité remise]])</f>
        <v/>
      </c>
      <c r="E133" s="208" t="str">
        <f t="shared" si="8"/>
        <v/>
      </c>
      <c r="F133" s="258" t="str">
        <f t="shared" si="9"/>
        <v/>
      </c>
      <c r="G133" s="259" t="str">
        <f t="shared" si="10"/>
        <v/>
      </c>
      <c r="H133" s="259"/>
      <c r="I133" s="215"/>
      <c r="J133" s="210" t="str">
        <f t="shared" si="11"/>
        <v>Saisie ok</v>
      </c>
    </row>
    <row r="134" spans="1:10">
      <c r="A134" s="253"/>
      <c r="B134" s="254"/>
      <c r="C134" s="254"/>
      <c r="D134" s="452" t="str">
        <f>IF(Tableau12[[#This Row],[Quantité restante dans la cuve
(si remplissage, valeur 
avant le plein)]]&lt;=0,"",Tableau12[[#This Row],[Quantité restante dans la cuve
(si remplissage, valeur 
avant le plein)]]+Tableau12[[#This Row],[Remplissage / 
Quantité remise]])</f>
        <v/>
      </c>
      <c r="E134" s="208" t="str">
        <f t="shared" si="8"/>
        <v/>
      </c>
      <c r="F134" s="258" t="str">
        <f t="shared" si="9"/>
        <v/>
      </c>
      <c r="G134" s="259" t="str">
        <f t="shared" si="10"/>
        <v/>
      </c>
      <c r="H134" s="259"/>
      <c r="I134" s="215"/>
      <c r="J134" s="210" t="str">
        <f t="shared" si="11"/>
        <v>Saisie ok</v>
      </c>
    </row>
    <row r="135" spans="1:10">
      <c r="A135" s="253"/>
      <c r="B135" s="254"/>
      <c r="C135" s="254"/>
      <c r="D135" s="452" t="str">
        <f>IF(Tableau12[[#This Row],[Quantité restante dans la cuve
(si remplissage, valeur 
avant le plein)]]&lt;=0,"",Tableau12[[#This Row],[Quantité restante dans la cuve
(si remplissage, valeur 
avant le plein)]]+Tableau12[[#This Row],[Remplissage / 
Quantité remise]])</f>
        <v/>
      </c>
      <c r="E135" s="208" t="str">
        <f t="shared" si="8"/>
        <v/>
      </c>
      <c r="F135" s="258" t="str">
        <f t="shared" si="9"/>
        <v/>
      </c>
      <c r="G135" s="259" t="str">
        <f t="shared" si="10"/>
        <v/>
      </c>
      <c r="H135" s="259"/>
      <c r="I135" s="215"/>
      <c r="J135" s="210" t="str">
        <f t="shared" si="11"/>
        <v>Saisie ok</v>
      </c>
    </row>
    <row r="136" spans="1:10">
      <c r="A136" s="253"/>
      <c r="B136" s="254"/>
      <c r="C136" s="254"/>
      <c r="D136" s="452" t="str">
        <f>IF(Tableau12[[#This Row],[Quantité restante dans la cuve
(si remplissage, valeur 
avant le plein)]]&lt;=0,"",Tableau12[[#This Row],[Quantité restante dans la cuve
(si remplissage, valeur 
avant le plein)]]+Tableau12[[#This Row],[Remplissage / 
Quantité remise]])</f>
        <v/>
      </c>
      <c r="E136" s="208" t="str">
        <f t="shared" si="8"/>
        <v/>
      </c>
      <c r="F136" s="258" t="str">
        <f t="shared" si="9"/>
        <v/>
      </c>
      <c r="G136" s="259" t="str">
        <f t="shared" si="10"/>
        <v/>
      </c>
      <c r="H136" s="259"/>
      <c r="I136" s="215"/>
      <c r="J136" s="210" t="str">
        <f t="shared" si="11"/>
        <v>Saisie ok</v>
      </c>
    </row>
    <row r="137" spans="1:10">
      <c r="A137" s="253"/>
      <c r="B137" s="254"/>
      <c r="C137" s="254"/>
      <c r="D137" s="452" t="str">
        <f>IF(Tableau12[[#This Row],[Quantité restante dans la cuve
(si remplissage, valeur 
avant le plein)]]&lt;=0,"",Tableau12[[#This Row],[Quantité restante dans la cuve
(si remplissage, valeur 
avant le plein)]]+Tableau12[[#This Row],[Remplissage / 
Quantité remise]])</f>
        <v/>
      </c>
      <c r="E137" s="208" t="str">
        <f t="shared" si="8"/>
        <v/>
      </c>
      <c r="F137" s="258" t="str">
        <f t="shared" si="9"/>
        <v/>
      </c>
      <c r="G137" s="259" t="str">
        <f t="shared" si="10"/>
        <v/>
      </c>
      <c r="H137" s="259"/>
      <c r="I137" s="215"/>
      <c r="J137" s="210" t="str">
        <f t="shared" si="11"/>
        <v>Saisie ok</v>
      </c>
    </row>
    <row r="138" spans="1:10">
      <c r="A138" s="253"/>
      <c r="B138" s="254"/>
      <c r="C138" s="254"/>
      <c r="D138" s="452" t="str">
        <f>IF(Tableau12[[#This Row],[Quantité restante dans la cuve
(si remplissage, valeur 
avant le plein)]]&lt;=0,"",Tableau12[[#This Row],[Quantité restante dans la cuve
(si remplissage, valeur 
avant le plein)]]+Tableau12[[#This Row],[Remplissage / 
Quantité remise]])</f>
        <v/>
      </c>
      <c r="E138" s="208" t="str">
        <f t="shared" si="8"/>
        <v/>
      </c>
      <c r="F138" s="258" t="str">
        <f t="shared" si="9"/>
        <v/>
      </c>
      <c r="G138" s="259" t="str">
        <f t="shared" si="10"/>
        <v/>
      </c>
      <c r="H138" s="259"/>
      <c r="I138" s="215"/>
      <c r="J138" s="210" t="str">
        <f t="shared" si="11"/>
        <v>Saisie ok</v>
      </c>
    </row>
    <row r="139" spans="1:10">
      <c r="A139" s="253"/>
      <c r="B139" s="254"/>
      <c r="C139" s="254"/>
      <c r="D139" s="452" t="str">
        <f>IF(Tableau12[[#This Row],[Quantité restante dans la cuve
(si remplissage, valeur 
avant le plein)]]&lt;=0,"",Tableau12[[#This Row],[Quantité restante dans la cuve
(si remplissage, valeur 
avant le plein)]]+Tableau12[[#This Row],[Remplissage / 
Quantité remise]])</f>
        <v/>
      </c>
      <c r="E139" s="208" t="str">
        <f t="shared" si="8"/>
        <v/>
      </c>
      <c r="F139" s="258" t="str">
        <f t="shared" si="9"/>
        <v/>
      </c>
      <c r="G139" s="259" t="str">
        <f t="shared" si="10"/>
        <v/>
      </c>
      <c r="H139" s="259"/>
      <c r="I139" s="215"/>
      <c r="J139" s="210" t="str">
        <f t="shared" si="11"/>
        <v>Saisie ok</v>
      </c>
    </row>
    <row r="140" spans="1:10">
      <c r="A140" s="253"/>
      <c r="B140" s="254"/>
      <c r="C140" s="254"/>
      <c r="D140" s="452" t="str">
        <f>IF(Tableau12[[#This Row],[Quantité restante dans la cuve
(si remplissage, valeur 
avant le plein)]]&lt;=0,"",Tableau12[[#This Row],[Quantité restante dans la cuve
(si remplissage, valeur 
avant le plein)]]+Tableau12[[#This Row],[Remplissage / 
Quantité remise]])</f>
        <v/>
      </c>
      <c r="E140" s="208" t="str">
        <f t="shared" si="8"/>
        <v/>
      </c>
      <c r="F140" s="258" t="str">
        <f t="shared" si="9"/>
        <v/>
      </c>
      <c r="G140" s="259" t="str">
        <f t="shared" si="10"/>
        <v/>
      </c>
      <c r="H140" s="259"/>
      <c r="I140" s="215"/>
      <c r="J140" s="210" t="str">
        <f t="shared" si="11"/>
        <v>Saisie ok</v>
      </c>
    </row>
    <row r="141" spans="1:10">
      <c r="A141" s="253"/>
      <c r="B141" s="254"/>
      <c r="C141" s="254"/>
      <c r="D141" s="452" t="str">
        <f>IF(Tableau12[[#This Row],[Quantité restante dans la cuve
(si remplissage, valeur 
avant le plein)]]&lt;=0,"",Tableau12[[#This Row],[Quantité restante dans la cuve
(si remplissage, valeur 
avant le plein)]]+Tableau12[[#This Row],[Remplissage / 
Quantité remise]])</f>
        <v/>
      </c>
      <c r="E141" s="208" t="str">
        <f t="shared" si="8"/>
        <v/>
      </c>
      <c r="F141" s="258" t="str">
        <f t="shared" si="9"/>
        <v/>
      </c>
      <c r="G141" s="259" t="str">
        <f t="shared" si="10"/>
        <v/>
      </c>
      <c r="H141" s="259"/>
      <c r="I141" s="215"/>
      <c r="J141" s="210" t="str">
        <f t="shared" si="11"/>
        <v>Saisie ok</v>
      </c>
    </row>
    <row r="142" spans="1:10">
      <c r="A142" s="253"/>
      <c r="B142" s="254"/>
      <c r="C142" s="254"/>
      <c r="D142" s="452" t="str">
        <f>IF(Tableau12[[#This Row],[Quantité restante dans la cuve
(si remplissage, valeur 
avant le plein)]]&lt;=0,"",Tableau12[[#This Row],[Quantité restante dans la cuve
(si remplissage, valeur 
avant le plein)]]+Tableau12[[#This Row],[Remplissage / 
Quantité remise]])</f>
        <v/>
      </c>
      <c r="E142" s="208" t="str">
        <f t="shared" si="8"/>
        <v/>
      </c>
      <c r="F142" s="258" t="str">
        <f t="shared" si="9"/>
        <v/>
      </c>
      <c r="G142" s="259" t="str">
        <f t="shared" si="10"/>
        <v/>
      </c>
      <c r="H142" s="259"/>
      <c r="I142" s="215"/>
      <c r="J142" s="210" t="str">
        <f t="shared" si="11"/>
        <v>Saisie ok</v>
      </c>
    </row>
    <row r="143" spans="1:10">
      <c r="A143" s="253"/>
      <c r="B143" s="254"/>
      <c r="C143" s="254"/>
      <c r="D143" s="452" t="str">
        <f>IF(Tableau12[[#This Row],[Quantité restante dans la cuve
(si remplissage, valeur 
avant le plein)]]&lt;=0,"",Tableau12[[#This Row],[Quantité restante dans la cuve
(si remplissage, valeur 
avant le plein)]]+Tableau12[[#This Row],[Remplissage / 
Quantité remise]])</f>
        <v/>
      </c>
      <c r="E143" s="208" t="str">
        <f t="shared" si="8"/>
        <v/>
      </c>
      <c r="F143" s="258" t="str">
        <f t="shared" si="9"/>
        <v/>
      </c>
      <c r="G143" s="259" t="str">
        <f t="shared" si="10"/>
        <v/>
      </c>
      <c r="H143" s="259"/>
      <c r="I143" s="215"/>
      <c r="J143" s="210" t="str">
        <f t="shared" si="11"/>
        <v>Saisie ok</v>
      </c>
    </row>
    <row r="144" spans="1:10">
      <c r="A144" s="253"/>
      <c r="B144" s="254"/>
      <c r="C144" s="254"/>
      <c r="D144" s="452" t="str">
        <f>IF(Tableau12[[#This Row],[Quantité restante dans la cuve
(si remplissage, valeur 
avant le plein)]]&lt;=0,"",Tableau12[[#This Row],[Quantité restante dans la cuve
(si remplissage, valeur 
avant le plein)]]+Tableau12[[#This Row],[Remplissage / 
Quantité remise]])</f>
        <v/>
      </c>
      <c r="E144" s="208" t="str">
        <f t="shared" si="8"/>
        <v/>
      </c>
      <c r="F144" s="258" t="str">
        <f t="shared" si="9"/>
        <v/>
      </c>
      <c r="G144" s="259" t="str">
        <f t="shared" si="10"/>
        <v/>
      </c>
      <c r="H144" s="259"/>
      <c r="I144" s="215"/>
      <c r="J144" s="210" t="str">
        <f t="shared" si="11"/>
        <v>Saisie ok</v>
      </c>
    </row>
    <row r="145" spans="1:10">
      <c r="A145" s="253"/>
      <c r="B145" s="254"/>
      <c r="C145" s="254"/>
      <c r="D145" s="452" t="str">
        <f>IF(Tableau12[[#This Row],[Quantité restante dans la cuve
(si remplissage, valeur 
avant le plein)]]&lt;=0,"",Tableau12[[#This Row],[Quantité restante dans la cuve
(si remplissage, valeur 
avant le plein)]]+Tableau12[[#This Row],[Remplissage / 
Quantité remise]])</f>
        <v/>
      </c>
      <c r="E145" s="208" t="str">
        <f t="shared" si="8"/>
        <v/>
      </c>
      <c r="F145" s="258" t="str">
        <f t="shared" si="9"/>
        <v/>
      </c>
      <c r="G145" s="259" t="str">
        <f t="shared" si="10"/>
        <v/>
      </c>
      <c r="H145" s="259"/>
      <c r="I145" s="215"/>
      <c r="J145" s="210" t="str">
        <f t="shared" si="11"/>
        <v>Saisie ok</v>
      </c>
    </row>
    <row r="146" spans="1:10">
      <c r="A146" s="253"/>
      <c r="B146" s="254"/>
      <c r="C146" s="254"/>
      <c r="D146" s="452" t="str">
        <f>IF(Tableau12[[#This Row],[Quantité restante dans la cuve
(si remplissage, valeur 
avant le plein)]]&lt;=0,"",Tableau12[[#This Row],[Quantité restante dans la cuve
(si remplissage, valeur 
avant le plein)]]+Tableau12[[#This Row],[Remplissage / 
Quantité remise]])</f>
        <v/>
      </c>
      <c r="E146" s="208" t="str">
        <f t="shared" si="8"/>
        <v/>
      </c>
      <c r="F146" s="258" t="str">
        <f t="shared" si="9"/>
        <v/>
      </c>
      <c r="G146" s="259" t="str">
        <f t="shared" si="10"/>
        <v/>
      </c>
      <c r="H146" s="259"/>
      <c r="I146" s="215"/>
      <c r="J146" s="210" t="str">
        <f t="shared" si="11"/>
        <v>Saisie ok</v>
      </c>
    </row>
    <row r="147" spans="1:10">
      <c r="A147" s="253"/>
      <c r="B147" s="254"/>
      <c r="C147" s="254"/>
      <c r="D147" s="452" t="str">
        <f>IF(Tableau12[[#This Row],[Quantité restante dans la cuve
(si remplissage, valeur 
avant le plein)]]&lt;=0,"",Tableau12[[#This Row],[Quantité restante dans la cuve
(si remplissage, valeur 
avant le plein)]]+Tableau12[[#This Row],[Remplissage / 
Quantité remise]])</f>
        <v/>
      </c>
      <c r="E147" s="208" t="str">
        <f t="shared" si="8"/>
        <v/>
      </c>
      <c r="F147" s="258" t="str">
        <f t="shared" si="9"/>
        <v/>
      </c>
      <c r="G147" s="259" t="str">
        <f t="shared" si="10"/>
        <v/>
      </c>
      <c r="H147" s="259"/>
      <c r="I147" s="215"/>
      <c r="J147" s="210" t="str">
        <f t="shared" si="11"/>
        <v>Saisie ok</v>
      </c>
    </row>
    <row r="148" spans="1:10">
      <c r="A148" s="253"/>
      <c r="B148" s="254"/>
      <c r="C148" s="254"/>
      <c r="D148" s="452" t="str">
        <f>IF(Tableau12[[#This Row],[Quantité restante dans la cuve
(si remplissage, valeur 
avant le plein)]]&lt;=0,"",Tableau12[[#This Row],[Quantité restante dans la cuve
(si remplissage, valeur 
avant le plein)]]+Tableau12[[#This Row],[Remplissage / 
Quantité remise]])</f>
        <v/>
      </c>
      <c r="E148" s="208" t="str">
        <f t="shared" si="8"/>
        <v/>
      </c>
      <c r="F148" s="258" t="str">
        <f t="shared" si="9"/>
        <v/>
      </c>
      <c r="G148" s="259" t="str">
        <f t="shared" si="10"/>
        <v/>
      </c>
      <c r="H148" s="259"/>
      <c r="I148" s="215"/>
      <c r="J148" s="210" t="str">
        <f t="shared" si="11"/>
        <v>Saisie ok</v>
      </c>
    </row>
    <row r="149" spans="1:10">
      <c r="A149" s="253"/>
      <c r="B149" s="254"/>
      <c r="C149" s="254"/>
      <c r="D149" s="452" t="str">
        <f>IF(Tableau12[[#This Row],[Quantité restante dans la cuve
(si remplissage, valeur 
avant le plein)]]&lt;=0,"",Tableau12[[#This Row],[Quantité restante dans la cuve
(si remplissage, valeur 
avant le plein)]]+Tableau12[[#This Row],[Remplissage / 
Quantité remise]])</f>
        <v/>
      </c>
      <c r="E149" s="208" t="str">
        <f t="shared" si="8"/>
        <v/>
      </c>
      <c r="F149" s="258" t="str">
        <f t="shared" si="9"/>
        <v/>
      </c>
      <c r="G149" s="259" t="str">
        <f t="shared" si="10"/>
        <v/>
      </c>
      <c r="H149" s="259"/>
      <c r="I149" s="215"/>
      <c r="J149" s="210" t="str">
        <f t="shared" si="11"/>
        <v>Saisie ok</v>
      </c>
    </row>
    <row r="150" spans="1:10">
      <c r="A150" s="253"/>
      <c r="B150" s="254"/>
      <c r="C150" s="254"/>
      <c r="D150" s="452" t="str">
        <f>IF(Tableau12[[#This Row],[Quantité restante dans la cuve
(si remplissage, valeur 
avant le plein)]]&lt;=0,"",Tableau12[[#This Row],[Quantité restante dans la cuve
(si remplissage, valeur 
avant le plein)]]+Tableau12[[#This Row],[Remplissage / 
Quantité remise]])</f>
        <v/>
      </c>
      <c r="E150" s="208" t="str">
        <f t="shared" si="8"/>
        <v/>
      </c>
      <c r="F150" s="258" t="str">
        <f t="shared" si="9"/>
        <v/>
      </c>
      <c r="G150" s="259" t="str">
        <f t="shared" si="10"/>
        <v/>
      </c>
      <c r="H150" s="259"/>
      <c r="I150" s="215"/>
      <c r="J150" s="210" t="str">
        <f t="shared" si="11"/>
        <v>Saisie ok</v>
      </c>
    </row>
    <row r="151" spans="1:10">
      <c r="A151" s="253"/>
      <c r="B151" s="254"/>
      <c r="C151" s="254"/>
      <c r="D151" s="452" t="str">
        <f>IF(Tableau12[[#This Row],[Quantité restante dans la cuve
(si remplissage, valeur 
avant le plein)]]&lt;=0,"",Tableau12[[#This Row],[Quantité restante dans la cuve
(si remplissage, valeur 
avant le plein)]]+Tableau12[[#This Row],[Remplissage / 
Quantité remise]])</f>
        <v/>
      </c>
      <c r="E151" s="208" t="str">
        <f t="shared" si="8"/>
        <v/>
      </c>
      <c r="F151" s="258" t="str">
        <f t="shared" si="9"/>
        <v/>
      </c>
      <c r="G151" s="259" t="str">
        <f t="shared" si="10"/>
        <v/>
      </c>
      <c r="H151" s="259"/>
      <c r="I151" s="215"/>
      <c r="J151" s="210" t="str">
        <f t="shared" si="11"/>
        <v>Saisie ok</v>
      </c>
    </row>
    <row r="152" spans="1:10">
      <c r="A152" s="253"/>
      <c r="B152" s="254"/>
      <c r="C152" s="254"/>
      <c r="D152" s="452" t="str">
        <f>IF(Tableau12[[#This Row],[Quantité restante dans la cuve
(si remplissage, valeur 
avant le plein)]]&lt;=0,"",Tableau12[[#This Row],[Quantité restante dans la cuve
(si remplissage, valeur 
avant le plein)]]+Tableau12[[#This Row],[Remplissage / 
Quantité remise]])</f>
        <v/>
      </c>
      <c r="E152" s="208" t="str">
        <f t="shared" si="8"/>
        <v/>
      </c>
      <c r="F152" s="258" t="str">
        <f t="shared" si="9"/>
        <v/>
      </c>
      <c r="G152" s="259" t="str">
        <f t="shared" si="10"/>
        <v/>
      </c>
      <c r="H152" s="259"/>
      <c r="I152" s="215"/>
      <c r="J152" s="210" t="str">
        <f t="shared" si="11"/>
        <v>Saisie ok</v>
      </c>
    </row>
    <row r="153" spans="1:10">
      <c r="A153" s="253"/>
      <c r="B153" s="254"/>
      <c r="C153" s="254"/>
      <c r="D153" s="452" t="str">
        <f>IF(Tableau12[[#This Row],[Quantité restante dans la cuve
(si remplissage, valeur 
avant le plein)]]&lt;=0,"",Tableau12[[#This Row],[Quantité restante dans la cuve
(si remplissage, valeur 
avant le plein)]]+Tableau12[[#This Row],[Remplissage / 
Quantité remise]])</f>
        <v/>
      </c>
      <c r="E153" s="208" t="str">
        <f t="shared" si="8"/>
        <v/>
      </c>
      <c r="F153" s="258" t="str">
        <f t="shared" si="9"/>
        <v/>
      </c>
      <c r="G153" s="259" t="str">
        <f t="shared" si="10"/>
        <v/>
      </c>
      <c r="H153" s="259"/>
      <c r="I153" s="215"/>
      <c r="J153" s="210" t="str">
        <f t="shared" si="11"/>
        <v>Saisie ok</v>
      </c>
    </row>
    <row r="154" spans="1:10">
      <c r="A154" s="253"/>
      <c r="B154" s="254"/>
      <c r="C154" s="254"/>
      <c r="D154" s="452" t="str">
        <f>IF(Tableau12[[#This Row],[Quantité restante dans la cuve
(si remplissage, valeur 
avant le plein)]]&lt;=0,"",Tableau12[[#This Row],[Quantité restante dans la cuve
(si remplissage, valeur 
avant le plein)]]+Tableau12[[#This Row],[Remplissage / 
Quantité remise]])</f>
        <v/>
      </c>
      <c r="E154" s="208" t="str">
        <f t="shared" si="8"/>
        <v/>
      </c>
      <c r="F154" s="258" t="str">
        <f t="shared" si="9"/>
        <v/>
      </c>
      <c r="G154" s="259" t="str">
        <f t="shared" si="10"/>
        <v/>
      </c>
      <c r="H154" s="259"/>
      <c r="I154" s="215"/>
      <c r="J154" s="210" t="str">
        <f t="shared" si="11"/>
        <v>Saisie ok</v>
      </c>
    </row>
    <row r="155" spans="1:10">
      <c r="A155" s="253"/>
      <c r="B155" s="254"/>
      <c r="C155" s="254"/>
      <c r="D155" s="452" t="str">
        <f>IF(Tableau12[[#This Row],[Quantité restante dans la cuve
(si remplissage, valeur 
avant le plein)]]&lt;=0,"",Tableau12[[#This Row],[Quantité restante dans la cuve
(si remplissage, valeur 
avant le plein)]]+Tableau12[[#This Row],[Remplissage / 
Quantité remise]])</f>
        <v/>
      </c>
      <c r="E155" s="208" t="str">
        <f t="shared" si="8"/>
        <v/>
      </c>
      <c r="F155" s="258" t="str">
        <f t="shared" si="9"/>
        <v/>
      </c>
      <c r="G155" s="259" t="str">
        <f t="shared" si="10"/>
        <v/>
      </c>
      <c r="H155" s="259"/>
      <c r="I155" s="215"/>
      <c r="J155" s="210" t="str">
        <f t="shared" si="11"/>
        <v>Saisie ok</v>
      </c>
    </row>
    <row r="156" spans="1:10">
      <c r="A156" s="253"/>
      <c r="B156" s="254"/>
      <c r="C156" s="254"/>
      <c r="D156" s="452" t="str">
        <f>IF(Tableau12[[#This Row],[Quantité restante dans la cuve
(si remplissage, valeur 
avant le plein)]]&lt;=0,"",Tableau12[[#This Row],[Quantité restante dans la cuve
(si remplissage, valeur 
avant le plein)]]+Tableau12[[#This Row],[Remplissage / 
Quantité remise]])</f>
        <v/>
      </c>
      <c r="E156" s="208" t="str">
        <f t="shared" si="8"/>
        <v/>
      </c>
      <c r="F156" s="258" t="str">
        <f t="shared" si="9"/>
        <v/>
      </c>
      <c r="G156" s="259" t="str">
        <f t="shared" si="10"/>
        <v/>
      </c>
      <c r="H156" s="259"/>
      <c r="I156" s="215"/>
      <c r="J156" s="210" t="str">
        <f t="shared" si="11"/>
        <v>Saisie ok</v>
      </c>
    </row>
    <row r="157" spans="1:10">
      <c r="A157" s="253"/>
      <c r="B157" s="254"/>
      <c r="C157" s="254"/>
      <c r="D157" s="452" t="str">
        <f>IF(Tableau12[[#This Row],[Quantité restante dans la cuve
(si remplissage, valeur 
avant le plein)]]&lt;=0,"",Tableau12[[#This Row],[Quantité restante dans la cuve
(si remplissage, valeur 
avant le plein)]]+Tableau12[[#This Row],[Remplissage / 
Quantité remise]])</f>
        <v/>
      </c>
      <c r="E157" s="208" t="str">
        <f t="shared" si="8"/>
        <v/>
      </c>
      <c r="F157" s="258" t="str">
        <f t="shared" si="9"/>
        <v/>
      </c>
      <c r="G157" s="259" t="str">
        <f t="shared" si="10"/>
        <v/>
      </c>
      <c r="H157" s="259"/>
      <c r="I157" s="215"/>
      <c r="J157" s="210" t="str">
        <f t="shared" si="11"/>
        <v>Saisie ok</v>
      </c>
    </row>
    <row r="158" spans="1:10">
      <c r="A158" s="253"/>
      <c r="B158" s="254"/>
      <c r="C158" s="254"/>
      <c r="D158" s="452" t="str">
        <f>IF(Tableau12[[#This Row],[Quantité restante dans la cuve
(si remplissage, valeur 
avant le plein)]]&lt;=0,"",Tableau12[[#This Row],[Quantité restante dans la cuve
(si remplissage, valeur 
avant le plein)]]+Tableau12[[#This Row],[Remplissage / 
Quantité remise]])</f>
        <v/>
      </c>
      <c r="E158" s="208" t="str">
        <f t="shared" si="8"/>
        <v/>
      </c>
      <c r="F158" s="258" t="str">
        <f t="shared" si="9"/>
        <v/>
      </c>
      <c r="G158" s="259" t="str">
        <f t="shared" si="10"/>
        <v/>
      </c>
      <c r="H158" s="259"/>
      <c r="I158" s="215"/>
      <c r="J158" s="210" t="str">
        <f t="shared" si="11"/>
        <v>Saisie ok</v>
      </c>
    </row>
    <row r="159" spans="1:10">
      <c r="A159" s="253"/>
      <c r="B159" s="254"/>
      <c r="C159" s="254"/>
      <c r="D159" s="452" t="str">
        <f>IF(Tableau12[[#This Row],[Quantité restante dans la cuve
(si remplissage, valeur 
avant le plein)]]&lt;=0,"",Tableau12[[#This Row],[Quantité restante dans la cuve
(si remplissage, valeur 
avant le plein)]]+Tableau12[[#This Row],[Remplissage / 
Quantité remise]])</f>
        <v/>
      </c>
      <c r="E159" s="208" t="str">
        <f t="shared" si="8"/>
        <v/>
      </c>
      <c r="F159" s="258" t="str">
        <f t="shared" si="9"/>
        <v/>
      </c>
      <c r="G159" s="259" t="str">
        <f t="shared" si="10"/>
        <v/>
      </c>
      <c r="H159" s="259"/>
      <c r="I159" s="215"/>
      <c r="J159" s="210" t="str">
        <f t="shared" si="11"/>
        <v>Saisie ok</v>
      </c>
    </row>
    <row r="160" spans="1:10">
      <c r="A160" s="253"/>
      <c r="B160" s="254"/>
      <c r="C160" s="254"/>
      <c r="D160" s="452" t="str">
        <f>IF(Tableau12[[#This Row],[Quantité restante dans la cuve
(si remplissage, valeur 
avant le plein)]]&lt;=0,"",Tableau12[[#This Row],[Quantité restante dans la cuve
(si remplissage, valeur 
avant le plein)]]+Tableau12[[#This Row],[Remplissage / 
Quantité remise]])</f>
        <v/>
      </c>
      <c r="E160" s="208" t="str">
        <f t="shared" si="8"/>
        <v/>
      </c>
      <c r="F160" s="258" t="str">
        <f t="shared" si="9"/>
        <v/>
      </c>
      <c r="G160" s="259" t="str">
        <f t="shared" si="10"/>
        <v/>
      </c>
      <c r="H160" s="259"/>
      <c r="I160" s="215"/>
      <c r="J160" s="210" t="str">
        <f t="shared" si="11"/>
        <v>Saisie ok</v>
      </c>
    </row>
    <row r="161" spans="1:10">
      <c r="A161" s="253"/>
      <c r="B161" s="254"/>
      <c r="C161" s="254"/>
      <c r="D161" s="452" t="str">
        <f>IF(Tableau12[[#This Row],[Quantité restante dans la cuve
(si remplissage, valeur 
avant le plein)]]&lt;=0,"",Tableau12[[#This Row],[Quantité restante dans la cuve
(si remplissage, valeur 
avant le plein)]]+Tableau12[[#This Row],[Remplissage / 
Quantité remise]])</f>
        <v/>
      </c>
      <c r="E161" s="208" t="str">
        <f t="shared" si="8"/>
        <v/>
      </c>
      <c r="F161" s="258" t="str">
        <f t="shared" si="9"/>
        <v/>
      </c>
      <c r="G161" s="259" t="str">
        <f t="shared" si="10"/>
        <v/>
      </c>
      <c r="H161" s="259"/>
      <c r="I161" s="215"/>
      <c r="J161" s="210" t="str">
        <f t="shared" si="11"/>
        <v>Saisie ok</v>
      </c>
    </row>
    <row r="162" spans="1:10">
      <c r="A162" s="253"/>
      <c r="B162" s="254"/>
      <c r="C162" s="254"/>
      <c r="D162" s="452" t="str">
        <f>IF(Tableau12[[#This Row],[Quantité restante dans la cuve
(si remplissage, valeur 
avant le plein)]]&lt;=0,"",Tableau12[[#This Row],[Quantité restante dans la cuve
(si remplissage, valeur 
avant le plein)]]+Tableau12[[#This Row],[Remplissage / 
Quantité remise]])</f>
        <v/>
      </c>
      <c r="E162" s="208" t="str">
        <f t="shared" si="8"/>
        <v/>
      </c>
      <c r="F162" s="258" t="str">
        <f t="shared" si="9"/>
        <v/>
      </c>
      <c r="G162" s="259" t="str">
        <f t="shared" si="10"/>
        <v/>
      </c>
      <c r="H162" s="259"/>
      <c r="I162" s="215"/>
      <c r="J162" s="210" t="str">
        <f t="shared" si="11"/>
        <v>Saisie ok</v>
      </c>
    </row>
    <row r="163" spans="1:10">
      <c r="A163" s="253"/>
      <c r="B163" s="254"/>
      <c r="C163" s="254"/>
      <c r="D163" s="452" t="str">
        <f>IF(Tableau12[[#This Row],[Quantité restante dans la cuve
(si remplissage, valeur 
avant le plein)]]&lt;=0,"",Tableau12[[#This Row],[Quantité restante dans la cuve
(si remplissage, valeur 
avant le plein)]]+Tableau12[[#This Row],[Remplissage / 
Quantité remise]])</f>
        <v/>
      </c>
      <c r="E163" s="208" t="str">
        <f t="shared" si="8"/>
        <v/>
      </c>
      <c r="F163" s="258" t="str">
        <f t="shared" si="9"/>
        <v/>
      </c>
      <c r="G163" s="259" t="str">
        <f t="shared" si="10"/>
        <v/>
      </c>
      <c r="H163" s="259"/>
      <c r="I163" s="215"/>
      <c r="J163" s="210" t="str">
        <f t="shared" si="11"/>
        <v>Saisie ok</v>
      </c>
    </row>
    <row r="164" spans="1:10">
      <c r="A164" s="253"/>
      <c r="B164" s="254"/>
      <c r="C164" s="254"/>
      <c r="D164" s="452" t="str">
        <f>IF(Tableau12[[#This Row],[Quantité restante dans la cuve
(si remplissage, valeur 
avant le plein)]]&lt;=0,"",Tableau12[[#This Row],[Quantité restante dans la cuve
(si remplissage, valeur 
avant le plein)]]+Tableau12[[#This Row],[Remplissage / 
Quantité remise]])</f>
        <v/>
      </c>
      <c r="E164" s="208" t="str">
        <f t="shared" si="8"/>
        <v/>
      </c>
      <c r="F164" s="258" t="str">
        <f t="shared" si="9"/>
        <v/>
      </c>
      <c r="G164" s="259" t="str">
        <f t="shared" si="10"/>
        <v/>
      </c>
      <c r="H164" s="259"/>
      <c r="I164" s="215"/>
      <c r="J164" s="210" t="str">
        <f t="shared" si="11"/>
        <v>Saisie ok</v>
      </c>
    </row>
    <row r="165" spans="1:10">
      <c r="A165" s="253"/>
      <c r="B165" s="254"/>
      <c r="C165" s="254"/>
      <c r="D165" s="452" t="str">
        <f>IF(Tableau12[[#This Row],[Quantité restante dans la cuve
(si remplissage, valeur 
avant le plein)]]&lt;=0,"",Tableau12[[#This Row],[Quantité restante dans la cuve
(si remplissage, valeur 
avant le plein)]]+Tableau12[[#This Row],[Remplissage / 
Quantité remise]])</f>
        <v/>
      </c>
      <c r="E165" s="208" t="str">
        <f t="shared" si="8"/>
        <v/>
      </c>
      <c r="F165" s="258" t="str">
        <f t="shared" si="9"/>
        <v/>
      </c>
      <c r="G165" s="259" t="str">
        <f t="shared" si="10"/>
        <v/>
      </c>
      <c r="H165" s="259"/>
      <c r="I165" s="215"/>
      <c r="J165" s="210" t="str">
        <f t="shared" si="11"/>
        <v>Saisie ok</v>
      </c>
    </row>
    <row r="166" spans="1:10">
      <c r="A166" s="253"/>
      <c r="B166" s="254"/>
      <c r="C166" s="254"/>
      <c r="D166" s="452" t="str">
        <f>IF(Tableau12[[#This Row],[Quantité restante dans la cuve
(si remplissage, valeur 
avant le plein)]]&lt;=0,"",Tableau12[[#This Row],[Quantité restante dans la cuve
(si remplissage, valeur 
avant le plein)]]+Tableau12[[#This Row],[Remplissage / 
Quantité remise]])</f>
        <v/>
      </c>
      <c r="E166" s="208" t="str">
        <f t="shared" si="8"/>
        <v/>
      </c>
      <c r="F166" s="258" t="str">
        <f t="shared" si="9"/>
        <v/>
      </c>
      <c r="G166" s="259" t="str">
        <f t="shared" si="10"/>
        <v/>
      </c>
      <c r="H166" s="259"/>
      <c r="I166" s="215"/>
      <c r="J166" s="210" t="str">
        <f t="shared" si="11"/>
        <v>Saisie ok</v>
      </c>
    </row>
    <row r="167" spans="1:10">
      <c r="A167" s="253"/>
      <c r="B167" s="254"/>
      <c r="C167" s="254"/>
      <c r="D167" s="452" t="str">
        <f>IF(Tableau12[[#This Row],[Quantité restante dans la cuve
(si remplissage, valeur 
avant le plein)]]&lt;=0,"",Tableau12[[#This Row],[Quantité restante dans la cuve
(si remplissage, valeur 
avant le plein)]]+Tableau12[[#This Row],[Remplissage / 
Quantité remise]])</f>
        <v/>
      </c>
      <c r="E167" s="208" t="str">
        <f t="shared" si="8"/>
        <v/>
      </c>
      <c r="F167" s="258" t="str">
        <f t="shared" si="9"/>
        <v/>
      </c>
      <c r="G167" s="259" t="str">
        <f t="shared" si="10"/>
        <v/>
      </c>
      <c r="H167" s="259"/>
      <c r="I167" s="215"/>
      <c r="J167" s="210" t="str">
        <f t="shared" si="11"/>
        <v>Saisie ok</v>
      </c>
    </row>
    <row r="168" spans="1:10">
      <c r="A168" s="253"/>
      <c r="B168" s="254"/>
      <c r="C168" s="254"/>
      <c r="D168" s="452" t="str">
        <f>IF(Tableau12[[#This Row],[Quantité restante dans la cuve
(si remplissage, valeur 
avant le plein)]]&lt;=0,"",Tableau12[[#This Row],[Quantité restante dans la cuve
(si remplissage, valeur 
avant le plein)]]+Tableau12[[#This Row],[Remplissage / 
Quantité remise]])</f>
        <v/>
      </c>
      <c r="E168" s="208" t="str">
        <f t="shared" si="8"/>
        <v/>
      </c>
      <c r="F168" s="258" t="str">
        <f t="shared" si="9"/>
        <v/>
      </c>
      <c r="G168" s="259" t="str">
        <f t="shared" si="10"/>
        <v/>
      </c>
      <c r="H168" s="259"/>
      <c r="I168" s="215"/>
      <c r="J168" s="210" t="str">
        <f t="shared" si="11"/>
        <v>Saisie ok</v>
      </c>
    </row>
    <row r="169" spans="1:10">
      <c r="A169" s="253"/>
      <c r="B169" s="254"/>
      <c r="C169" s="254"/>
      <c r="D169" s="452" t="str">
        <f>IF(Tableau12[[#This Row],[Quantité restante dans la cuve
(si remplissage, valeur 
avant le plein)]]&lt;=0,"",Tableau12[[#This Row],[Quantité restante dans la cuve
(si remplissage, valeur 
avant le plein)]]+Tableau12[[#This Row],[Remplissage / 
Quantité remise]])</f>
        <v/>
      </c>
      <c r="E169" s="208" t="str">
        <f t="shared" si="8"/>
        <v/>
      </c>
      <c r="F169" s="258" t="str">
        <f t="shared" si="9"/>
        <v/>
      </c>
      <c r="G169" s="259" t="str">
        <f t="shared" si="10"/>
        <v/>
      </c>
      <c r="H169" s="259"/>
      <c r="I169" s="398"/>
      <c r="J169" s="210" t="str">
        <f t="shared" si="11"/>
        <v>Saisie ok</v>
      </c>
    </row>
    <row r="170" spans="1:10">
      <c r="A170" s="253"/>
      <c r="B170" s="254"/>
      <c r="C170" s="254"/>
      <c r="D170" s="452" t="str">
        <f>IF(Tableau12[[#This Row],[Quantité restante dans la cuve
(si remplissage, valeur 
avant le plein)]]&lt;=0,"",Tableau12[[#This Row],[Quantité restante dans la cuve
(si remplissage, valeur 
avant le plein)]]+Tableau12[[#This Row],[Remplissage / 
Quantité remise]])</f>
        <v/>
      </c>
      <c r="E170" s="208" t="str">
        <f t="shared" si="8"/>
        <v/>
      </c>
      <c r="F170" s="258" t="str">
        <f t="shared" si="9"/>
        <v/>
      </c>
      <c r="G170" s="259" t="str">
        <f t="shared" si="10"/>
        <v/>
      </c>
      <c r="H170" s="259"/>
      <c r="I170" s="215"/>
      <c r="J170" s="210" t="str">
        <f t="shared" si="11"/>
        <v>Saisie ok</v>
      </c>
    </row>
    <row r="171" spans="1:10">
      <c r="A171" s="253"/>
      <c r="B171" s="254"/>
      <c r="C171" s="254"/>
      <c r="D171" s="452" t="str">
        <f>IF(Tableau12[[#This Row],[Quantité restante dans la cuve
(si remplissage, valeur 
avant le plein)]]&lt;=0,"",Tableau12[[#This Row],[Quantité restante dans la cuve
(si remplissage, valeur 
avant le plein)]]+Tableau12[[#This Row],[Remplissage / 
Quantité remise]])</f>
        <v/>
      </c>
      <c r="E171" s="208" t="str">
        <f t="shared" si="8"/>
        <v/>
      </c>
      <c r="F171" s="258" t="str">
        <f t="shared" si="9"/>
        <v/>
      </c>
      <c r="G171" s="259" t="str">
        <f t="shared" si="10"/>
        <v/>
      </c>
      <c r="H171" s="259"/>
      <c r="I171" s="215"/>
      <c r="J171" s="210" t="str">
        <f t="shared" si="11"/>
        <v>Saisie ok</v>
      </c>
    </row>
    <row r="172" spans="1:10">
      <c r="A172" s="253"/>
      <c r="B172" s="254"/>
      <c r="C172" s="254"/>
      <c r="D172" s="452" t="str">
        <f>IF(Tableau12[[#This Row],[Quantité restante dans la cuve
(si remplissage, valeur 
avant le plein)]]&lt;=0,"",Tableau12[[#This Row],[Quantité restante dans la cuve
(si remplissage, valeur 
avant le plein)]]+Tableau12[[#This Row],[Remplissage / 
Quantité remise]])</f>
        <v/>
      </c>
      <c r="E172" s="208" t="str">
        <f t="shared" si="8"/>
        <v/>
      </c>
      <c r="F172" s="258" t="str">
        <f t="shared" si="9"/>
        <v/>
      </c>
      <c r="G172" s="259" t="str">
        <f t="shared" si="10"/>
        <v/>
      </c>
      <c r="H172" s="259"/>
      <c r="I172" s="215"/>
      <c r="J172" s="210" t="str">
        <f t="shared" si="11"/>
        <v>Saisie ok</v>
      </c>
    </row>
    <row r="173" spans="1:10">
      <c r="A173" s="253"/>
      <c r="B173" s="254"/>
      <c r="C173" s="254"/>
      <c r="D173" s="452" t="str">
        <f>IF(Tableau12[[#This Row],[Quantité restante dans la cuve
(si remplissage, valeur 
avant le plein)]]&lt;=0,"",Tableau12[[#This Row],[Quantité restante dans la cuve
(si remplissage, valeur 
avant le plein)]]+Tableau12[[#This Row],[Remplissage / 
Quantité remise]])</f>
        <v/>
      </c>
      <c r="E173" s="208" t="str">
        <f t="shared" si="8"/>
        <v/>
      </c>
      <c r="F173" s="258" t="str">
        <f t="shared" si="9"/>
        <v/>
      </c>
      <c r="G173" s="259" t="str">
        <f t="shared" si="10"/>
        <v/>
      </c>
      <c r="H173" s="259"/>
      <c r="I173" s="215"/>
      <c r="J173" s="210" t="str">
        <f t="shared" si="11"/>
        <v>Saisie ok</v>
      </c>
    </row>
    <row r="174" spans="1:10">
      <c r="A174" s="253"/>
      <c r="B174" s="254"/>
      <c r="C174" s="254"/>
      <c r="D174" s="452" t="str">
        <f>IF(Tableau12[[#This Row],[Quantité restante dans la cuve
(si remplissage, valeur 
avant le plein)]]&lt;=0,"",Tableau12[[#This Row],[Quantité restante dans la cuve
(si remplissage, valeur 
avant le plein)]]+Tableau12[[#This Row],[Remplissage / 
Quantité remise]])</f>
        <v/>
      </c>
      <c r="E174" s="208" t="str">
        <f t="shared" si="8"/>
        <v/>
      </c>
      <c r="F174" s="258" t="str">
        <f t="shared" si="9"/>
        <v/>
      </c>
      <c r="G174" s="259" t="str">
        <f t="shared" si="10"/>
        <v/>
      </c>
      <c r="H174" s="259"/>
      <c r="I174" s="215"/>
      <c r="J174" s="210" t="str">
        <f t="shared" si="11"/>
        <v>Saisie ok</v>
      </c>
    </row>
    <row r="175" spans="1:10">
      <c r="A175" s="253"/>
      <c r="B175" s="254"/>
      <c r="C175" s="254"/>
      <c r="D175" s="452" t="str">
        <f>IF(Tableau12[[#This Row],[Quantité restante dans la cuve
(si remplissage, valeur 
avant le plein)]]&lt;=0,"",Tableau12[[#This Row],[Quantité restante dans la cuve
(si remplissage, valeur 
avant le plein)]]+Tableau12[[#This Row],[Remplissage / 
Quantité remise]])</f>
        <v/>
      </c>
      <c r="E175" s="208" t="str">
        <f t="shared" si="8"/>
        <v/>
      </c>
      <c r="F175" s="258" t="str">
        <f t="shared" si="9"/>
        <v/>
      </c>
      <c r="G175" s="259" t="str">
        <f t="shared" si="10"/>
        <v/>
      </c>
      <c r="H175" s="259"/>
      <c r="I175" s="215"/>
      <c r="J175" s="210" t="str">
        <f t="shared" si="11"/>
        <v>Saisie ok</v>
      </c>
    </row>
    <row r="176" spans="1:10">
      <c r="A176" s="253"/>
      <c r="B176" s="254"/>
      <c r="C176" s="254"/>
      <c r="D176" s="452" t="str">
        <f>IF(Tableau12[[#This Row],[Quantité restante dans la cuve
(si remplissage, valeur 
avant le plein)]]&lt;=0,"",Tableau12[[#This Row],[Quantité restante dans la cuve
(si remplissage, valeur 
avant le plein)]]+Tableau12[[#This Row],[Remplissage / 
Quantité remise]])</f>
        <v/>
      </c>
      <c r="E176" s="208" t="str">
        <f t="shared" si="8"/>
        <v/>
      </c>
      <c r="F176" s="258" t="str">
        <f t="shared" si="9"/>
        <v/>
      </c>
      <c r="G176" s="259" t="str">
        <f t="shared" si="10"/>
        <v/>
      </c>
      <c r="H176" s="259"/>
      <c r="I176" s="215"/>
      <c r="J176" s="210" t="str">
        <f t="shared" si="11"/>
        <v>Saisie ok</v>
      </c>
    </row>
    <row r="177" spans="1:10">
      <c r="A177" s="253"/>
      <c r="B177" s="254"/>
      <c r="C177" s="254"/>
      <c r="D177" s="452" t="str">
        <f>IF(Tableau12[[#This Row],[Quantité restante dans la cuve
(si remplissage, valeur 
avant le plein)]]&lt;=0,"",Tableau12[[#This Row],[Quantité restante dans la cuve
(si remplissage, valeur 
avant le plein)]]+Tableau12[[#This Row],[Remplissage / 
Quantité remise]])</f>
        <v/>
      </c>
      <c r="E177" s="208" t="str">
        <f t="shared" si="8"/>
        <v/>
      </c>
      <c r="F177" s="258" t="str">
        <f t="shared" si="9"/>
        <v/>
      </c>
      <c r="G177" s="259" t="str">
        <f t="shared" si="10"/>
        <v/>
      </c>
      <c r="H177" s="259"/>
      <c r="I177" s="215"/>
      <c r="J177" s="210" t="str">
        <f t="shared" si="11"/>
        <v>Saisie ok</v>
      </c>
    </row>
    <row r="178" spans="1:10">
      <c r="A178" s="253"/>
      <c r="B178" s="254"/>
      <c r="C178" s="254"/>
      <c r="D178" s="452" t="str">
        <f>IF(Tableau12[[#This Row],[Quantité restante dans la cuve
(si remplissage, valeur 
avant le plein)]]&lt;=0,"",Tableau12[[#This Row],[Quantité restante dans la cuve
(si remplissage, valeur 
avant le plein)]]+Tableau12[[#This Row],[Remplissage / 
Quantité remise]])</f>
        <v/>
      </c>
      <c r="E178" s="208" t="str">
        <f t="shared" si="8"/>
        <v/>
      </c>
      <c r="F178" s="258" t="str">
        <f t="shared" si="9"/>
        <v/>
      </c>
      <c r="G178" s="259" t="str">
        <f t="shared" si="10"/>
        <v/>
      </c>
      <c r="H178" s="259"/>
      <c r="I178" s="215"/>
      <c r="J178" s="210" t="str">
        <f t="shared" si="11"/>
        <v>Saisie ok</v>
      </c>
    </row>
    <row r="179" spans="1:10">
      <c r="A179" s="253"/>
      <c r="B179" s="254"/>
      <c r="C179" s="254"/>
      <c r="D179" s="452" t="str">
        <f>IF(Tableau12[[#This Row],[Quantité restante dans la cuve
(si remplissage, valeur 
avant le plein)]]&lt;=0,"",Tableau12[[#This Row],[Quantité restante dans la cuve
(si remplissage, valeur 
avant le plein)]]+Tableau12[[#This Row],[Remplissage / 
Quantité remise]])</f>
        <v/>
      </c>
      <c r="E179" s="208" t="str">
        <f t="shared" si="8"/>
        <v/>
      </c>
      <c r="F179" s="258" t="str">
        <f t="shared" si="9"/>
        <v/>
      </c>
      <c r="G179" s="259" t="str">
        <f t="shared" si="10"/>
        <v/>
      </c>
      <c r="H179" s="259"/>
      <c r="I179" s="215"/>
      <c r="J179" s="210" t="str">
        <f t="shared" si="11"/>
        <v>Saisie ok</v>
      </c>
    </row>
    <row r="180" spans="1:10">
      <c r="A180" s="253"/>
      <c r="B180" s="254"/>
      <c r="C180" s="254"/>
      <c r="D180" s="452" t="str">
        <f>IF(Tableau12[[#This Row],[Quantité restante dans la cuve
(si remplissage, valeur 
avant le plein)]]&lt;=0,"",Tableau12[[#This Row],[Quantité restante dans la cuve
(si remplissage, valeur 
avant le plein)]]+Tableau12[[#This Row],[Remplissage / 
Quantité remise]])</f>
        <v/>
      </c>
      <c r="E180" s="208" t="str">
        <f t="shared" si="8"/>
        <v/>
      </c>
      <c r="F180" s="258" t="str">
        <f t="shared" si="9"/>
        <v/>
      </c>
      <c r="G180" s="259" t="str">
        <f t="shared" si="10"/>
        <v/>
      </c>
      <c r="H180" s="259"/>
      <c r="I180" s="215"/>
      <c r="J180" s="210" t="str">
        <f t="shared" si="11"/>
        <v>Saisie ok</v>
      </c>
    </row>
    <row r="181" spans="1:10">
      <c r="A181" s="253"/>
      <c r="B181" s="254"/>
      <c r="C181" s="254"/>
      <c r="D181" s="452" t="str">
        <f>IF(Tableau12[[#This Row],[Quantité restante dans la cuve
(si remplissage, valeur 
avant le plein)]]&lt;=0,"",Tableau12[[#This Row],[Quantité restante dans la cuve
(si remplissage, valeur 
avant le plein)]]+Tableau12[[#This Row],[Remplissage / 
Quantité remise]])</f>
        <v/>
      </c>
      <c r="E181" s="208" t="str">
        <f t="shared" si="8"/>
        <v/>
      </c>
      <c r="F181" s="258" t="str">
        <f t="shared" si="9"/>
        <v/>
      </c>
      <c r="G181" s="259" t="str">
        <f t="shared" si="10"/>
        <v/>
      </c>
      <c r="H181" s="259"/>
      <c r="I181" s="215"/>
      <c r="J181" s="210" t="str">
        <f t="shared" si="11"/>
        <v>Saisie ok</v>
      </c>
    </row>
    <row r="182" spans="1:10">
      <c r="A182" s="253"/>
      <c r="B182" s="254"/>
      <c r="C182" s="254"/>
      <c r="D182" s="452" t="str">
        <f>IF(Tableau12[[#This Row],[Quantité restante dans la cuve
(si remplissage, valeur 
avant le plein)]]&lt;=0,"",Tableau12[[#This Row],[Quantité restante dans la cuve
(si remplissage, valeur 
avant le plein)]]+Tableau12[[#This Row],[Remplissage / 
Quantité remise]])</f>
        <v/>
      </c>
      <c r="E182" s="208" t="str">
        <f t="shared" si="8"/>
        <v/>
      </c>
      <c r="F182" s="258" t="str">
        <f t="shared" si="9"/>
        <v/>
      </c>
      <c r="G182" s="259" t="str">
        <f t="shared" si="10"/>
        <v/>
      </c>
      <c r="H182" s="259"/>
      <c r="I182" s="215"/>
      <c r="J182" s="210" t="str">
        <f t="shared" si="11"/>
        <v>Saisie ok</v>
      </c>
    </row>
    <row r="183" spans="1:10">
      <c r="A183" s="253"/>
      <c r="B183" s="254"/>
      <c r="C183" s="254"/>
      <c r="D183" s="452" t="str">
        <f>IF(Tableau12[[#This Row],[Quantité restante dans la cuve
(si remplissage, valeur 
avant le plein)]]&lt;=0,"",Tableau12[[#This Row],[Quantité restante dans la cuve
(si remplissage, valeur 
avant le plein)]]+Tableau12[[#This Row],[Remplissage / 
Quantité remise]])</f>
        <v/>
      </c>
      <c r="E183" s="208" t="str">
        <f t="shared" si="8"/>
        <v/>
      </c>
      <c r="F183" s="258" t="str">
        <f t="shared" si="9"/>
        <v/>
      </c>
      <c r="G183" s="259" t="str">
        <f t="shared" si="10"/>
        <v/>
      </c>
      <c r="H183" s="259"/>
      <c r="I183" s="215"/>
      <c r="J183" s="210" t="str">
        <f t="shared" si="11"/>
        <v>Saisie ok</v>
      </c>
    </row>
    <row r="184" spans="1:10">
      <c r="A184" s="253"/>
      <c r="B184" s="254"/>
      <c r="C184" s="254"/>
      <c r="D184" s="452" t="str">
        <f>IF(Tableau12[[#This Row],[Quantité restante dans la cuve
(si remplissage, valeur 
avant le plein)]]&lt;=0,"",Tableau12[[#This Row],[Quantité restante dans la cuve
(si remplissage, valeur 
avant le plein)]]+Tableau12[[#This Row],[Remplissage / 
Quantité remise]])</f>
        <v/>
      </c>
      <c r="E184" s="208" t="str">
        <f t="shared" si="8"/>
        <v/>
      </c>
      <c r="F184" s="258" t="str">
        <f t="shared" si="9"/>
        <v/>
      </c>
      <c r="G184" s="259" t="str">
        <f t="shared" si="10"/>
        <v/>
      </c>
      <c r="H184" s="259"/>
      <c r="I184" s="215"/>
      <c r="J184" s="210" t="str">
        <f t="shared" si="11"/>
        <v>Saisie ok</v>
      </c>
    </row>
    <row r="185" spans="1:10">
      <c r="A185" s="253"/>
      <c r="B185" s="254"/>
      <c r="C185" s="254"/>
      <c r="D185" s="452" t="str">
        <f>IF(Tableau12[[#This Row],[Quantité restante dans la cuve
(si remplissage, valeur 
avant le plein)]]&lt;=0,"",Tableau12[[#This Row],[Quantité restante dans la cuve
(si remplissage, valeur 
avant le plein)]]+Tableau12[[#This Row],[Remplissage / 
Quantité remise]])</f>
        <v/>
      </c>
      <c r="E185" s="208" t="str">
        <f t="shared" si="8"/>
        <v/>
      </c>
      <c r="F185" s="258" t="str">
        <f t="shared" si="9"/>
        <v/>
      </c>
      <c r="G185" s="259" t="str">
        <f t="shared" si="10"/>
        <v/>
      </c>
      <c r="H185" s="259"/>
      <c r="I185" s="215"/>
      <c r="J185" s="210" t="str">
        <f t="shared" si="11"/>
        <v>Saisie ok</v>
      </c>
    </row>
    <row r="186" spans="1:10">
      <c r="A186" s="253"/>
      <c r="B186" s="254"/>
      <c r="C186" s="254"/>
      <c r="D186" s="452" t="str">
        <f>IF(Tableau12[[#This Row],[Quantité restante dans la cuve
(si remplissage, valeur 
avant le plein)]]&lt;=0,"",Tableau12[[#This Row],[Quantité restante dans la cuve
(si remplissage, valeur 
avant le plein)]]+Tableau12[[#This Row],[Remplissage / 
Quantité remise]])</f>
        <v/>
      </c>
      <c r="E186" s="208" t="str">
        <f t="shared" si="8"/>
        <v/>
      </c>
      <c r="F186" s="258" t="str">
        <f t="shared" si="9"/>
        <v/>
      </c>
      <c r="G186" s="259" t="str">
        <f t="shared" si="10"/>
        <v/>
      </c>
      <c r="H186" s="259"/>
      <c r="I186" s="215"/>
      <c r="J186" s="210" t="str">
        <f t="shared" si="11"/>
        <v>Saisie ok</v>
      </c>
    </row>
    <row r="187" spans="1:10">
      <c r="A187" s="253"/>
      <c r="B187" s="254"/>
      <c r="C187" s="254"/>
      <c r="D187" s="452" t="str">
        <f>IF(Tableau12[[#This Row],[Quantité restante dans la cuve
(si remplissage, valeur 
avant le plein)]]&lt;=0,"",Tableau12[[#This Row],[Quantité restante dans la cuve
(si remplissage, valeur 
avant le plein)]]+Tableau12[[#This Row],[Remplissage / 
Quantité remise]])</f>
        <v/>
      </c>
      <c r="E187" s="208" t="str">
        <f t="shared" si="8"/>
        <v/>
      </c>
      <c r="F187" s="258" t="str">
        <f t="shared" si="9"/>
        <v/>
      </c>
      <c r="G187" s="259" t="str">
        <f t="shared" si="10"/>
        <v/>
      </c>
      <c r="H187" s="259"/>
      <c r="I187" s="215"/>
      <c r="J187" s="210" t="str">
        <f t="shared" si="11"/>
        <v>Saisie ok</v>
      </c>
    </row>
    <row r="188" spans="1:10">
      <c r="A188" s="253"/>
      <c r="B188" s="254"/>
      <c r="C188" s="254"/>
      <c r="D188" s="452" t="str">
        <f>IF(Tableau12[[#This Row],[Quantité restante dans la cuve
(si remplissage, valeur 
avant le plein)]]&lt;=0,"",Tableau12[[#This Row],[Quantité restante dans la cuve
(si remplissage, valeur 
avant le plein)]]+Tableau12[[#This Row],[Remplissage / 
Quantité remise]])</f>
        <v/>
      </c>
      <c r="E188" s="208" t="str">
        <f t="shared" si="8"/>
        <v/>
      </c>
      <c r="F188" s="258" t="str">
        <f t="shared" si="9"/>
        <v/>
      </c>
      <c r="G188" s="259" t="str">
        <f t="shared" si="10"/>
        <v/>
      </c>
      <c r="H188" s="259"/>
      <c r="I188" s="215"/>
      <c r="J188" s="210" t="str">
        <f t="shared" si="11"/>
        <v>Saisie ok</v>
      </c>
    </row>
    <row r="189" spans="1:10">
      <c r="A189" s="253"/>
      <c r="B189" s="254"/>
      <c r="C189" s="254"/>
      <c r="D189" s="452" t="str">
        <f>IF(Tableau12[[#This Row],[Quantité restante dans la cuve
(si remplissage, valeur 
avant le plein)]]&lt;=0,"",Tableau12[[#This Row],[Quantité restante dans la cuve
(si remplissage, valeur 
avant le plein)]]+Tableau12[[#This Row],[Remplissage / 
Quantité remise]])</f>
        <v/>
      </c>
      <c r="E189" s="208" t="str">
        <f t="shared" si="8"/>
        <v/>
      </c>
      <c r="F189" s="258" t="str">
        <f t="shared" si="9"/>
        <v/>
      </c>
      <c r="G189" s="259" t="str">
        <f t="shared" si="10"/>
        <v/>
      </c>
      <c r="H189" s="259"/>
      <c r="I189" s="215"/>
      <c r="J189" s="210" t="str">
        <f t="shared" si="11"/>
        <v>Saisie ok</v>
      </c>
    </row>
    <row r="190" spans="1:10">
      <c r="A190" s="253"/>
      <c r="B190" s="254"/>
      <c r="C190" s="254"/>
      <c r="D190" s="452" t="str">
        <f>IF(Tableau12[[#This Row],[Quantité restante dans la cuve
(si remplissage, valeur 
avant le plein)]]&lt;=0,"",Tableau12[[#This Row],[Quantité restante dans la cuve
(si remplissage, valeur 
avant le plein)]]+Tableau12[[#This Row],[Remplissage / 
Quantité remise]])</f>
        <v/>
      </c>
      <c r="E190" s="208" t="str">
        <f t="shared" si="8"/>
        <v/>
      </c>
      <c r="F190" s="258" t="str">
        <f t="shared" si="9"/>
        <v/>
      </c>
      <c r="G190" s="259" t="str">
        <f t="shared" si="10"/>
        <v/>
      </c>
      <c r="H190" s="259"/>
      <c r="I190" s="215"/>
      <c r="J190" s="210" t="str">
        <f t="shared" si="11"/>
        <v>Saisie ok</v>
      </c>
    </row>
    <row r="191" spans="1:10">
      <c r="A191" s="253"/>
      <c r="B191" s="254"/>
      <c r="C191" s="254"/>
      <c r="D191" s="452" t="str">
        <f>IF(Tableau12[[#This Row],[Quantité restante dans la cuve
(si remplissage, valeur 
avant le plein)]]&lt;=0,"",Tableau12[[#This Row],[Quantité restante dans la cuve
(si remplissage, valeur 
avant le plein)]]+Tableau12[[#This Row],[Remplissage / 
Quantité remise]])</f>
        <v/>
      </c>
      <c r="E191" s="208" t="str">
        <f t="shared" si="8"/>
        <v/>
      </c>
      <c r="F191" s="258" t="str">
        <f t="shared" si="9"/>
        <v/>
      </c>
      <c r="G191" s="259" t="str">
        <f t="shared" si="10"/>
        <v/>
      </c>
      <c r="H191" s="259"/>
      <c r="I191" s="215"/>
      <c r="J191" s="210" t="str">
        <f t="shared" si="11"/>
        <v>Saisie ok</v>
      </c>
    </row>
    <row r="192" spans="1:10">
      <c r="A192" s="253"/>
      <c r="B192" s="254"/>
      <c r="C192" s="254"/>
      <c r="D192" s="452" t="str">
        <f>IF(Tableau12[[#This Row],[Quantité restante dans la cuve
(si remplissage, valeur 
avant le plein)]]&lt;=0,"",Tableau12[[#This Row],[Quantité restante dans la cuve
(si remplissage, valeur 
avant le plein)]]+Tableau12[[#This Row],[Remplissage / 
Quantité remise]])</f>
        <v/>
      </c>
      <c r="E192" s="208" t="str">
        <f t="shared" si="8"/>
        <v/>
      </c>
      <c r="F192" s="258" t="str">
        <f t="shared" si="9"/>
        <v/>
      </c>
      <c r="G192" s="259" t="str">
        <f t="shared" si="10"/>
        <v/>
      </c>
      <c r="H192" s="259"/>
      <c r="I192" s="215"/>
      <c r="J192" s="210" t="str">
        <f t="shared" si="11"/>
        <v>Saisie ok</v>
      </c>
    </row>
    <row r="193" spans="1:10">
      <c r="A193" s="253"/>
      <c r="B193" s="254"/>
      <c r="C193" s="254"/>
      <c r="D193" s="452" t="str">
        <f>IF(Tableau12[[#This Row],[Quantité restante dans la cuve
(si remplissage, valeur 
avant le plein)]]&lt;=0,"",Tableau12[[#This Row],[Quantité restante dans la cuve
(si remplissage, valeur 
avant le plein)]]+Tableau12[[#This Row],[Remplissage / 
Quantité remise]])</f>
        <v/>
      </c>
      <c r="E193" s="208" t="str">
        <f t="shared" si="8"/>
        <v/>
      </c>
      <c r="F193" s="258" t="str">
        <f t="shared" si="9"/>
        <v/>
      </c>
      <c r="G193" s="259" t="str">
        <f t="shared" si="10"/>
        <v/>
      </c>
      <c r="H193" s="259"/>
      <c r="I193" s="215"/>
      <c r="J193" s="210" t="str">
        <f t="shared" si="11"/>
        <v>Saisie ok</v>
      </c>
    </row>
    <row r="194" spans="1:10">
      <c r="A194" s="253"/>
      <c r="B194" s="254"/>
      <c r="C194" s="254"/>
      <c r="D194" s="452" t="str">
        <f>IF(Tableau12[[#This Row],[Quantité restante dans la cuve
(si remplissage, valeur 
avant le plein)]]&lt;=0,"",Tableau12[[#This Row],[Quantité restante dans la cuve
(si remplissage, valeur 
avant le plein)]]+Tableau12[[#This Row],[Remplissage / 
Quantité remise]])</f>
        <v/>
      </c>
      <c r="E194" s="208" t="str">
        <f t="shared" si="8"/>
        <v/>
      </c>
      <c r="F194" s="258" t="str">
        <f t="shared" si="9"/>
        <v/>
      </c>
      <c r="G194" s="259" t="str">
        <f t="shared" si="10"/>
        <v/>
      </c>
      <c r="H194" s="259"/>
      <c r="I194" s="215"/>
      <c r="J194" s="210" t="str">
        <f t="shared" si="11"/>
        <v>Saisie ok</v>
      </c>
    </row>
    <row r="195" spans="1:10">
      <c r="A195" s="253"/>
      <c r="B195" s="254"/>
      <c r="C195" s="254"/>
      <c r="D195" s="452" t="str">
        <f>IF(Tableau12[[#This Row],[Quantité restante dans la cuve
(si remplissage, valeur 
avant le plein)]]&lt;=0,"",Tableau12[[#This Row],[Quantité restante dans la cuve
(si remplissage, valeur 
avant le plein)]]+Tableau12[[#This Row],[Remplissage / 
Quantité remise]])</f>
        <v/>
      </c>
      <c r="E195" s="208" t="str">
        <f t="shared" si="8"/>
        <v/>
      </c>
      <c r="F195" s="258" t="str">
        <f t="shared" si="9"/>
        <v/>
      </c>
      <c r="G195" s="259" t="str">
        <f t="shared" si="10"/>
        <v/>
      </c>
      <c r="H195" s="259"/>
      <c r="I195" s="215"/>
      <c r="J195" s="210" t="str">
        <f t="shared" si="11"/>
        <v>Saisie ok</v>
      </c>
    </row>
    <row r="196" spans="1:10">
      <c r="A196" s="253"/>
      <c r="B196" s="254"/>
      <c r="C196" s="254"/>
      <c r="D196" s="452" t="str">
        <f>IF(Tableau12[[#This Row],[Quantité restante dans la cuve
(si remplissage, valeur 
avant le plein)]]&lt;=0,"",Tableau12[[#This Row],[Quantité restante dans la cuve
(si remplissage, valeur 
avant le plein)]]+Tableau12[[#This Row],[Remplissage / 
Quantité remise]])</f>
        <v/>
      </c>
      <c r="E196" s="208" t="str">
        <f t="shared" ref="E196:E238" si="12">IFERROR(G196/(A196-A195),"")</f>
        <v/>
      </c>
      <c r="F196" s="258" t="str">
        <f t="shared" ref="F196:F238" si="13">IF(A196="","",A196)</f>
        <v/>
      </c>
      <c r="G196" s="259" t="str">
        <f t="shared" ref="G196:G238" si="14">IF(B196&lt;=0,"",D195-B196)</f>
        <v/>
      </c>
      <c r="H196" s="259"/>
      <c r="I196" s="215"/>
      <c r="J196" s="210" t="str">
        <f t="shared" ref="J196:J238" si="15">IF(C195&lt;=0,IF(B196&gt;B195,"Erreur saisie","Saisie ok"),"Saisie ok, plein fait")</f>
        <v>Saisie ok</v>
      </c>
    </row>
    <row r="197" spans="1:10">
      <c r="A197" s="253"/>
      <c r="B197" s="254"/>
      <c r="C197" s="254"/>
      <c r="D197" s="452" t="str">
        <f>IF(Tableau12[[#This Row],[Quantité restante dans la cuve
(si remplissage, valeur 
avant le plein)]]&lt;=0,"",Tableau12[[#This Row],[Quantité restante dans la cuve
(si remplissage, valeur 
avant le plein)]]+Tableau12[[#This Row],[Remplissage / 
Quantité remise]])</f>
        <v/>
      </c>
      <c r="E197" s="208" t="str">
        <f t="shared" si="12"/>
        <v/>
      </c>
      <c r="F197" s="258" t="str">
        <f t="shared" si="13"/>
        <v/>
      </c>
      <c r="G197" s="259" t="str">
        <f t="shared" si="14"/>
        <v/>
      </c>
      <c r="H197" s="259"/>
      <c r="I197" s="215"/>
      <c r="J197" s="210" t="str">
        <f t="shared" si="15"/>
        <v>Saisie ok</v>
      </c>
    </row>
    <row r="198" spans="1:10">
      <c r="A198" s="253"/>
      <c r="B198" s="254"/>
      <c r="C198" s="254"/>
      <c r="D198" s="452" t="str">
        <f>IF(Tableau12[[#This Row],[Quantité restante dans la cuve
(si remplissage, valeur 
avant le plein)]]&lt;=0,"",Tableau12[[#This Row],[Quantité restante dans la cuve
(si remplissage, valeur 
avant le plein)]]+Tableau12[[#This Row],[Remplissage / 
Quantité remise]])</f>
        <v/>
      </c>
      <c r="E198" s="208" t="str">
        <f t="shared" si="12"/>
        <v/>
      </c>
      <c r="F198" s="258" t="str">
        <f t="shared" si="13"/>
        <v/>
      </c>
      <c r="G198" s="259" t="str">
        <f t="shared" si="14"/>
        <v/>
      </c>
      <c r="H198" s="259"/>
      <c r="I198" s="215"/>
      <c r="J198" s="210" t="str">
        <f t="shared" si="15"/>
        <v>Saisie ok</v>
      </c>
    </row>
    <row r="199" spans="1:10">
      <c r="A199" s="253"/>
      <c r="B199" s="254"/>
      <c r="C199" s="254"/>
      <c r="D199" s="452" t="str">
        <f>IF(Tableau12[[#This Row],[Quantité restante dans la cuve
(si remplissage, valeur 
avant le plein)]]&lt;=0,"",Tableau12[[#This Row],[Quantité restante dans la cuve
(si remplissage, valeur 
avant le plein)]]+Tableau12[[#This Row],[Remplissage / 
Quantité remise]])</f>
        <v/>
      </c>
      <c r="E199" s="208" t="str">
        <f t="shared" si="12"/>
        <v/>
      </c>
      <c r="F199" s="258" t="str">
        <f t="shared" si="13"/>
        <v/>
      </c>
      <c r="G199" s="259" t="str">
        <f t="shared" si="14"/>
        <v/>
      </c>
      <c r="H199" s="259"/>
      <c r="I199" s="215"/>
      <c r="J199" s="210" t="str">
        <f t="shared" si="15"/>
        <v>Saisie ok</v>
      </c>
    </row>
    <row r="200" spans="1:10">
      <c r="A200" s="253"/>
      <c r="B200" s="254"/>
      <c r="C200" s="254"/>
      <c r="D200" s="452" t="str">
        <f>IF(Tableau12[[#This Row],[Quantité restante dans la cuve
(si remplissage, valeur 
avant le plein)]]&lt;=0,"",Tableau12[[#This Row],[Quantité restante dans la cuve
(si remplissage, valeur 
avant le plein)]]+Tableau12[[#This Row],[Remplissage / 
Quantité remise]])</f>
        <v/>
      </c>
      <c r="E200" s="208" t="str">
        <f t="shared" si="12"/>
        <v/>
      </c>
      <c r="F200" s="258" t="str">
        <f t="shared" si="13"/>
        <v/>
      </c>
      <c r="G200" s="259" t="str">
        <f t="shared" si="14"/>
        <v/>
      </c>
      <c r="H200" s="259"/>
      <c r="I200" s="215"/>
      <c r="J200" s="210" t="str">
        <f t="shared" si="15"/>
        <v>Saisie ok</v>
      </c>
    </row>
    <row r="201" spans="1:10">
      <c r="A201" s="253"/>
      <c r="B201" s="254"/>
      <c r="C201" s="254"/>
      <c r="D201" s="452" t="str">
        <f>IF(Tableau12[[#This Row],[Quantité restante dans la cuve
(si remplissage, valeur 
avant le plein)]]&lt;=0,"",Tableau12[[#This Row],[Quantité restante dans la cuve
(si remplissage, valeur 
avant le plein)]]+Tableau12[[#This Row],[Remplissage / 
Quantité remise]])</f>
        <v/>
      </c>
      <c r="E201" s="208" t="str">
        <f t="shared" si="12"/>
        <v/>
      </c>
      <c r="F201" s="258" t="str">
        <f t="shared" si="13"/>
        <v/>
      </c>
      <c r="G201" s="259" t="str">
        <f t="shared" si="14"/>
        <v/>
      </c>
      <c r="H201" s="259"/>
      <c r="I201" s="215"/>
      <c r="J201" s="210" t="str">
        <f t="shared" si="15"/>
        <v>Saisie ok</v>
      </c>
    </row>
    <row r="202" spans="1:10">
      <c r="A202" s="253"/>
      <c r="B202" s="254"/>
      <c r="C202" s="254"/>
      <c r="D202" s="452" t="str">
        <f>IF(Tableau12[[#This Row],[Quantité restante dans la cuve
(si remplissage, valeur 
avant le plein)]]&lt;=0,"",Tableau12[[#This Row],[Quantité restante dans la cuve
(si remplissage, valeur 
avant le plein)]]+Tableau12[[#This Row],[Remplissage / 
Quantité remise]])</f>
        <v/>
      </c>
      <c r="E202" s="208" t="str">
        <f t="shared" si="12"/>
        <v/>
      </c>
      <c r="F202" s="258" t="str">
        <f t="shared" si="13"/>
        <v/>
      </c>
      <c r="G202" s="259" t="str">
        <f t="shared" si="14"/>
        <v/>
      </c>
      <c r="H202" s="259"/>
      <c r="I202" s="215"/>
      <c r="J202" s="210" t="str">
        <f t="shared" si="15"/>
        <v>Saisie ok</v>
      </c>
    </row>
    <row r="203" spans="1:10">
      <c r="A203" s="253"/>
      <c r="B203" s="254"/>
      <c r="C203" s="254"/>
      <c r="D203" s="452" t="str">
        <f>IF(Tableau12[[#This Row],[Quantité restante dans la cuve
(si remplissage, valeur 
avant le plein)]]&lt;=0,"",Tableau12[[#This Row],[Quantité restante dans la cuve
(si remplissage, valeur 
avant le plein)]]+Tableau12[[#This Row],[Remplissage / 
Quantité remise]])</f>
        <v/>
      </c>
      <c r="E203" s="208" t="str">
        <f t="shared" si="12"/>
        <v/>
      </c>
      <c r="F203" s="258" t="str">
        <f t="shared" si="13"/>
        <v/>
      </c>
      <c r="G203" s="259" t="str">
        <f t="shared" si="14"/>
        <v/>
      </c>
      <c r="H203" s="259"/>
      <c r="I203" s="215"/>
      <c r="J203" s="210" t="str">
        <f t="shared" si="15"/>
        <v>Saisie ok</v>
      </c>
    </row>
    <row r="204" spans="1:10">
      <c r="A204" s="253"/>
      <c r="B204" s="254"/>
      <c r="C204" s="254"/>
      <c r="D204" s="452" t="str">
        <f>IF(Tableau12[[#This Row],[Quantité restante dans la cuve
(si remplissage, valeur 
avant le plein)]]&lt;=0,"",Tableau12[[#This Row],[Quantité restante dans la cuve
(si remplissage, valeur 
avant le plein)]]+Tableau12[[#This Row],[Remplissage / 
Quantité remise]])</f>
        <v/>
      </c>
      <c r="E204" s="208" t="str">
        <f t="shared" si="12"/>
        <v/>
      </c>
      <c r="F204" s="258" t="str">
        <f t="shared" si="13"/>
        <v/>
      </c>
      <c r="G204" s="259" t="str">
        <f t="shared" si="14"/>
        <v/>
      </c>
      <c r="H204" s="259"/>
      <c r="I204" s="215"/>
      <c r="J204" s="210" t="str">
        <f t="shared" si="15"/>
        <v>Saisie ok</v>
      </c>
    </row>
    <row r="205" spans="1:10">
      <c r="A205" s="253"/>
      <c r="B205" s="254"/>
      <c r="C205" s="254"/>
      <c r="D205" s="452" t="str">
        <f>IF(Tableau12[[#This Row],[Quantité restante dans la cuve
(si remplissage, valeur 
avant le plein)]]&lt;=0,"",Tableau12[[#This Row],[Quantité restante dans la cuve
(si remplissage, valeur 
avant le plein)]]+Tableau12[[#This Row],[Remplissage / 
Quantité remise]])</f>
        <v/>
      </c>
      <c r="E205" s="208" t="str">
        <f t="shared" si="12"/>
        <v/>
      </c>
      <c r="F205" s="258" t="str">
        <f t="shared" si="13"/>
        <v/>
      </c>
      <c r="G205" s="259" t="str">
        <f t="shared" si="14"/>
        <v/>
      </c>
      <c r="H205" s="259"/>
      <c r="I205" s="215"/>
      <c r="J205" s="210" t="str">
        <f t="shared" si="15"/>
        <v>Saisie ok</v>
      </c>
    </row>
    <row r="206" spans="1:10">
      <c r="A206" s="253"/>
      <c r="B206" s="254"/>
      <c r="C206" s="254"/>
      <c r="D206" s="452" t="str">
        <f>IF(Tableau12[[#This Row],[Quantité restante dans la cuve
(si remplissage, valeur 
avant le plein)]]&lt;=0,"",Tableau12[[#This Row],[Quantité restante dans la cuve
(si remplissage, valeur 
avant le plein)]]+Tableau12[[#This Row],[Remplissage / 
Quantité remise]])</f>
        <v/>
      </c>
      <c r="E206" s="208" t="str">
        <f t="shared" si="12"/>
        <v/>
      </c>
      <c r="F206" s="258" t="str">
        <f t="shared" si="13"/>
        <v/>
      </c>
      <c r="G206" s="259" t="str">
        <f t="shared" si="14"/>
        <v/>
      </c>
      <c r="H206" s="259"/>
      <c r="I206" s="215"/>
      <c r="J206" s="210" t="str">
        <f t="shared" si="15"/>
        <v>Saisie ok</v>
      </c>
    </row>
    <row r="207" spans="1:10">
      <c r="A207" s="253"/>
      <c r="B207" s="254"/>
      <c r="C207" s="254"/>
      <c r="D207" s="452" t="str">
        <f>IF(Tableau12[[#This Row],[Quantité restante dans la cuve
(si remplissage, valeur 
avant le plein)]]&lt;=0,"",Tableau12[[#This Row],[Quantité restante dans la cuve
(si remplissage, valeur 
avant le plein)]]+Tableau12[[#This Row],[Remplissage / 
Quantité remise]])</f>
        <v/>
      </c>
      <c r="E207" s="208" t="str">
        <f t="shared" si="12"/>
        <v/>
      </c>
      <c r="F207" s="258" t="str">
        <f t="shared" si="13"/>
        <v/>
      </c>
      <c r="G207" s="259" t="str">
        <f t="shared" si="14"/>
        <v/>
      </c>
      <c r="H207" s="259"/>
      <c r="I207" s="215"/>
      <c r="J207" s="210" t="str">
        <f t="shared" si="15"/>
        <v>Saisie ok</v>
      </c>
    </row>
    <row r="208" spans="1:10">
      <c r="A208" s="253"/>
      <c r="B208" s="254"/>
      <c r="C208" s="254"/>
      <c r="D208" s="452" t="str">
        <f>IF(Tableau12[[#This Row],[Quantité restante dans la cuve
(si remplissage, valeur 
avant le plein)]]&lt;=0,"",Tableau12[[#This Row],[Quantité restante dans la cuve
(si remplissage, valeur 
avant le plein)]]+Tableau12[[#This Row],[Remplissage / 
Quantité remise]])</f>
        <v/>
      </c>
      <c r="E208" s="208" t="str">
        <f t="shared" si="12"/>
        <v/>
      </c>
      <c r="F208" s="258" t="str">
        <f t="shared" si="13"/>
        <v/>
      </c>
      <c r="G208" s="259" t="str">
        <f t="shared" si="14"/>
        <v/>
      </c>
      <c r="H208" s="259"/>
      <c r="I208" s="215"/>
      <c r="J208" s="210" t="str">
        <f t="shared" si="15"/>
        <v>Saisie ok</v>
      </c>
    </row>
    <row r="209" spans="1:10">
      <c r="A209" s="253"/>
      <c r="B209" s="254"/>
      <c r="C209" s="254"/>
      <c r="D209" s="452" t="str">
        <f>IF(Tableau12[[#This Row],[Quantité restante dans la cuve
(si remplissage, valeur 
avant le plein)]]&lt;=0,"",Tableau12[[#This Row],[Quantité restante dans la cuve
(si remplissage, valeur 
avant le plein)]]+Tableau12[[#This Row],[Remplissage / 
Quantité remise]])</f>
        <v/>
      </c>
      <c r="E209" s="208" t="str">
        <f t="shared" si="12"/>
        <v/>
      </c>
      <c r="F209" s="258" t="str">
        <f t="shared" si="13"/>
        <v/>
      </c>
      <c r="G209" s="259" t="str">
        <f t="shared" si="14"/>
        <v/>
      </c>
      <c r="H209" s="259"/>
      <c r="I209" s="215"/>
      <c r="J209" s="210" t="str">
        <f t="shared" si="15"/>
        <v>Saisie ok</v>
      </c>
    </row>
    <row r="210" spans="1:10">
      <c r="A210" s="253"/>
      <c r="B210" s="254"/>
      <c r="C210" s="254"/>
      <c r="D210" s="452" t="str">
        <f>IF(Tableau12[[#This Row],[Quantité restante dans la cuve
(si remplissage, valeur 
avant le plein)]]&lt;=0,"",Tableau12[[#This Row],[Quantité restante dans la cuve
(si remplissage, valeur 
avant le plein)]]+Tableau12[[#This Row],[Remplissage / 
Quantité remise]])</f>
        <v/>
      </c>
      <c r="E210" s="208" t="str">
        <f t="shared" si="12"/>
        <v/>
      </c>
      <c r="F210" s="258" t="str">
        <f t="shared" si="13"/>
        <v/>
      </c>
      <c r="G210" s="259" t="str">
        <f t="shared" si="14"/>
        <v/>
      </c>
      <c r="H210" s="259"/>
      <c r="I210" s="215"/>
      <c r="J210" s="210" t="str">
        <f t="shared" si="15"/>
        <v>Saisie ok</v>
      </c>
    </row>
    <row r="211" spans="1:10">
      <c r="A211" s="253"/>
      <c r="B211" s="254"/>
      <c r="C211" s="254"/>
      <c r="D211" s="452" t="str">
        <f>IF(Tableau12[[#This Row],[Quantité restante dans la cuve
(si remplissage, valeur 
avant le plein)]]&lt;=0,"",Tableau12[[#This Row],[Quantité restante dans la cuve
(si remplissage, valeur 
avant le plein)]]+Tableau12[[#This Row],[Remplissage / 
Quantité remise]])</f>
        <v/>
      </c>
      <c r="E211" s="208" t="str">
        <f t="shared" si="12"/>
        <v/>
      </c>
      <c r="F211" s="258" t="str">
        <f t="shared" si="13"/>
        <v/>
      </c>
      <c r="G211" s="259" t="str">
        <f t="shared" si="14"/>
        <v/>
      </c>
      <c r="H211" s="259"/>
      <c r="I211" s="215"/>
      <c r="J211" s="210" t="str">
        <f t="shared" si="15"/>
        <v>Saisie ok</v>
      </c>
    </row>
    <row r="212" spans="1:10">
      <c r="A212" s="253"/>
      <c r="B212" s="254"/>
      <c r="C212" s="254"/>
      <c r="D212" s="452" t="str">
        <f>IF(Tableau12[[#This Row],[Quantité restante dans la cuve
(si remplissage, valeur 
avant le plein)]]&lt;=0,"",Tableau12[[#This Row],[Quantité restante dans la cuve
(si remplissage, valeur 
avant le plein)]]+Tableau12[[#This Row],[Remplissage / 
Quantité remise]])</f>
        <v/>
      </c>
      <c r="E212" s="208" t="str">
        <f t="shared" si="12"/>
        <v/>
      </c>
      <c r="F212" s="258" t="str">
        <f t="shared" si="13"/>
        <v/>
      </c>
      <c r="G212" s="259" t="str">
        <f t="shared" si="14"/>
        <v/>
      </c>
      <c r="H212" s="259"/>
      <c r="I212" s="215"/>
      <c r="J212" s="210" t="str">
        <f t="shared" si="15"/>
        <v>Saisie ok</v>
      </c>
    </row>
    <row r="213" spans="1:10">
      <c r="A213" s="253"/>
      <c r="B213" s="254"/>
      <c r="C213" s="254"/>
      <c r="D213" s="452" t="str">
        <f>IF(Tableau12[[#This Row],[Quantité restante dans la cuve
(si remplissage, valeur 
avant le plein)]]&lt;=0,"",Tableau12[[#This Row],[Quantité restante dans la cuve
(si remplissage, valeur 
avant le plein)]]+Tableau12[[#This Row],[Remplissage / 
Quantité remise]])</f>
        <v/>
      </c>
      <c r="E213" s="208" t="str">
        <f t="shared" si="12"/>
        <v/>
      </c>
      <c r="F213" s="258" t="str">
        <f t="shared" si="13"/>
        <v/>
      </c>
      <c r="G213" s="259" t="str">
        <f t="shared" si="14"/>
        <v/>
      </c>
      <c r="H213" s="259"/>
      <c r="I213" s="215"/>
      <c r="J213" s="210" t="str">
        <f t="shared" si="15"/>
        <v>Saisie ok</v>
      </c>
    </row>
    <row r="214" spans="1:10">
      <c r="A214" s="253"/>
      <c r="B214" s="254"/>
      <c r="C214" s="254"/>
      <c r="D214" s="452" t="str">
        <f>IF(Tableau12[[#This Row],[Quantité restante dans la cuve
(si remplissage, valeur 
avant le plein)]]&lt;=0,"",Tableau12[[#This Row],[Quantité restante dans la cuve
(si remplissage, valeur 
avant le plein)]]+Tableau12[[#This Row],[Remplissage / 
Quantité remise]])</f>
        <v/>
      </c>
      <c r="E214" s="208" t="str">
        <f t="shared" si="12"/>
        <v/>
      </c>
      <c r="F214" s="258" t="str">
        <f t="shared" si="13"/>
        <v/>
      </c>
      <c r="G214" s="259" t="str">
        <f t="shared" si="14"/>
        <v/>
      </c>
      <c r="H214" s="259"/>
      <c r="I214" s="215"/>
      <c r="J214" s="210" t="str">
        <f t="shared" si="15"/>
        <v>Saisie ok</v>
      </c>
    </row>
    <row r="215" spans="1:10">
      <c r="A215" s="253"/>
      <c r="B215" s="254"/>
      <c r="C215" s="254"/>
      <c r="D215" s="452" t="str">
        <f>IF(Tableau12[[#This Row],[Quantité restante dans la cuve
(si remplissage, valeur 
avant le plein)]]&lt;=0,"",Tableau12[[#This Row],[Quantité restante dans la cuve
(si remplissage, valeur 
avant le plein)]]+Tableau12[[#This Row],[Remplissage / 
Quantité remise]])</f>
        <v/>
      </c>
      <c r="E215" s="208" t="str">
        <f t="shared" si="12"/>
        <v/>
      </c>
      <c r="F215" s="258" t="str">
        <f t="shared" si="13"/>
        <v/>
      </c>
      <c r="G215" s="259" t="str">
        <f t="shared" si="14"/>
        <v/>
      </c>
      <c r="H215" s="259"/>
      <c r="I215" s="215"/>
      <c r="J215" s="210" t="str">
        <f t="shared" si="15"/>
        <v>Saisie ok</v>
      </c>
    </row>
    <row r="216" spans="1:10">
      <c r="A216" s="253"/>
      <c r="B216" s="254"/>
      <c r="C216" s="254"/>
      <c r="D216" s="452" t="str">
        <f>IF(Tableau12[[#This Row],[Quantité restante dans la cuve
(si remplissage, valeur 
avant le plein)]]&lt;=0,"",Tableau12[[#This Row],[Quantité restante dans la cuve
(si remplissage, valeur 
avant le plein)]]+Tableau12[[#This Row],[Remplissage / 
Quantité remise]])</f>
        <v/>
      </c>
      <c r="E216" s="208" t="str">
        <f t="shared" si="12"/>
        <v/>
      </c>
      <c r="F216" s="258" t="str">
        <f t="shared" si="13"/>
        <v/>
      </c>
      <c r="G216" s="259" t="str">
        <f t="shared" si="14"/>
        <v/>
      </c>
      <c r="H216" s="259"/>
      <c r="I216" s="215"/>
      <c r="J216" s="210" t="str">
        <f t="shared" si="15"/>
        <v>Saisie ok</v>
      </c>
    </row>
    <row r="217" spans="1:10">
      <c r="A217" s="253"/>
      <c r="B217" s="254"/>
      <c r="C217" s="254"/>
      <c r="D217" s="452" t="str">
        <f>IF(Tableau12[[#This Row],[Quantité restante dans la cuve
(si remplissage, valeur 
avant le plein)]]&lt;=0,"",Tableau12[[#This Row],[Quantité restante dans la cuve
(si remplissage, valeur 
avant le plein)]]+Tableau12[[#This Row],[Remplissage / 
Quantité remise]])</f>
        <v/>
      </c>
      <c r="E217" s="208" t="str">
        <f t="shared" si="12"/>
        <v/>
      </c>
      <c r="F217" s="258" t="str">
        <f t="shared" si="13"/>
        <v/>
      </c>
      <c r="G217" s="259" t="str">
        <f t="shared" si="14"/>
        <v/>
      </c>
      <c r="H217" s="259"/>
      <c r="I217" s="215"/>
      <c r="J217" s="210" t="str">
        <f t="shared" si="15"/>
        <v>Saisie ok</v>
      </c>
    </row>
    <row r="218" spans="1:10">
      <c r="A218" s="253"/>
      <c r="B218" s="254"/>
      <c r="C218" s="254"/>
      <c r="D218" s="452" t="str">
        <f>IF(Tableau12[[#This Row],[Quantité restante dans la cuve
(si remplissage, valeur 
avant le plein)]]&lt;=0,"",Tableau12[[#This Row],[Quantité restante dans la cuve
(si remplissage, valeur 
avant le plein)]]+Tableau12[[#This Row],[Remplissage / 
Quantité remise]])</f>
        <v/>
      </c>
      <c r="E218" s="208" t="str">
        <f t="shared" si="12"/>
        <v/>
      </c>
      <c r="F218" s="258" t="str">
        <f t="shared" si="13"/>
        <v/>
      </c>
      <c r="G218" s="259" t="str">
        <f t="shared" si="14"/>
        <v/>
      </c>
      <c r="H218" s="259"/>
      <c r="I218" s="215"/>
      <c r="J218" s="210" t="str">
        <f t="shared" si="15"/>
        <v>Saisie ok</v>
      </c>
    </row>
    <row r="219" spans="1:10">
      <c r="A219" s="253"/>
      <c r="B219" s="254"/>
      <c r="C219" s="254"/>
      <c r="D219" s="452" t="str">
        <f>IF(Tableau12[[#This Row],[Quantité restante dans la cuve
(si remplissage, valeur 
avant le plein)]]&lt;=0,"",Tableau12[[#This Row],[Quantité restante dans la cuve
(si remplissage, valeur 
avant le plein)]]+Tableau12[[#This Row],[Remplissage / 
Quantité remise]])</f>
        <v/>
      </c>
      <c r="E219" s="208" t="str">
        <f t="shared" si="12"/>
        <v/>
      </c>
      <c r="F219" s="258" t="str">
        <f t="shared" si="13"/>
        <v/>
      </c>
      <c r="G219" s="259" t="str">
        <f t="shared" si="14"/>
        <v/>
      </c>
      <c r="H219" s="259"/>
      <c r="I219" s="215"/>
      <c r="J219" s="210" t="str">
        <f t="shared" si="15"/>
        <v>Saisie ok</v>
      </c>
    </row>
    <row r="220" spans="1:10">
      <c r="A220" s="253"/>
      <c r="B220" s="254"/>
      <c r="C220" s="254"/>
      <c r="D220" s="452" t="str">
        <f>IF(Tableau12[[#This Row],[Quantité restante dans la cuve
(si remplissage, valeur 
avant le plein)]]&lt;=0,"",Tableau12[[#This Row],[Quantité restante dans la cuve
(si remplissage, valeur 
avant le plein)]]+Tableau12[[#This Row],[Remplissage / 
Quantité remise]])</f>
        <v/>
      </c>
      <c r="E220" s="208" t="str">
        <f t="shared" si="12"/>
        <v/>
      </c>
      <c r="F220" s="258" t="str">
        <f t="shared" si="13"/>
        <v/>
      </c>
      <c r="G220" s="259" t="str">
        <f t="shared" si="14"/>
        <v/>
      </c>
      <c r="H220" s="259"/>
      <c r="I220" s="215"/>
      <c r="J220" s="210" t="str">
        <f t="shared" si="15"/>
        <v>Saisie ok</v>
      </c>
    </row>
    <row r="221" spans="1:10">
      <c r="A221" s="253"/>
      <c r="B221" s="254"/>
      <c r="C221" s="254"/>
      <c r="D221" s="452" t="str">
        <f>IF(Tableau12[[#This Row],[Quantité restante dans la cuve
(si remplissage, valeur 
avant le plein)]]&lt;=0,"",Tableau12[[#This Row],[Quantité restante dans la cuve
(si remplissage, valeur 
avant le plein)]]+Tableau12[[#This Row],[Remplissage / 
Quantité remise]])</f>
        <v/>
      </c>
      <c r="E221" s="208" t="str">
        <f t="shared" si="12"/>
        <v/>
      </c>
      <c r="F221" s="258" t="str">
        <f t="shared" si="13"/>
        <v/>
      </c>
      <c r="G221" s="259" t="str">
        <f t="shared" si="14"/>
        <v/>
      </c>
      <c r="H221" s="259"/>
      <c r="I221" s="215"/>
      <c r="J221" s="210" t="str">
        <f t="shared" si="15"/>
        <v>Saisie ok</v>
      </c>
    </row>
    <row r="222" spans="1:10">
      <c r="A222" s="253"/>
      <c r="B222" s="254"/>
      <c r="C222" s="254"/>
      <c r="D222" s="452" t="str">
        <f>IF(Tableau12[[#This Row],[Quantité restante dans la cuve
(si remplissage, valeur 
avant le plein)]]&lt;=0,"",Tableau12[[#This Row],[Quantité restante dans la cuve
(si remplissage, valeur 
avant le plein)]]+Tableau12[[#This Row],[Remplissage / 
Quantité remise]])</f>
        <v/>
      </c>
      <c r="E222" s="208" t="str">
        <f t="shared" si="12"/>
        <v/>
      </c>
      <c r="F222" s="258" t="str">
        <f t="shared" si="13"/>
        <v/>
      </c>
      <c r="G222" s="259" t="str">
        <f t="shared" si="14"/>
        <v/>
      </c>
      <c r="H222" s="259"/>
      <c r="I222" s="215"/>
      <c r="J222" s="210" t="str">
        <f t="shared" si="15"/>
        <v>Saisie ok</v>
      </c>
    </row>
    <row r="223" spans="1:10">
      <c r="A223" s="253"/>
      <c r="B223" s="254"/>
      <c r="C223" s="254"/>
      <c r="D223" s="452" t="str">
        <f>IF(Tableau12[[#This Row],[Quantité restante dans la cuve
(si remplissage, valeur 
avant le plein)]]&lt;=0,"",Tableau12[[#This Row],[Quantité restante dans la cuve
(si remplissage, valeur 
avant le plein)]]+Tableau12[[#This Row],[Remplissage / 
Quantité remise]])</f>
        <v/>
      </c>
      <c r="E223" s="208" t="str">
        <f t="shared" si="12"/>
        <v/>
      </c>
      <c r="F223" s="258" t="str">
        <f t="shared" si="13"/>
        <v/>
      </c>
      <c r="G223" s="259" t="str">
        <f t="shared" si="14"/>
        <v/>
      </c>
      <c r="H223" s="259"/>
      <c r="I223" s="215"/>
      <c r="J223" s="210" t="str">
        <f t="shared" si="15"/>
        <v>Saisie ok</v>
      </c>
    </row>
    <row r="224" spans="1:10">
      <c r="A224" s="253"/>
      <c r="B224" s="254"/>
      <c r="C224" s="254"/>
      <c r="D224" s="452" t="str">
        <f>IF(Tableau12[[#This Row],[Quantité restante dans la cuve
(si remplissage, valeur 
avant le plein)]]&lt;=0,"",Tableau12[[#This Row],[Quantité restante dans la cuve
(si remplissage, valeur 
avant le plein)]]+Tableau12[[#This Row],[Remplissage / 
Quantité remise]])</f>
        <v/>
      </c>
      <c r="E224" s="208" t="str">
        <f t="shared" si="12"/>
        <v/>
      </c>
      <c r="F224" s="258" t="str">
        <f t="shared" si="13"/>
        <v/>
      </c>
      <c r="G224" s="259" t="str">
        <f t="shared" si="14"/>
        <v/>
      </c>
      <c r="H224" s="259"/>
      <c r="I224" s="215"/>
      <c r="J224" s="210" t="str">
        <f t="shared" si="15"/>
        <v>Saisie ok</v>
      </c>
    </row>
    <row r="225" spans="1:10">
      <c r="A225" s="253"/>
      <c r="B225" s="254"/>
      <c r="C225" s="254"/>
      <c r="D225" s="452" t="str">
        <f>IF(Tableau12[[#This Row],[Quantité restante dans la cuve
(si remplissage, valeur 
avant le plein)]]&lt;=0,"",Tableau12[[#This Row],[Quantité restante dans la cuve
(si remplissage, valeur 
avant le plein)]]+Tableau12[[#This Row],[Remplissage / 
Quantité remise]])</f>
        <v/>
      </c>
      <c r="E225" s="208" t="str">
        <f t="shared" si="12"/>
        <v/>
      </c>
      <c r="F225" s="258" t="str">
        <f t="shared" si="13"/>
        <v/>
      </c>
      <c r="G225" s="259" t="str">
        <f t="shared" si="14"/>
        <v/>
      </c>
      <c r="H225" s="259"/>
      <c r="I225" s="215"/>
      <c r="J225" s="210" t="str">
        <f t="shared" si="15"/>
        <v>Saisie ok</v>
      </c>
    </row>
    <row r="226" spans="1:10">
      <c r="A226" s="253"/>
      <c r="B226" s="254"/>
      <c r="C226" s="254"/>
      <c r="D226" s="452" t="str">
        <f>IF(Tableau12[[#This Row],[Quantité restante dans la cuve
(si remplissage, valeur 
avant le plein)]]&lt;=0,"",Tableau12[[#This Row],[Quantité restante dans la cuve
(si remplissage, valeur 
avant le plein)]]+Tableau12[[#This Row],[Remplissage / 
Quantité remise]])</f>
        <v/>
      </c>
      <c r="E226" s="208" t="str">
        <f t="shared" si="12"/>
        <v/>
      </c>
      <c r="F226" s="258" t="str">
        <f t="shared" si="13"/>
        <v/>
      </c>
      <c r="G226" s="259" t="str">
        <f t="shared" si="14"/>
        <v/>
      </c>
      <c r="H226" s="259"/>
      <c r="I226" s="215"/>
      <c r="J226" s="210" t="str">
        <f t="shared" si="15"/>
        <v>Saisie ok</v>
      </c>
    </row>
    <row r="227" spans="1:10">
      <c r="A227" s="253"/>
      <c r="B227" s="254"/>
      <c r="C227" s="254"/>
      <c r="D227" s="452" t="str">
        <f>IF(Tableau12[[#This Row],[Quantité restante dans la cuve
(si remplissage, valeur 
avant le plein)]]&lt;=0,"",Tableau12[[#This Row],[Quantité restante dans la cuve
(si remplissage, valeur 
avant le plein)]]+Tableau12[[#This Row],[Remplissage / 
Quantité remise]])</f>
        <v/>
      </c>
      <c r="E227" s="208" t="str">
        <f t="shared" si="12"/>
        <v/>
      </c>
      <c r="F227" s="258" t="str">
        <f t="shared" si="13"/>
        <v/>
      </c>
      <c r="G227" s="259" t="str">
        <f t="shared" si="14"/>
        <v/>
      </c>
      <c r="H227" s="259"/>
      <c r="I227" s="215"/>
      <c r="J227" s="210" t="str">
        <f t="shared" si="15"/>
        <v>Saisie ok</v>
      </c>
    </row>
    <row r="228" spans="1:10">
      <c r="A228" s="253"/>
      <c r="B228" s="254"/>
      <c r="C228" s="254"/>
      <c r="D228" s="452" t="str">
        <f>IF(Tableau12[[#This Row],[Quantité restante dans la cuve
(si remplissage, valeur 
avant le plein)]]&lt;=0,"",Tableau12[[#This Row],[Quantité restante dans la cuve
(si remplissage, valeur 
avant le plein)]]+Tableau12[[#This Row],[Remplissage / 
Quantité remise]])</f>
        <v/>
      </c>
      <c r="E228" s="208" t="str">
        <f t="shared" si="12"/>
        <v/>
      </c>
      <c r="F228" s="258" t="str">
        <f t="shared" si="13"/>
        <v/>
      </c>
      <c r="G228" s="259" t="str">
        <f t="shared" si="14"/>
        <v/>
      </c>
      <c r="H228" s="259"/>
      <c r="I228" s="215"/>
      <c r="J228" s="210" t="str">
        <f t="shared" si="15"/>
        <v>Saisie ok</v>
      </c>
    </row>
    <row r="229" spans="1:10">
      <c r="A229" s="253"/>
      <c r="B229" s="254"/>
      <c r="C229" s="254"/>
      <c r="D229" s="452" t="str">
        <f>IF(Tableau12[[#This Row],[Quantité restante dans la cuve
(si remplissage, valeur 
avant le plein)]]&lt;=0,"",Tableau12[[#This Row],[Quantité restante dans la cuve
(si remplissage, valeur 
avant le plein)]]+Tableau12[[#This Row],[Remplissage / 
Quantité remise]])</f>
        <v/>
      </c>
      <c r="E229" s="208" t="str">
        <f t="shared" si="12"/>
        <v/>
      </c>
      <c r="F229" s="258" t="str">
        <f t="shared" si="13"/>
        <v/>
      </c>
      <c r="G229" s="259" t="str">
        <f t="shared" si="14"/>
        <v/>
      </c>
      <c r="H229" s="259"/>
      <c r="I229" s="215"/>
      <c r="J229" s="210" t="str">
        <f t="shared" si="15"/>
        <v>Saisie ok</v>
      </c>
    </row>
    <row r="230" spans="1:10">
      <c r="A230" s="253"/>
      <c r="B230" s="254"/>
      <c r="C230" s="254"/>
      <c r="D230" s="452" t="str">
        <f>IF(Tableau12[[#This Row],[Quantité restante dans la cuve
(si remplissage, valeur 
avant le plein)]]&lt;=0,"",Tableau12[[#This Row],[Quantité restante dans la cuve
(si remplissage, valeur 
avant le plein)]]+Tableau12[[#This Row],[Remplissage / 
Quantité remise]])</f>
        <v/>
      </c>
      <c r="E230" s="208" t="str">
        <f t="shared" si="12"/>
        <v/>
      </c>
      <c r="F230" s="258" t="str">
        <f t="shared" si="13"/>
        <v/>
      </c>
      <c r="G230" s="259" t="str">
        <f t="shared" si="14"/>
        <v/>
      </c>
      <c r="H230" s="259"/>
      <c r="I230" s="215"/>
      <c r="J230" s="210" t="str">
        <f t="shared" si="15"/>
        <v>Saisie ok</v>
      </c>
    </row>
    <row r="231" spans="1:10">
      <c r="A231" s="253"/>
      <c r="B231" s="254"/>
      <c r="C231" s="254"/>
      <c r="D231" s="452" t="str">
        <f>IF(Tableau12[[#This Row],[Quantité restante dans la cuve
(si remplissage, valeur 
avant le plein)]]&lt;=0,"",Tableau12[[#This Row],[Quantité restante dans la cuve
(si remplissage, valeur 
avant le plein)]]+Tableau12[[#This Row],[Remplissage / 
Quantité remise]])</f>
        <v/>
      </c>
      <c r="E231" s="208" t="str">
        <f t="shared" si="12"/>
        <v/>
      </c>
      <c r="F231" s="258" t="str">
        <f t="shared" si="13"/>
        <v/>
      </c>
      <c r="G231" s="259" t="str">
        <f t="shared" si="14"/>
        <v/>
      </c>
      <c r="H231" s="259"/>
      <c r="I231" s="215"/>
      <c r="J231" s="210" t="str">
        <f t="shared" si="15"/>
        <v>Saisie ok</v>
      </c>
    </row>
    <row r="232" spans="1:10">
      <c r="A232" s="253"/>
      <c r="B232" s="254"/>
      <c r="C232" s="254"/>
      <c r="D232" s="452" t="str">
        <f>IF(Tableau12[[#This Row],[Quantité restante dans la cuve
(si remplissage, valeur 
avant le plein)]]&lt;=0,"",Tableau12[[#This Row],[Quantité restante dans la cuve
(si remplissage, valeur 
avant le plein)]]+Tableau12[[#This Row],[Remplissage / 
Quantité remise]])</f>
        <v/>
      </c>
      <c r="E232" s="208" t="str">
        <f t="shared" si="12"/>
        <v/>
      </c>
      <c r="F232" s="258" t="str">
        <f t="shared" si="13"/>
        <v/>
      </c>
      <c r="G232" s="259" t="str">
        <f t="shared" si="14"/>
        <v/>
      </c>
      <c r="H232" s="259"/>
      <c r="I232" s="215"/>
      <c r="J232" s="210" t="str">
        <f t="shared" si="15"/>
        <v>Saisie ok</v>
      </c>
    </row>
    <row r="233" spans="1:10">
      <c r="A233" s="253"/>
      <c r="B233" s="254"/>
      <c r="C233" s="254"/>
      <c r="D233" s="452" t="str">
        <f>IF(Tableau12[[#This Row],[Quantité restante dans la cuve
(si remplissage, valeur 
avant le plein)]]&lt;=0,"",Tableau12[[#This Row],[Quantité restante dans la cuve
(si remplissage, valeur 
avant le plein)]]+Tableau12[[#This Row],[Remplissage / 
Quantité remise]])</f>
        <v/>
      </c>
      <c r="E233" s="208" t="str">
        <f t="shared" si="12"/>
        <v/>
      </c>
      <c r="F233" s="258" t="str">
        <f t="shared" si="13"/>
        <v/>
      </c>
      <c r="G233" s="259" t="str">
        <f t="shared" si="14"/>
        <v/>
      </c>
      <c r="H233" s="259"/>
      <c r="I233" s="215"/>
      <c r="J233" s="210" t="str">
        <f t="shared" si="15"/>
        <v>Saisie ok</v>
      </c>
    </row>
    <row r="234" spans="1:10">
      <c r="A234" s="253"/>
      <c r="B234" s="254"/>
      <c r="C234" s="254"/>
      <c r="D234" s="452" t="str">
        <f>IF(Tableau12[[#This Row],[Quantité restante dans la cuve
(si remplissage, valeur 
avant le plein)]]&lt;=0,"",Tableau12[[#This Row],[Quantité restante dans la cuve
(si remplissage, valeur 
avant le plein)]]+Tableau12[[#This Row],[Remplissage / 
Quantité remise]])</f>
        <v/>
      </c>
      <c r="E234" s="208" t="str">
        <f t="shared" si="12"/>
        <v/>
      </c>
      <c r="F234" s="258" t="str">
        <f t="shared" si="13"/>
        <v/>
      </c>
      <c r="G234" s="259" t="str">
        <f t="shared" si="14"/>
        <v/>
      </c>
      <c r="H234" s="259"/>
      <c r="I234" s="215"/>
      <c r="J234" s="210" t="str">
        <f t="shared" si="15"/>
        <v>Saisie ok</v>
      </c>
    </row>
    <row r="235" spans="1:10">
      <c r="A235" s="253"/>
      <c r="B235" s="254"/>
      <c r="C235" s="254"/>
      <c r="D235" s="452" t="str">
        <f>IF(Tableau12[[#This Row],[Quantité restante dans la cuve
(si remplissage, valeur 
avant le plein)]]&lt;=0,"",Tableau12[[#This Row],[Quantité restante dans la cuve
(si remplissage, valeur 
avant le plein)]]+Tableau12[[#This Row],[Remplissage / 
Quantité remise]])</f>
        <v/>
      </c>
      <c r="E235" s="208" t="str">
        <f t="shared" si="12"/>
        <v/>
      </c>
      <c r="F235" s="258" t="str">
        <f t="shared" si="13"/>
        <v/>
      </c>
      <c r="G235" s="259" t="str">
        <f t="shared" si="14"/>
        <v/>
      </c>
      <c r="H235" s="259"/>
      <c r="I235" s="215"/>
      <c r="J235" s="210" t="str">
        <f t="shared" si="15"/>
        <v>Saisie ok</v>
      </c>
    </row>
    <row r="236" spans="1:10">
      <c r="A236" s="253"/>
      <c r="B236" s="254"/>
      <c r="C236" s="254"/>
      <c r="D236" s="452" t="str">
        <f>IF(Tableau12[[#This Row],[Quantité restante dans la cuve
(si remplissage, valeur 
avant le plein)]]&lt;=0,"",Tableau12[[#This Row],[Quantité restante dans la cuve
(si remplissage, valeur 
avant le plein)]]+Tableau12[[#This Row],[Remplissage / 
Quantité remise]])</f>
        <v/>
      </c>
      <c r="E236" s="208" t="str">
        <f t="shared" si="12"/>
        <v/>
      </c>
      <c r="F236" s="258" t="str">
        <f t="shared" si="13"/>
        <v/>
      </c>
      <c r="G236" s="259" t="str">
        <f t="shared" si="14"/>
        <v/>
      </c>
      <c r="H236" s="259"/>
      <c r="I236" s="215"/>
      <c r="J236" s="210" t="str">
        <f t="shared" si="15"/>
        <v>Saisie ok</v>
      </c>
    </row>
    <row r="237" spans="1:10">
      <c r="A237" s="253"/>
      <c r="B237" s="254"/>
      <c r="C237" s="254"/>
      <c r="D237" s="452" t="str">
        <f>IF(Tableau12[[#This Row],[Quantité restante dans la cuve
(si remplissage, valeur 
avant le plein)]]&lt;=0,"",Tableau12[[#This Row],[Quantité restante dans la cuve
(si remplissage, valeur 
avant le plein)]]+Tableau12[[#This Row],[Remplissage / 
Quantité remise]])</f>
        <v/>
      </c>
      <c r="E237" s="208" t="str">
        <f t="shared" si="12"/>
        <v/>
      </c>
      <c r="F237" s="258" t="str">
        <f t="shared" si="13"/>
        <v/>
      </c>
      <c r="G237" s="259" t="str">
        <f t="shared" si="14"/>
        <v/>
      </c>
      <c r="H237" s="259"/>
      <c r="I237" s="215"/>
      <c r="J237" s="210" t="str">
        <f t="shared" si="15"/>
        <v>Saisie ok</v>
      </c>
    </row>
    <row r="238" spans="1:10">
      <c r="A238" s="255"/>
      <c r="B238" s="256"/>
      <c r="C238" s="256"/>
      <c r="D238" s="452" t="str">
        <f>IF(Tableau12[[#This Row],[Quantité restante dans la cuve
(si remplissage, valeur 
avant le plein)]]&lt;=0,"",Tableau12[[#This Row],[Quantité restante dans la cuve
(si remplissage, valeur 
avant le plein)]]+Tableau12[[#This Row],[Remplissage / 
Quantité remise]])</f>
        <v/>
      </c>
      <c r="E238" s="208" t="str">
        <f t="shared" si="12"/>
        <v/>
      </c>
      <c r="F238" s="258" t="str">
        <f t="shared" si="13"/>
        <v/>
      </c>
      <c r="G238" s="259" t="str">
        <f t="shared" si="14"/>
        <v/>
      </c>
      <c r="H238" s="261"/>
      <c r="I238" s="216"/>
      <c r="J238" s="210" t="str">
        <f t="shared" si="15"/>
        <v>Saisie ok</v>
      </c>
    </row>
    <row r="239" spans="1:10">
      <c r="D239" s="446"/>
    </row>
  </sheetData>
  <sheetProtection sheet="1" objects="1" scenarios="1"/>
  <conditionalFormatting sqref="A3:A238">
    <cfRule type="expression" dxfId="15" priority="3">
      <formula>IF(A4&lt;&gt;0,A3&lt;A2)</formula>
    </cfRule>
  </conditionalFormatting>
  <conditionalFormatting sqref="B3:B9">
    <cfRule type="expression" dxfId="14" priority="6">
      <formula>J3="Erreur saisie"</formula>
    </cfRule>
  </conditionalFormatting>
  <conditionalFormatting sqref="G2:H238">
    <cfRule type="cellIs" dxfId="13" priority="5" operator="lessThan">
      <formula>0</formula>
    </cfRule>
  </conditionalFormatting>
  <conditionalFormatting sqref="E2:E238">
    <cfRule type="cellIs" dxfId="12" priority="4" operator="lessThan">
      <formula>0</formula>
    </cfRule>
  </conditionalFormatting>
  <conditionalFormatting sqref="D3:D238">
    <cfRule type="expression" dxfId="11" priority="1">
      <formula>IF(C3&lt;&gt;0,(B3+C3)&lt;&gt;D3)</formula>
    </cfRule>
  </conditionalFormatting>
  <dataValidations disablePrompts="1" count="1">
    <dataValidation type="list" allowBlank="1" showInputMessage="1" showErrorMessage="1" sqref="L7">
      <formula1>$P$3:$P$5</formula1>
    </dataValidation>
  </dataValidations>
  <pageMargins left="0.7" right="0.7" top="0.75" bottom="0.75" header="0.3" footer="0.3"/>
  <pageSetup paperSize="9" orientation="portrait" horizontalDpi="4294967293" r:id="rId1"/>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57"/>
  <sheetViews>
    <sheetView tabSelected="1" topLeftCell="A13" zoomScale="85" zoomScaleNormal="85" workbookViewId="0">
      <selection activeCell="C10" sqref="C10"/>
    </sheetView>
  </sheetViews>
  <sheetFormatPr baseColWidth="10" defaultColWidth="0" defaultRowHeight="15" customHeight="1" zeroHeight="1"/>
  <cols>
    <col min="1" max="14" width="11.36328125" style="542" customWidth="1"/>
    <col min="15" max="16384" width="11.36328125" style="542" hidden="1"/>
  </cols>
  <sheetData>
    <row r="1" spans="1:14" ht="14.5">
      <c r="A1" s="36"/>
      <c r="B1" s="36"/>
      <c r="C1" s="36"/>
      <c r="D1" s="36"/>
      <c r="E1" s="36"/>
      <c r="F1" s="36"/>
      <c r="G1" s="36"/>
      <c r="H1" s="36"/>
      <c r="I1" s="36"/>
      <c r="J1" s="36"/>
      <c r="K1" s="36"/>
      <c r="L1" s="36"/>
      <c r="M1" s="36"/>
      <c r="N1" s="36"/>
    </row>
    <row r="2" spans="1:14" ht="14.5">
      <c r="A2" s="36"/>
      <c r="B2" s="36"/>
      <c r="C2" s="36"/>
      <c r="D2"/>
      <c r="E2" s="36"/>
      <c r="F2" s="36"/>
      <c r="G2" s="36"/>
      <c r="H2" s="36"/>
      <c r="I2" s="36"/>
      <c r="J2" s="36"/>
      <c r="K2" s="36"/>
      <c r="L2" s="36"/>
      <c r="M2" s="36"/>
      <c r="N2" s="36"/>
    </row>
    <row r="3" spans="1:14" ht="14.5">
      <c r="A3" s="36"/>
      <c r="B3" s="36"/>
      <c r="C3" s="36"/>
      <c r="D3" s="36"/>
      <c r="E3" s="36"/>
      <c r="F3" s="36"/>
      <c r="G3" s="36"/>
      <c r="H3" s="36"/>
      <c r="I3" s="36"/>
      <c r="J3" s="36"/>
      <c r="K3" s="36"/>
      <c r="L3" s="36"/>
      <c r="M3" s="36"/>
      <c r="N3" s="36"/>
    </row>
    <row r="4" spans="1:14" ht="14.5">
      <c r="A4" s="36"/>
      <c r="B4" s="36"/>
      <c r="C4" s="36"/>
      <c r="D4" s="36"/>
      <c r="E4" s="36"/>
      <c r="F4" s="36"/>
      <c r="G4" s="36"/>
      <c r="H4" s="36"/>
      <c r="I4" s="36"/>
      <c r="J4" s="36"/>
      <c r="K4" s="36"/>
      <c r="L4" s="36"/>
      <c r="M4" s="36"/>
      <c r="N4" s="36"/>
    </row>
    <row r="5" spans="1:14" ht="14.5">
      <c r="A5" s="36"/>
      <c r="B5" s="36"/>
      <c r="C5" s="36"/>
      <c r="D5" s="36"/>
      <c r="E5" s="36"/>
      <c r="F5" s="36"/>
      <c r="G5" s="36"/>
      <c r="H5" s="36"/>
      <c r="I5" s="36"/>
      <c r="J5" s="36"/>
      <c r="K5" s="36"/>
      <c r="L5" s="36"/>
      <c r="M5" s="36"/>
      <c r="N5" s="36"/>
    </row>
    <row r="6" spans="1:14" ht="14.5">
      <c r="A6" s="36"/>
      <c r="B6" s="36"/>
      <c r="C6" s="36"/>
      <c r="D6" s="36"/>
      <c r="E6" s="36"/>
      <c r="F6" s="36"/>
      <c r="G6" s="36"/>
      <c r="H6" s="36"/>
      <c r="I6" s="36"/>
      <c r="J6" s="36"/>
      <c r="K6" s="36"/>
      <c r="L6" s="36"/>
      <c r="M6" s="36"/>
      <c r="N6" s="36"/>
    </row>
    <row r="7" spans="1:14" ht="14.5">
      <c r="A7" s="36"/>
      <c r="B7" s="36"/>
      <c r="C7" s="36"/>
      <c r="D7" s="36"/>
      <c r="E7" s="36"/>
      <c r="F7" s="36"/>
      <c r="G7" s="36"/>
      <c r="H7" s="36"/>
      <c r="I7" s="36"/>
      <c r="J7" s="36"/>
      <c r="K7" s="36"/>
      <c r="L7" s="36"/>
      <c r="M7" s="36"/>
      <c r="N7" s="36"/>
    </row>
    <row r="8" spans="1:14" ht="14.5">
      <c r="A8" s="36"/>
      <c r="B8" s="52" t="s">
        <v>946</v>
      </c>
      <c r="C8" s="544"/>
      <c r="D8" s="545"/>
      <c r="E8" s="546"/>
      <c r="F8" s="36"/>
      <c r="G8" s="36"/>
      <c r="H8" s="36"/>
      <c r="I8" s="36"/>
      <c r="J8" s="36"/>
      <c r="K8" s="36"/>
      <c r="L8" s="36"/>
      <c r="M8" s="36"/>
      <c r="N8" s="36"/>
    </row>
    <row r="9" spans="1:14" ht="14.5">
      <c r="A9" s="36"/>
      <c r="B9" s="36"/>
      <c r="C9" s="36"/>
      <c r="D9" s="36"/>
      <c r="E9" s="36"/>
      <c r="F9" s="36"/>
      <c r="G9" s="36"/>
      <c r="H9" s="36"/>
      <c r="I9" s="36"/>
      <c r="J9" s="36"/>
      <c r="K9" s="36"/>
      <c r="L9" s="36"/>
      <c r="M9" s="36"/>
      <c r="N9" s="36"/>
    </row>
    <row r="10" spans="1:14" ht="14.5">
      <c r="A10" s="36"/>
      <c r="B10" s="52" t="s">
        <v>947</v>
      </c>
      <c r="C10" s="544"/>
      <c r="D10" s="545"/>
      <c r="E10" s="546"/>
      <c r="F10" s="36"/>
      <c r="G10" s="36"/>
      <c r="H10" s="36"/>
      <c r="I10" s="36"/>
      <c r="J10" s="36"/>
      <c r="K10" s="36"/>
      <c r="L10" s="36"/>
      <c r="M10" s="36"/>
      <c r="N10" s="36"/>
    </row>
    <row r="11" spans="1:14" ht="14.5">
      <c r="A11" s="36"/>
      <c r="B11" s="52"/>
      <c r="C11" s="36"/>
      <c r="D11" s="36"/>
      <c r="E11" s="36"/>
      <c r="F11" s="36"/>
      <c r="G11" s="36"/>
      <c r="H11" s="36"/>
      <c r="I11" s="36"/>
      <c r="J11" s="36"/>
      <c r="K11" s="36"/>
      <c r="L11" s="36"/>
      <c r="M11" s="36"/>
      <c r="N11" s="36"/>
    </row>
    <row r="12" spans="1:14" ht="14.5">
      <c r="A12" s="36"/>
      <c r="B12" s="52" t="s">
        <v>948</v>
      </c>
      <c r="C12" s="544"/>
      <c r="D12" s="545"/>
      <c r="E12" s="546"/>
      <c r="F12" s="36"/>
      <c r="G12" s="36"/>
      <c r="H12" s="36"/>
      <c r="I12" s="36"/>
      <c r="J12" s="36"/>
      <c r="K12" s="36"/>
      <c r="L12" s="36"/>
      <c r="M12" s="36"/>
      <c r="N12" s="36"/>
    </row>
    <row r="13" spans="1:14" ht="14.5">
      <c r="A13" s="36"/>
      <c r="B13" s="52"/>
      <c r="C13" s="36"/>
      <c r="D13" s="36"/>
      <c r="E13" s="36"/>
      <c r="F13" s="36"/>
      <c r="G13" s="36"/>
      <c r="H13" s="36"/>
      <c r="I13" s="36"/>
      <c r="J13" s="36"/>
      <c r="K13" s="36"/>
      <c r="L13" s="36"/>
      <c r="M13" s="36"/>
      <c r="N13" s="36"/>
    </row>
    <row r="14" spans="1:14" ht="14.5">
      <c r="A14" s="36"/>
      <c r="B14" s="36"/>
      <c r="C14" s="36"/>
      <c r="D14" s="36"/>
      <c r="E14" s="36"/>
      <c r="F14" s="36"/>
      <c r="G14" s="36"/>
      <c r="H14" s="36"/>
      <c r="I14" s="36"/>
      <c r="J14" s="36"/>
      <c r="K14" s="36"/>
      <c r="L14" s="36"/>
      <c r="M14" s="36"/>
      <c r="N14" s="36"/>
    </row>
    <row r="15" spans="1:14" ht="14.5">
      <c r="A15" s="36"/>
      <c r="B15" s="36"/>
      <c r="C15" s="36"/>
      <c r="D15" s="36"/>
      <c r="E15" s="36"/>
      <c r="F15" s="36"/>
      <c r="G15" s="36"/>
      <c r="H15" s="36"/>
      <c r="I15" s="36"/>
      <c r="J15" s="36"/>
      <c r="K15" s="36"/>
      <c r="L15" s="36"/>
      <c r="M15" s="36"/>
      <c r="N15" s="36"/>
    </row>
    <row r="16" spans="1:14" ht="14.5">
      <c r="A16" s="36"/>
      <c r="B16" s="36"/>
      <c r="C16" s="36"/>
      <c r="D16" s="36"/>
      <c r="E16" s="36"/>
      <c r="F16" s="36"/>
      <c r="G16" s="36"/>
      <c r="H16" s="36"/>
      <c r="I16" s="36"/>
      <c r="J16" s="36"/>
      <c r="K16" s="36"/>
      <c r="L16" s="36"/>
      <c r="M16" s="36"/>
      <c r="N16" s="36"/>
    </row>
    <row r="17" spans="1:14" ht="14.5">
      <c r="A17" s="36"/>
      <c r="B17" s="36"/>
      <c r="C17" s="36"/>
      <c r="D17" s="36"/>
      <c r="E17" s="36"/>
      <c r="F17" s="36"/>
      <c r="G17" s="36"/>
      <c r="H17" s="36"/>
      <c r="I17" s="36"/>
      <c r="J17" s="36"/>
      <c r="K17" s="36"/>
      <c r="L17" s="36"/>
      <c r="M17" s="36"/>
      <c r="N17" s="36"/>
    </row>
    <row r="18" spans="1:14" ht="14.5">
      <c r="A18" s="36"/>
      <c r="B18" s="36"/>
      <c r="C18" s="36"/>
      <c r="D18" s="36"/>
      <c r="E18" s="36"/>
      <c r="F18" s="36"/>
      <c r="G18" s="36"/>
      <c r="H18" s="36"/>
      <c r="I18" s="36"/>
      <c r="J18" s="36"/>
      <c r="K18" s="36"/>
      <c r="L18" s="36"/>
      <c r="M18" s="36"/>
      <c r="N18" s="36"/>
    </row>
    <row r="19" spans="1:14" ht="14.5">
      <c r="A19" s="36"/>
      <c r="B19" s="36"/>
      <c r="C19" s="36"/>
      <c r="D19" s="36"/>
      <c r="E19" s="36"/>
      <c r="F19" s="36"/>
      <c r="G19" s="36"/>
      <c r="H19" s="36"/>
      <c r="I19" s="36"/>
      <c r="J19" s="36"/>
      <c r="K19" s="36"/>
      <c r="L19" s="36"/>
      <c r="M19" s="36"/>
      <c r="N19" s="36"/>
    </row>
    <row r="20" spans="1:14" ht="14.5">
      <c r="A20" s="36"/>
      <c r="B20" s="36"/>
      <c r="C20" s="36"/>
      <c r="D20" s="36"/>
      <c r="E20" s="36"/>
      <c r="F20" s="36"/>
      <c r="G20" s="36"/>
      <c r="H20" s="36"/>
      <c r="I20" s="36"/>
      <c r="J20" s="36"/>
      <c r="K20" s="36"/>
      <c r="L20" s="36"/>
      <c r="M20" s="36"/>
      <c r="N20" s="36"/>
    </row>
    <row r="21" spans="1:14" ht="14.5">
      <c r="A21" s="36"/>
      <c r="B21" s="36"/>
      <c r="C21" s="36"/>
      <c r="D21" s="36"/>
      <c r="E21" s="36"/>
      <c r="F21" s="36"/>
      <c r="G21" s="36"/>
      <c r="H21" s="36"/>
      <c r="I21" s="36"/>
      <c r="J21" s="36"/>
      <c r="K21" s="36"/>
      <c r="L21" s="36"/>
      <c r="M21" s="36"/>
      <c r="N21" s="36"/>
    </row>
    <row r="22" spans="1:14" ht="14.5">
      <c r="A22" s="36"/>
      <c r="B22" s="36"/>
      <c r="C22" s="36"/>
      <c r="D22" s="36"/>
      <c r="E22" s="36"/>
      <c r="F22" s="36"/>
      <c r="G22" s="36"/>
      <c r="H22" s="36"/>
      <c r="I22" s="36"/>
      <c r="J22" s="36"/>
      <c r="K22" s="36"/>
      <c r="L22" s="36"/>
      <c r="M22" s="36"/>
      <c r="N22" s="36"/>
    </row>
    <row r="23" spans="1:14" ht="14.5">
      <c r="A23" s="36"/>
      <c r="B23" s="36"/>
      <c r="C23" s="36"/>
      <c r="D23" s="36"/>
      <c r="E23" s="36"/>
      <c r="F23" s="36"/>
      <c r="G23" s="36"/>
      <c r="H23" s="36"/>
      <c r="I23" s="36"/>
      <c r="J23" s="36"/>
      <c r="K23" s="36"/>
      <c r="L23" s="36"/>
      <c r="M23" s="36"/>
      <c r="N23" s="36"/>
    </row>
    <row r="24" spans="1:14" ht="14.5">
      <c r="A24" s="36"/>
      <c r="B24" s="36"/>
      <c r="C24" s="36"/>
      <c r="D24" s="36"/>
      <c r="E24" s="36"/>
      <c r="F24" s="36"/>
      <c r="G24" s="36"/>
      <c r="H24" s="36"/>
      <c r="I24" s="36"/>
      <c r="J24" s="36"/>
      <c r="K24" s="36"/>
      <c r="L24" s="36"/>
      <c r="M24" s="36"/>
      <c r="N24" s="36"/>
    </row>
    <row r="25" spans="1:14" ht="14.5">
      <c r="A25" s="36"/>
      <c r="B25" s="36"/>
      <c r="C25" s="36"/>
      <c r="D25" s="36"/>
      <c r="E25" s="36"/>
      <c r="F25" s="36"/>
      <c r="G25" s="36"/>
      <c r="H25" s="36"/>
      <c r="I25" s="36"/>
      <c r="J25" s="36"/>
      <c r="K25" s="36"/>
      <c r="L25" s="36"/>
      <c r="M25" s="36"/>
      <c r="N25" s="36"/>
    </row>
    <row r="26" spans="1:14" ht="14.5">
      <c r="A26" s="36"/>
      <c r="B26" s="36"/>
      <c r="C26" s="36"/>
      <c r="D26" s="36"/>
      <c r="E26" s="36"/>
      <c r="F26" s="36"/>
      <c r="G26" s="36"/>
      <c r="H26" s="36"/>
      <c r="I26" s="36"/>
      <c r="J26" s="36"/>
      <c r="K26" s="36"/>
      <c r="L26" s="36"/>
      <c r="M26" s="36"/>
      <c r="N26" s="36"/>
    </row>
    <row r="27" spans="1:14" ht="14.5">
      <c r="A27" s="36"/>
      <c r="B27" s="36"/>
      <c r="C27" s="36"/>
      <c r="D27" s="36"/>
      <c r="E27" s="36"/>
      <c r="F27" s="36"/>
      <c r="G27" s="36"/>
      <c r="H27" s="36"/>
      <c r="I27" s="36"/>
      <c r="J27" s="36"/>
      <c r="K27" s="36"/>
      <c r="L27" s="36"/>
      <c r="M27" s="36"/>
      <c r="N27" s="36"/>
    </row>
    <row r="28" spans="1:14" ht="14.5">
      <c r="A28" s="36"/>
      <c r="B28" s="36"/>
      <c r="C28" s="36"/>
      <c r="D28" s="36"/>
      <c r="E28" s="36"/>
      <c r="F28" s="36"/>
      <c r="G28" s="36"/>
      <c r="H28" s="36"/>
      <c r="I28" s="36"/>
      <c r="J28" s="36"/>
      <c r="K28" s="36"/>
      <c r="L28" s="36"/>
      <c r="M28" s="36"/>
      <c r="N28" s="36"/>
    </row>
    <row r="29" spans="1:14" ht="14.5">
      <c r="A29" s="36"/>
      <c r="B29" s="36"/>
      <c r="C29" s="36"/>
      <c r="D29" s="36"/>
      <c r="E29" s="36"/>
      <c r="F29" s="36"/>
      <c r="G29" s="36"/>
      <c r="H29" s="36"/>
      <c r="I29" s="36"/>
      <c r="J29" s="36"/>
      <c r="K29" s="36"/>
      <c r="L29" s="36"/>
      <c r="M29" s="36"/>
      <c r="N29" s="36"/>
    </row>
    <row r="30" spans="1:14" ht="14.5">
      <c r="A30" s="36"/>
      <c r="B30" s="36"/>
      <c r="C30" s="36"/>
      <c r="D30" s="36"/>
      <c r="E30" s="36"/>
      <c r="F30" s="36"/>
      <c r="G30" s="36"/>
      <c r="H30" s="36"/>
      <c r="I30" s="36"/>
      <c r="J30" s="36"/>
      <c r="K30" s="36"/>
      <c r="L30" s="36"/>
      <c r="M30" s="36"/>
      <c r="N30" s="36"/>
    </row>
    <row r="31" spans="1:14" ht="14.5">
      <c r="A31" s="36"/>
      <c r="B31" s="36"/>
      <c r="C31" s="36"/>
      <c r="D31" s="36"/>
      <c r="E31" s="36"/>
      <c r="F31" s="36"/>
      <c r="G31" s="36"/>
      <c r="H31" s="36"/>
      <c r="I31" s="36"/>
      <c r="J31" s="36"/>
      <c r="K31" s="36"/>
      <c r="L31" s="36"/>
      <c r="M31" s="36"/>
      <c r="N31" s="36"/>
    </row>
    <row r="32" spans="1:14" ht="14.5">
      <c r="A32" s="36"/>
      <c r="B32" s="36"/>
      <c r="C32" s="36"/>
      <c r="D32" s="36"/>
      <c r="E32" s="36"/>
      <c r="F32" s="36"/>
      <c r="G32" s="36"/>
      <c r="H32" s="36"/>
      <c r="I32" s="36"/>
      <c r="J32" s="36"/>
      <c r="K32" s="36"/>
      <c r="L32" s="36"/>
      <c r="M32" s="36"/>
      <c r="N32" s="36"/>
    </row>
    <row r="33" spans="1:14" ht="14.5">
      <c r="A33" s="36"/>
      <c r="B33" s="36"/>
      <c r="C33" s="36"/>
      <c r="D33" s="36"/>
      <c r="E33" s="36"/>
      <c r="F33" s="36"/>
      <c r="G33" s="36"/>
      <c r="H33" s="36"/>
      <c r="I33" s="36"/>
      <c r="J33" s="36"/>
      <c r="K33" s="36"/>
      <c r="L33" s="36"/>
      <c r="M33" s="36"/>
      <c r="N33" s="36"/>
    </row>
    <row r="49" ht="14.5" hidden="1"/>
    <row r="50" ht="14.5" hidden="1"/>
    <row r="51" ht="14.5" hidden="1"/>
    <row r="52" ht="15" hidden="1" customHeight="1"/>
    <row r="53" ht="15" hidden="1" customHeight="1"/>
    <row r="54" ht="15" hidden="1" customHeight="1"/>
    <row r="55" ht="15" hidden="1" customHeight="1"/>
    <row r="56" ht="15" hidden="1" customHeight="1"/>
    <row r="57" ht="15" hidden="1" customHeight="1"/>
  </sheetData>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2"/>
  <dimension ref="A1:E26"/>
  <sheetViews>
    <sheetView topLeftCell="A17" workbookViewId="0">
      <selection activeCell="B20" sqref="B20"/>
    </sheetView>
  </sheetViews>
  <sheetFormatPr baseColWidth="10" defaultColWidth="11.36328125" defaultRowHeight="14.5"/>
  <cols>
    <col min="1" max="1" width="11.36328125" style="140"/>
    <col min="2" max="2" width="145.36328125" customWidth="1"/>
    <col min="3" max="3" width="105.7265625" customWidth="1"/>
  </cols>
  <sheetData>
    <row r="1" spans="1:5" ht="29">
      <c r="B1" s="80" t="s">
        <v>402</v>
      </c>
      <c r="D1" t="s">
        <v>403</v>
      </c>
    </row>
    <row r="2" spans="1:5">
      <c r="D2" t="s">
        <v>404</v>
      </c>
      <c r="E2" t="s">
        <v>405</v>
      </c>
    </row>
    <row r="3" spans="1:5">
      <c r="A3" s="140" t="s">
        <v>406</v>
      </c>
      <c r="B3" t="s">
        <v>400</v>
      </c>
    </row>
    <row r="4" spans="1:5" ht="87">
      <c r="A4" s="140" t="s">
        <v>407</v>
      </c>
      <c r="B4" s="78" t="s">
        <v>408</v>
      </c>
    </row>
    <row r="5" spans="1:5" ht="44.25" customHeight="1">
      <c r="A5" s="140" t="s">
        <v>409</v>
      </c>
      <c r="B5" s="78" t="s">
        <v>410</v>
      </c>
    </row>
    <row r="6" spans="1:5" ht="130.5">
      <c r="A6" s="140" t="s">
        <v>411</v>
      </c>
      <c r="B6" s="78" t="s">
        <v>412</v>
      </c>
    </row>
    <row r="7" spans="1:5" ht="116">
      <c r="A7" s="140" t="s">
        <v>413</v>
      </c>
      <c r="B7" s="78" t="s">
        <v>414</v>
      </c>
    </row>
    <row r="8" spans="1:5" ht="159.5">
      <c r="A8" s="140" t="s">
        <v>415</v>
      </c>
      <c r="B8" s="78" t="s">
        <v>416</v>
      </c>
    </row>
    <row r="9" spans="1:5" ht="290">
      <c r="A9" s="140" t="s">
        <v>417</v>
      </c>
      <c r="B9" s="80" t="s">
        <v>418</v>
      </c>
    </row>
    <row r="10" spans="1:5" ht="29">
      <c r="A10" s="140" t="s">
        <v>419</v>
      </c>
      <c r="B10" s="80" t="s">
        <v>420</v>
      </c>
    </row>
    <row r="11" spans="1:5" ht="145">
      <c r="A11" s="140" t="s">
        <v>429</v>
      </c>
      <c r="B11" s="80" t="s">
        <v>426</v>
      </c>
    </row>
    <row r="12" spans="1:5" ht="116">
      <c r="A12" s="140" t="s">
        <v>430</v>
      </c>
      <c r="B12" s="80" t="s">
        <v>435</v>
      </c>
    </row>
    <row r="13" spans="1:5" ht="43.5">
      <c r="A13" s="140" t="s">
        <v>452</v>
      </c>
      <c r="B13" s="80" t="s">
        <v>451</v>
      </c>
      <c r="C13" s="80"/>
    </row>
    <row r="14" spans="1:5" s="242" customFormat="1" ht="43.5">
      <c r="A14" s="140" t="s">
        <v>504</v>
      </c>
      <c r="B14" s="80" t="s">
        <v>505</v>
      </c>
      <c r="C14" s="80"/>
    </row>
    <row r="15" spans="1:5" ht="72.5">
      <c r="A15" s="140" t="s">
        <v>510</v>
      </c>
      <c r="B15" s="80" t="s">
        <v>519</v>
      </c>
    </row>
    <row r="16" spans="1:5" ht="43.5">
      <c r="A16" s="140" t="s">
        <v>823</v>
      </c>
      <c r="B16" s="80" t="s">
        <v>824</v>
      </c>
    </row>
    <row r="17" spans="1:2">
      <c r="A17" s="140" t="s">
        <v>835</v>
      </c>
      <c r="B17" s="80" t="s">
        <v>836</v>
      </c>
    </row>
    <row r="18" spans="1:2" ht="188.5">
      <c r="A18" s="140" t="s">
        <v>909</v>
      </c>
      <c r="B18" s="80" t="s">
        <v>881</v>
      </c>
    </row>
    <row r="19" spans="1:2" ht="29">
      <c r="A19" s="140" t="s">
        <v>926</v>
      </c>
      <c r="B19" s="80" t="s">
        <v>933</v>
      </c>
    </row>
    <row r="20" spans="1:2" s="527" customFormat="1">
      <c r="A20" s="140"/>
    </row>
    <row r="21" spans="1:2" s="527" customFormat="1">
      <c r="A21" s="140"/>
    </row>
    <row r="22" spans="1:2">
      <c r="B22" s="80" t="s">
        <v>436</v>
      </c>
    </row>
    <row r="24" spans="1:2" ht="29">
      <c r="B24" s="80" t="s">
        <v>914</v>
      </c>
    </row>
    <row r="25" spans="1:2" ht="72.5">
      <c r="B25" s="80" t="s">
        <v>915</v>
      </c>
    </row>
    <row r="26" spans="1:2">
      <c r="B26" s="418"/>
    </row>
  </sheetData>
  <pageMargins left="0.7" right="0.7" top="0.75" bottom="0.75" header="0.3" footer="0.3"/>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4">
    <tabColor rgb="FF0070C0"/>
  </sheetPr>
  <dimension ref="A2:X42"/>
  <sheetViews>
    <sheetView zoomScale="85" zoomScaleNormal="85" workbookViewId="0">
      <selection activeCell="A9" sqref="A9:H14"/>
    </sheetView>
  </sheetViews>
  <sheetFormatPr baseColWidth="10" defaultColWidth="11.36328125" defaultRowHeight="14.5" outlineLevelCol="1"/>
  <cols>
    <col min="1" max="3" width="27.36328125" style="36" customWidth="1"/>
    <col min="4" max="4" width="31.81640625" style="36" bestFit="1" customWidth="1"/>
    <col min="5" max="5" width="82.08984375" style="36" bestFit="1" customWidth="1"/>
    <col min="6" max="6" width="13.6328125" style="36" customWidth="1"/>
    <col min="7" max="7" width="12.6328125" style="36" bestFit="1" customWidth="1"/>
    <col min="8" max="8" width="12.26953125" style="36" bestFit="1" customWidth="1"/>
    <col min="9" max="12" width="11.36328125" style="36" customWidth="1" outlineLevel="1"/>
    <col min="13" max="13" width="13.6328125" style="36" customWidth="1" outlineLevel="1"/>
    <col min="14" max="14" width="11.36328125" style="36" customWidth="1" outlineLevel="1"/>
    <col min="15" max="15" width="79.08984375" style="36" bestFit="1" customWidth="1"/>
    <col min="16" max="17" width="11.36328125" style="365"/>
    <col min="18" max="18" width="80.7265625" style="365" bestFit="1" customWidth="1"/>
    <col min="19" max="20" width="11.36328125" style="365"/>
    <col min="21" max="21" width="27" style="365" bestFit="1" customWidth="1"/>
    <col min="22" max="16384" width="11.36328125" style="365"/>
  </cols>
  <sheetData>
    <row r="2" spans="1:24">
      <c r="A2" s="365"/>
      <c r="B2" s="365"/>
      <c r="C2" s="365"/>
      <c r="D2" s="365"/>
      <c r="E2" s="365"/>
      <c r="J2" s="365"/>
      <c r="K2" s="365"/>
      <c r="L2" s="365"/>
      <c r="M2" s="365"/>
      <c r="N2" s="365"/>
      <c r="O2" s="365"/>
    </row>
    <row r="3" spans="1:24">
      <c r="A3" s="30" t="s">
        <v>866</v>
      </c>
      <c r="B3" s="177">
        <f>Site!C2</f>
        <v>0</v>
      </c>
      <c r="C3" s="365"/>
      <c r="D3" s="115" t="s">
        <v>520</v>
      </c>
      <c r="E3" s="267" t="str">
        <f>Controle_des_données!B32</f>
        <v>H2a</v>
      </c>
      <c r="J3" s="365"/>
      <c r="K3" s="365"/>
      <c r="L3" s="365"/>
      <c r="M3" s="365"/>
      <c r="N3" s="365"/>
      <c r="O3" s="365"/>
    </row>
    <row r="4" spans="1:24">
      <c r="A4" s="365"/>
      <c r="B4" s="365"/>
      <c r="C4" s="365"/>
      <c r="D4" s="115" t="s">
        <v>521</v>
      </c>
      <c r="E4" s="267" t="str">
        <f>Controle_des_données!B33</f>
        <v>Altitude &lt; 400 m</v>
      </c>
      <c r="F4" s="365"/>
      <c r="G4" s="365"/>
      <c r="H4" s="365"/>
      <c r="I4" s="365"/>
      <c r="J4" s="365"/>
      <c r="K4" s="365"/>
      <c r="L4" s="365"/>
      <c r="M4" s="365"/>
      <c r="N4" s="365"/>
      <c r="O4" s="365"/>
    </row>
    <row r="5" spans="1:24" ht="15" thickBot="1">
      <c r="A5" s="365"/>
      <c r="B5" s="692" t="s">
        <v>833</v>
      </c>
      <c r="C5" s="692" t="s">
        <v>832</v>
      </c>
      <c r="D5" s="365"/>
      <c r="E5" s="365"/>
      <c r="F5" s="365"/>
      <c r="G5" s="365"/>
      <c r="H5" s="365"/>
      <c r="I5" s="365"/>
      <c r="J5" s="365"/>
      <c r="K5" s="365"/>
      <c r="L5" s="365"/>
      <c r="M5" s="365"/>
      <c r="N5" s="365"/>
      <c r="O5" s="365"/>
    </row>
    <row r="6" spans="1:24" ht="15" thickBot="1">
      <c r="A6" s="365"/>
      <c r="B6" s="692"/>
      <c r="C6" s="692"/>
      <c r="D6" s="365"/>
      <c r="E6" s="268" t="s">
        <v>305</v>
      </c>
      <c r="F6" s="269">
        <f>SUM(F9:F38)</f>
        <v>0</v>
      </c>
      <c r="G6" s="30" t="s">
        <v>522</v>
      </c>
      <c r="H6" s="365"/>
      <c r="I6" s="30"/>
      <c r="J6" s="365"/>
      <c r="K6" s="365"/>
      <c r="L6" s="365"/>
      <c r="M6" s="365"/>
      <c r="N6" s="365"/>
      <c r="O6" s="365"/>
    </row>
    <row r="7" spans="1:24" ht="15" thickBot="1">
      <c r="A7" s="365"/>
      <c r="B7" s="697"/>
      <c r="C7" s="697"/>
      <c r="D7" s="30"/>
      <c r="E7" s="270" t="s">
        <v>523</v>
      </c>
      <c r="F7" s="269" t="e">
        <f>ROUND(SUM(X9:X38)/SUM(F9:F38),1)</f>
        <v>#DIV/0!</v>
      </c>
      <c r="G7" s="30" t="s">
        <v>524</v>
      </c>
      <c r="H7" s="365"/>
      <c r="I7" s="30"/>
      <c r="J7" s="30"/>
      <c r="K7" s="30"/>
      <c r="L7" s="30"/>
      <c r="M7" s="30"/>
      <c r="N7" s="30"/>
      <c r="O7" s="30"/>
      <c r="P7" s="30"/>
      <c r="Q7" s="30"/>
      <c r="R7" s="30"/>
      <c r="S7" s="30"/>
      <c r="T7" s="30"/>
      <c r="U7" s="30"/>
      <c r="V7" s="30"/>
    </row>
    <row r="8" spans="1:24" ht="74.5" thickBot="1">
      <c r="A8" s="271" t="s">
        <v>525</v>
      </c>
      <c r="B8" s="272" t="s">
        <v>526</v>
      </c>
      <c r="C8" s="272" t="s">
        <v>527</v>
      </c>
      <c r="D8" s="273" t="s">
        <v>528</v>
      </c>
      <c r="E8" s="273" t="s">
        <v>529</v>
      </c>
      <c r="F8" s="274" t="s">
        <v>530</v>
      </c>
      <c r="G8" s="271" t="s">
        <v>374</v>
      </c>
      <c r="H8" s="275" t="s">
        <v>531</v>
      </c>
      <c r="I8" s="276" t="s">
        <v>532</v>
      </c>
      <c r="J8" s="276" t="s">
        <v>533</v>
      </c>
      <c r="K8" s="276" t="s">
        <v>294</v>
      </c>
      <c r="L8" s="277" t="s">
        <v>534</v>
      </c>
      <c r="M8" s="277" t="s">
        <v>535</v>
      </c>
      <c r="N8" s="277" t="s">
        <v>536</v>
      </c>
      <c r="O8" s="277" t="s">
        <v>537</v>
      </c>
      <c r="P8" s="277" t="s">
        <v>538</v>
      </c>
      <c r="Q8" s="276" t="s">
        <v>539</v>
      </c>
      <c r="R8" s="277" t="s">
        <v>540</v>
      </c>
      <c r="S8" s="277" t="s">
        <v>541</v>
      </c>
      <c r="T8" s="277" t="s">
        <v>542</v>
      </c>
      <c r="U8" s="277" t="s">
        <v>543</v>
      </c>
      <c r="V8" s="277" t="s">
        <v>544</v>
      </c>
      <c r="W8" s="277" t="s">
        <v>545</v>
      </c>
      <c r="X8" s="278" t="s">
        <v>546</v>
      </c>
    </row>
    <row r="9" spans="1:24" ht="15.5">
      <c r="A9" s="366"/>
      <c r="B9" s="367"/>
      <c r="C9" s="367"/>
      <c r="D9" s="368"/>
      <c r="E9" s="369"/>
      <c r="F9" s="423"/>
      <c r="G9" s="370"/>
      <c r="H9" s="371"/>
      <c r="I9" s="280" t="str">
        <f>IFERROR(J9+K9,"")</f>
        <v/>
      </c>
      <c r="J9" s="281" t="str">
        <f>IFERROR(INDEX(Calculs_CABS!$F$7:$AI$7,1,ROW(E9)-ROW($E$8)),"")</f>
        <v/>
      </c>
      <c r="K9" s="282" t="str">
        <f t="array" ref="K9">IFERROR(INDEX(Calculs_CABS!$D$9:$E$900,MATCH(1,(Calculs_CABS!$C$9:$C$900=$E9)*(Calculs_CABS!$B$9:$B$900=K$8),0),2),"")</f>
        <v/>
      </c>
      <c r="L9" s="282" t="str">
        <f t="array" ref="L9">IFERROR(INDEX(Calculs_CABS!$D$9:$E$900,MATCH(1,(Calculs_CABS!$C$9:$C$900=$E9)*(Calculs_CABS!$B$9:$B$900=L$8),0),2),"")</f>
        <v/>
      </c>
      <c r="M9" s="282" t="str">
        <f t="array" ref="M9">IFERROR(INDEX(Calculs_CABS!$D$9:$E$900,MATCH(1,(Calculs_CABS!$C$9:$C$900=$E9)*(Calculs_CABS!$B$9:$B$900=M$8),0),2),"")</f>
        <v/>
      </c>
      <c r="N9" s="283" t="str">
        <f t="array" ref="N9">IFERROR(INDEX(Calculs_CABS!$D$9:$E$900,MATCH(1,(Calculs_CABS!$C$9:$C$900=$E9)*(Calculs_CABS!$B$9:$B$900=N$8),0),2),"")</f>
        <v/>
      </c>
      <c r="O9" s="282" t="str">
        <f t="array" ref="O9">IFERROR(INDEX(Calculs_CABS!$D$9:$E$900,MATCH(1,(Calculs_CABS!$C$9:$C$900=$E9)*(Calculs_CABS!$B$9:$B$900=O$8),0),1),"")</f>
        <v/>
      </c>
      <c r="P9" s="282" t="str">
        <f t="array" ref="P9">IFERROR(INDEX(Calculs_CABS!$D$9:$E900,MATCH(1,(Calculs_CABS!$C$9:$C$900=$E9)*(Calculs_CABS!$B$9:$B$900=O$8),0),2),"")</f>
        <v/>
      </c>
      <c r="Q9" s="384"/>
      <c r="R9" s="282" t="str">
        <f t="array" ref="R9">IFERROR(INDEX(Calculs_CABS!$D$9:$E$900,MATCH(1,(Calculs_CABS!$C$9:$C$900=$E9)*(Calculs_CABS!$B$9:$B$900=R$8),0),1),"")</f>
        <v/>
      </c>
      <c r="S9" s="282" t="str">
        <f t="array" ref="S9">IFERROR(INDEX(Calculs_CABS!$D$9:$E$900,MATCH(1,(Calculs_CABS!$C$9:$C$900=$E9)*(Calculs_CABS!$B$9:$B$900=R$8),0),2),"")</f>
        <v/>
      </c>
      <c r="T9" s="384"/>
      <c r="U9" s="282" t="str">
        <f t="array" ref="U9">IFERROR(INDEX(Calculs_CABS!$D$9:$E$900,MATCH(1,(Calculs_CABS!$C$9:$C$900=$E9)*(Calculs_CABS!$B$9:$B$900=U$8),0),1),"")</f>
        <v/>
      </c>
      <c r="V9" s="282" t="str">
        <f t="array" ref="V9">IFERROR(INDEX(Calculs_CABS!$D$9:$E$900,MATCH(1,(Calculs_CABS!$C$9:$C$900=$E9)*(Calculs_CABS!$B$9:$B$900=U$8),0),2),"")</f>
        <v/>
      </c>
      <c r="W9" s="384"/>
      <c r="X9" s="284" t="str">
        <f>IFERROR(I9*F9,"")</f>
        <v/>
      </c>
    </row>
    <row r="10" spans="1:24" ht="15.5">
      <c r="A10" s="366"/>
      <c r="B10" s="367"/>
      <c r="C10" s="367"/>
      <c r="D10" s="368"/>
      <c r="E10" s="369"/>
      <c r="F10" s="424"/>
      <c r="G10" s="370"/>
      <c r="H10" s="371"/>
      <c r="I10" s="286" t="str">
        <f t="shared" ref="I10:I38" si="0">IFERROR(J10+K10,"")</f>
        <v/>
      </c>
      <c r="J10" s="287" t="str">
        <f>IFERROR(INDEX(Calculs_CABS!$F$7:$AI$7,1,ROW(E10)-ROW($E$8)),"")</f>
        <v/>
      </c>
      <c r="K10" s="288" t="str">
        <f t="array" ref="K10">IFERROR(INDEX(Calculs_CABS!$D$9:$E$900,MATCH(1,(Calculs_CABS!$C$9:$C$900=$E10)*(Calculs_CABS!$B$9:$B$900=K$8),0),2),"")</f>
        <v/>
      </c>
      <c r="L10" s="288" t="str">
        <f t="array" ref="L10">IFERROR(INDEX(Calculs_CABS!$D$9:$E$900,MATCH(1,(Calculs_CABS!$C$9:$C$900=$E10)*(Calculs_CABS!$B$9:$B$900=L$8),0),2),"")</f>
        <v/>
      </c>
      <c r="M10" s="288" t="str">
        <f t="array" ref="M10">IFERROR(INDEX(Calculs_CABS!$D$9:$E$900,MATCH(1,(Calculs_CABS!$C$9:$C$900=$E10)*(Calculs_CABS!$B$9:$B$900=M$8),0),2),"")</f>
        <v/>
      </c>
      <c r="N10" s="289" t="str">
        <f t="array" ref="N10">IFERROR(INDEX(Calculs_CABS!$D$9:$E$900,MATCH(1,(Calculs_CABS!$C$9:$C$900=$E10)*(Calculs_CABS!$B$9:$B$900=N$8),0),2),"")</f>
        <v/>
      </c>
      <c r="O10" s="288" t="str">
        <f t="array" ref="O10">IFERROR(INDEX(Calculs_CABS!$D$9:$E$900,MATCH(1,(Calculs_CABS!$C$9:$C$900=$E10)*(Calculs_CABS!$B$9:$B$900=O$8),0),1),"")</f>
        <v/>
      </c>
      <c r="P10" s="288" t="str">
        <f t="array" ref="P10">IFERROR(INDEX(Calculs_CABS!$D$9:$E901,MATCH(1,(Calculs_CABS!$C$9:$C$900=$E10)*(Calculs_CABS!$B$9:$B$900=O$8),0),2),"")</f>
        <v/>
      </c>
      <c r="Q10" s="385"/>
      <c r="R10" s="288" t="str">
        <f t="array" ref="R10">IFERROR(INDEX(Calculs_CABS!$D$9:$E$900,MATCH(1,(Calculs_CABS!$C$9:$C$900=$E10)*(Calculs_CABS!$B$9:$B$900=R$8),0),1),"")</f>
        <v/>
      </c>
      <c r="S10" s="288" t="str">
        <f t="array" ref="S10">IFERROR(INDEX(Calculs_CABS!$D$9:$E$900,MATCH(1,(Calculs_CABS!$C$9:$C$900=$E10)*(Calculs_CABS!$B$9:$B$900=R$8),0),2),"")</f>
        <v/>
      </c>
      <c r="T10" s="385"/>
      <c r="U10" s="288" t="str">
        <f t="array" ref="U10">IFERROR(INDEX(Calculs_CABS!$D$9:$E$900,MATCH(1,(Calculs_CABS!$C$9:$C$900=$E10)*(Calculs_CABS!$B$9:$B$900=U$8),0),1),"")</f>
        <v/>
      </c>
      <c r="V10" s="288" t="str">
        <f t="array" ref="V10">IFERROR(INDEX(Calculs_CABS!$D$9:$E$900,MATCH(1,(Calculs_CABS!$C$9:$C$900=$E10)*(Calculs_CABS!$B$9:$B$900=U$8),0),2),"")</f>
        <v/>
      </c>
      <c r="W10" s="385"/>
      <c r="X10" s="290" t="str">
        <f t="shared" ref="X10:X38" si="1">IFERROR(I10*F10,"")</f>
        <v/>
      </c>
    </row>
    <row r="11" spans="1:24" ht="15.5">
      <c r="A11" s="366"/>
      <c r="B11" s="367"/>
      <c r="C11" s="367"/>
      <c r="D11" s="368"/>
      <c r="E11" s="369"/>
      <c r="F11" s="374"/>
      <c r="G11" s="370"/>
      <c r="H11" s="371"/>
      <c r="I11" s="286" t="str">
        <f t="shared" si="0"/>
        <v/>
      </c>
      <c r="J11" s="287" t="str">
        <f>IFERROR(INDEX(Calculs_CABS!$F$7:$AI$7,1,ROW(E11)-ROW($E$8)),"")</f>
        <v/>
      </c>
      <c r="K11" s="288" t="str">
        <f t="array" ref="K11">IFERROR(INDEX(Calculs_CABS!$D$9:$E$900,MATCH(1,(Calculs_CABS!$C$9:$C$900=$E11)*(Calculs_CABS!$B$9:$B$900=K$8),0),2),"")</f>
        <v/>
      </c>
      <c r="L11" s="288" t="str">
        <f t="array" ref="L11">IFERROR(INDEX(Calculs_CABS!$D$9:$E$900,MATCH(1,(Calculs_CABS!$C$9:$C$900=$E11)*(Calculs_CABS!$B$9:$B$900=L$8),0),2),"")</f>
        <v/>
      </c>
      <c r="M11" s="288" t="str">
        <f t="array" ref="M11">IFERROR(INDEX(Calculs_CABS!$D$9:$E$900,MATCH(1,(Calculs_CABS!$C$9:$C$900=$E11)*(Calculs_CABS!$B$9:$B$900=M$8),0),2),"")</f>
        <v/>
      </c>
      <c r="N11" s="289" t="str">
        <f t="array" ref="N11">IFERROR(INDEX(Calculs_CABS!$D$9:$E$900,MATCH(1,(Calculs_CABS!$C$9:$C$900=$E11)*(Calculs_CABS!$B$9:$B$900=N$8),0),2),"")</f>
        <v/>
      </c>
      <c r="O11" s="288" t="str">
        <f t="array" ref="O11">IFERROR(INDEX(Calculs_CABS!$D$9:$E$900,MATCH(1,(Calculs_CABS!$C$9:$C$900=$E11)*(Calculs_CABS!$B$9:$B$900=O$8),0),1),"")</f>
        <v/>
      </c>
      <c r="P11" s="288" t="str">
        <f t="array" ref="P11">IFERROR(INDEX(Calculs_CABS!$D$9:$E902,MATCH(1,(Calculs_CABS!$C$9:$C$900=$E11)*(Calculs_CABS!$B$9:$B$900=O$8),0),2),"")</f>
        <v/>
      </c>
      <c r="Q11" s="385"/>
      <c r="R11" s="288" t="str">
        <f t="array" ref="R11">IFERROR(INDEX(Calculs_CABS!$D$9:$E$900,MATCH(1,(Calculs_CABS!$C$9:$C$900=$E11)*(Calculs_CABS!$B$9:$B$900=R$8),0),1),"")</f>
        <v/>
      </c>
      <c r="S11" s="288" t="str">
        <f t="array" ref="S11">IFERROR(INDEX(Calculs_CABS!$D$9:$E$900,MATCH(1,(Calculs_CABS!$C$9:$C$900=$E11)*(Calculs_CABS!$B$9:$B$900=R$8),0),2),"")</f>
        <v/>
      </c>
      <c r="T11" s="388"/>
      <c r="U11" s="288" t="str">
        <f t="array" ref="U11">IFERROR(INDEX(Calculs_CABS!$D$9:$E$900,MATCH(1,(Calculs_CABS!$C$9:$C$900=$E11)*(Calculs_CABS!$B$9:$B$900=U$8),0),1),"")</f>
        <v/>
      </c>
      <c r="V11" s="288" t="str">
        <f t="array" ref="V11">IFERROR(INDEX(Calculs_CABS!$D$9:$E$900,MATCH(1,(Calculs_CABS!$C$9:$C$900=$E11)*(Calculs_CABS!$B$9:$B$900=U$8),0),2),"")</f>
        <v/>
      </c>
      <c r="W11" s="385"/>
      <c r="X11" s="290" t="str">
        <f t="shared" si="1"/>
        <v/>
      </c>
    </row>
    <row r="12" spans="1:24" ht="15.5">
      <c r="A12" s="366"/>
      <c r="B12" s="367"/>
      <c r="C12" s="367"/>
      <c r="D12" s="368"/>
      <c r="E12" s="369"/>
      <c r="F12" s="424"/>
      <c r="G12" s="370"/>
      <c r="H12" s="371"/>
      <c r="I12" s="286" t="str">
        <f t="shared" si="0"/>
        <v/>
      </c>
      <c r="J12" s="287" t="str">
        <f>IFERROR(INDEX(Calculs_CABS!$F$7:$AI$7,1,ROW(E12)-ROW($E$8)),"")</f>
        <v/>
      </c>
      <c r="K12" s="288" t="str">
        <f t="array" ref="K12">IFERROR(INDEX(Calculs_CABS!$D$9:$E$900,MATCH(1,(Calculs_CABS!$C$9:$C$900=$E12)*(Calculs_CABS!$B$9:$B$900=K$8),0),2),"")</f>
        <v/>
      </c>
      <c r="L12" s="288" t="str">
        <f t="array" ref="L12">IFERROR(INDEX(Calculs_CABS!$D$9:$E$900,MATCH(1,(Calculs_CABS!$C$9:$C$900=$E12)*(Calculs_CABS!$B$9:$B$900=L$8),0),2),"")</f>
        <v/>
      </c>
      <c r="M12" s="288" t="str">
        <f t="array" ref="M12">IFERROR(INDEX(Calculs_CABS!$D$9:$E$900,MATCH(1,(Calculs_CABS!$C$9:$C$900=$E12)*(Calculs_CABS!$B$9:$B$900=M$8),0),2),"")</f>
        <v/>
      </c>
      <c r="N12" s="289" t="str">
        <f t="array" ref="N12">IFERROR(INDEX(Calculs_CABS!$D$9:$E$900,MATCH(1,(Calculs_CABS!$C$9:$C$900=$E12)*(Calculs_CABS!$B$9:$B$900=N$8),0),2),"")</f>
        <v/>
      </c>
      <c r="O12" s="288" t="str">
        <f t="array" ref="O12">IFERROR(INDEX(Calculs_CABS!$D$9:$E$900,MATCH(1,(Calculs_CABS!$C$9:$C$900=$E12)*(Calculs_CABS!$B$9:$B$900=O$8),0),1),"")</f>
        <v/>
      </c>
      <c r="P12" s="288" t="str">
        <f t="array" ref="P12">IFERROR(INDEX(Calculs_CABS!$D$9:$E903,MATCH(1,(Calculs_CABS!$C$9:$C$900=$E12)*(Calculs_CABS!$B$9:$B$900=O$8),0),2),"")</f>
        <v/>
      </c>
      <c r="Q12" s="385"/>
      <c r="R12" s="288" t="str">
        <f t="array" ref="R12">IFERROR(INDEX(Calculs_CABS!$D$9:$E$900,MATCH(1,(Calculs_CABS!$C$9:$C$900=$E12)*(Calculs_CABS!$B$9:$B$900=R$8),0),1),"")</f>
        <v/>
      </c>
      <c r="S12" s="288" t="str">
        <f t="array" ref="S12">IFERROR(INDEX(Calculs_CABS!$D$9:$E$900,MATCH(1,(Calculs_CABS!$C$9:$C$900=$E12)*(Calculs_CABS!$B$9:$B$900=R$8),0),2),"")</f>
        <v/>
      </c>
      <c r="T12" s="385"/>
      <c r="U12" s="288" t="str">
        <f t="array" ref="U12">IFERROR(INDEX(Calculs_CABS!$D$9:$E$900,MATCH(1,(Calculs_CABS!$C$9:$C$900=$E12)*(Calculs_CABS!$B$9:$B$900=U$8),0),1),"")</f>
        <v/>
      </c>
      <c r="V12" s="288" t="str">
        <f t="array" ref="V12">IFERROR(INDEX(Calculs_CABS!$D$9:$E$900,MATCH(1,(Calculs_CABS!$C$9:$C$900=$E12)*(Calculs_CABS!$B$9:$B$900=U$8),0),2),"")</f>
        <v/>
      </c>
      <c r="W12" s="385"/>
      <c r="X12" s="290" t="str">
        <f t="shared" si="1"/>
        <v/>
      </c>
    </row>
    <row r="13" spans="1:24" ht="15.5">
      <c r="A13" s="366"/>
      <c r="B13" s="367"/>
      <c r="C13" s="367"/>
      <c r="D13" s="368"/>
      <c r="E13" s="369"/>
      <c r="F13" s="424"/>
      <c r="G13" s="370"/>
      <c r="H13" s="371"/>
      <c r="I13" s="286" t="str">
        <f t="shared" si="0"/>
        <v/>
      </c>
      <c r="J13" s="287" t="str">
        <f>IFERROR(INDEX(Calculs_CABS!$F$7:$AI$7,1,ROW(E13)-ROW($E$8)),"")</f>
        <v/>
      </c>
      <c r="K13" s="288" t="str">
        <f t="array" ref="K13">IFERROR(INDEX(Calculs_CABS!$D$9:$E$900,MATCH(1,(Calculs_CABS!$C$9:$C$900=$E13)*(Calculs_CABS!$B$9:$B$900=K$8),0),2),"")</f>
        <v/>
      </c>
      <c r="L13" s="288" t="str">
        <f t="array" ref="L13">IFERROR(INDEX(Calculs_CABS!$D$9:$E$900,MATCH(1,(Calculs_CABS!$C$9:$C$900=$E13)*(Calculs_CABS!$B$9:$B$900=L$8),0),2),"")</f>
        <v/>
      </c>
      <c r="M13" s="288" t="str">
        <f t="array" ref="M13">IFERROR(INDEX(Calculs_CABS!$D$9:$E$900,MATCH(1,(Calculs_CABS!$C$9:$C$900=$E13)*(Calculs_CABS!$B$9:$B$900=M$8),0),2),"")</f>
        <v/>
      </c>
      <c r="N13" s="289" t="str">
        <f t="array" ref="N13">IFERROR(INDEX(Calculs_CABS!$D$9:$E$900,MATCH(1,(Calculs_CABS!$C$9:$C$900=$E13)*(Calculs_CABS!$B$9:$B$900=N$8),0),2),"")</f>
        <v/>
      </c>
      <c r="O13" s="288" t="str">
        <f t="array" ref="O13">IFERROR(INDEX(Calculs_CABS!$D$9:$E$900,MATCH(1,(Calculs_CABS!$C$9:$C$900=$E13)*(Calculs_CABS!$B$9:$B$900=O$8),0),1),"")</f>
        <v/>
      </c>
      <c r="P13" s="288" t="str">
        <f t="array" ref="P13">IFERROR(INDEX(Calculs_CABS!$D$9:$E904,MATCH(1,(Calculs_CABS!$C$9:$C$900=$E13)*(Calculs_CABS!$B$9:$B$900=O$8),0),2),"")</f>
        <v/>
      </c>
      <c r="Q13" s="386"/>
      <c r="R13" s="288" t="str">
        <f t="array" ref="R13">IFERROR(INDEX(Calculs_CABS!$D$9:$E$900,MATCH(1,(Calculs_CABS!$C$9:$C$900=$E13)*(Calculs_CABS!$B$9:$B$900=R$8),0),1),"")</f>
        <v/>
      </c>
      <c r="S13" s="288" t="str">
        <f t="array" ref="S13">IFERROR(INDEX(Calculs_CABS!$D$9:$E$900,MATCH(1,(Calculs_CABS!$C$9:$C$900=$E13)*(Calculs_CABS!$B$9:$B$900=R$8),0),2),"")</f>
        <v/>
      </c>
      <c r="T13" s="385"/>
      <c r="U13" s="288" t="str">
        <f t="array" ref="U13">IFERROR(INDEX(Calculs_CABS!$D$9:$E$900,MATCH(1,(Calculs_CABS!$C$9:$C$900=$E13)*(Calculs_CABS!$B$9:$B$900=U$8),0),1),"")</f>
        <v/>
      </c>
      <c r="V13" s="288" t="str">
        <f t="array" ref="V13">IFERROR(INDEX(Calculs_CABS!$D$9:$E$900,MATCH(1,(Calculs_CABS!$C$9:$C$900=$E13)*(Calculs_CABS!$B$9:$B$900=U$8),0),2),"")</f>
        <v/>
      </c>
      <c r="W13" s="386"/>
      <c r="X13" s="290" t="str">
        <f t="shared" si="1"/>
        <v/>
      </c>
    </row>
    <row r="14" spans="1:24" ht="15.5">
      <c r="A14" s="372"/>
      <c r="B14" s="367"/>
      <c r="C14" s="367"/>
      <c r="D14" s="368"/>
      <c r="E14" s="369"/>
      <c r="F14" s="374"/>
      <c r="G14" s="370"/>
      <c r="H14" s="371"/>
      <c r="I14" s="286" t="str">
        <f t="shared" si="0"/>
        <v/>
      </c>
      <c r="J14" s="287" t="str">
        <f>IFERROR(INDEX(Calculs_CABS!$F$7:$AI$7,1,ROW(E14)-ROW($E$8)),"")</f>
        <v/>
      </c>
      <c r="K14" s="288" t="str">
        <f t="array" ref="K14">IFERROR(INDEX(Calculs_CABS!$D$9:$E$900,MATCH(1,(Calculs_CABS!$C$9:$C$900=$E14)*(Calculs_CABS!$B$9:$B$900=K$8),0),2),"")</f>
        <v/>
      </c>
      <c r="L14" s="288" t="str">
        <f t="array" ref="L14">IFERROR(INDEX(Calculs_CABS!$D$9:$E$900,MATCH(1,(Calculs_CABS!$C$9:$C$900=$E14)*(Calculs_CABS!$B$9:$B$900=L$8),0),2),"")</f>
        <v/>
      </c>
      <c r="M14" s="288" t="str">
        <f t="array" ref="M14">IFERROR(INDEX(Calculs_CABS!$D$9:$E$900,MATCH(1,(Calculs_CABS!$C$9:$C$900=$E14)*(Calculs_CABS!$B$9:$B$900=M$8),0),2),"")</f>
        <v/>
      </c>
      <c r="N14" s="289" t="str">
        <f t="array" ref="N14">IFERROR(INDEX(Calculs_CABS!$D$9:$E$900,MATCH(1,(Calculs_CABS!$C$9:$C$900=$E14)*(Calculs_CABS!$B$9:$B$900=N$8),0),2),"")</f>
        <v/>
      </c>
      <c r="O14" s="288" t="str">
        <f t="array" ref="O14">IFERROR(INDEX(Calculs_CABS!$D$9:$E$900,MATCH(1,(Calculs_CABS!$C$9:$C$900=$E14)*(Calculs_CABS!$B$9:$B$900=O$8),0),1),"")</f>
        <v/>
      </c>
      <c r="P14" s="288" t="str">
        <f t="array" ref="P14">IFERROR(INDEX(Calculs_CABS!$D$9:$E905,MATCH(1,(Calculs_CABS!$C$9:$C$900=$E14)*(Calculs_CABS!$B$9:$B$900=O$8),0),2),"")</f>
        <v/>
      </c>
      <c r="Q14" s="385"/>
      <c r="R14" s="288" t="str">
        <f t="array" ref="R14">IFERROR(INDEX(Calculs_CABS!$D$9:$E$900,MATCH(1,(Calculs_CABS!$C$9:$C$900=$E14)*(Calculs_CABS!$B$9:$B$900=R$8),0),1),"")</f>
        <v/>
      </c>
      <c r="S14" s="288" t="str">
        <f t="array" ref="S14">IFERROR(INDEX(Calculs_CABS!$D$9:$E$900,MATCH(1,(Calculs_CABS!$C$9:$C$900=$E14)*(Calculs_CABS!$B$9:$B$900=R$8),0),2),"")</f>
        <v/>
      </c>
      <c r="T14" s="385"/>
      <c r="U14" s="288" t="str">
        <f t="array" ref="U14">IFERROR(INDEX(Calculs_CABS!$D$9:$E$900,MATCH(1,(Calculs_CABS!$C$9:$C$900=$E14)*(Calculs_CABS!$B$9:$B$900=U$8),0),1),"")</f>
        <v/>
      </c>
      <c r="V14" s="288" t="str">
        <f t="array" ref="V14">IFERROR(INDEX(Calculs_CABS!$D$9:$E$900,MATCH(1,(Calculs_CABS!$C$9:$C$900=$E14)*(Calculs_CABS!$B$9:$B$900=U$8),0),2),"")</f>
        <v/>
      </c>
      <c r="W14" s="385"/>
      <c r="X14" s="290" t="str">
        <f t="shared" si="1"/>
        <v/>
      </c>
    </row>
    <row r="15" spans="1:24" ht="15.5">
      <c r="A15" s="372"/>
      <c r="B15" s="375"/>
      <c r="C15" s="367"/>
      <c r="D15" s="368"/>
      <c r="E15" s="373"/>
      <c r="F15" s="424"/>
      <c r="G15" s="370"/>
      <c r="H15" s="371"/>
      <c r="I15" s="286" t="str">
        <f t="shared" si="0"/>
        <v/>
      </c>
      <c r="J15" s="287" t="str">
        <f>IFERROR(INDEX(Calculs_CABS!$F$7:$AI$7,1,ROW(E15)-ROW($E$8)),"")</f>
        <v/>
      </c>
      <c r="K15" s="288" t="str">
        <f t="array" ref="K15">IFERROR(INDEX(Calculs_CABS!$D$9:$E$900,MATCH(1,(Calculs_CABS!$C$9:$C$900=$E15)*(Calculs_CABS!$B$9:$B$900=K$8),0),2),"")</f>
        <v/>
      </c>
      <c r="L15" s="288" t="str">
        <f t="array" ref="L15">IFERROR(INDEX(Calculs_CABS!$D$9:$E$900,MATCH(1,(Calculs_CABS!$C$9:$C$900=$E15)*(Calculs_CABS!$B$9:$B$900=L$8),0),2),"")</f>
        <v/>
      </c>
      <c r="M15" s="288" t="str">
        <f t="array" ref="M15">IFERROR(INDEX(Calculs_CABS!$D$9:$E$900,MATCH(1,(Calculs_CABS!$C$9:$C$900=$E15)*(Calculs_CABS!$B$9:$B$900=M$8),0),2),"")</f>
        <v/>
      </c>
      <c r="N15" s="289" t="str">
        <f t="array" ref="N15">IFERROR(INDEX(Calculs_CABS!$D$9:$E$900,MATCH(1,(Calculs_CABS!$C$9:$C$900=$E15)*(Calculs_CABS!$B$9:$B$900=N$8),0),2),"")</f>
        <v/>
      </c>
      <c r="O15" s="288" t="str">
        <f t="array" ref="O15">IFERROR(INDEX(Calculs_CABS!$D$9:$E$900,MATCH(1,(Calculs_CABS!$C$9:$C$900=$E15)*(Calculs_CABS!$B$9:$B$900=O$8),0),1),"")</f>
        <v/>
      </c>
      <c r="P15" s="288" t="str">
        <f t="array" ref="P15">IFERROR(INDEX(Calculs_CABS!$D$9:$E906,MATCH(1,(Calculs_CABS!$C$9:$C$900=$E15)*(Calculs_CABS!$B$9:$B$900=O$8),0),2),"")</f>
        <v/>
      </c>
      <c r="Q15" s="386"/>
      <c r="R15" s="288" t="str">
        <f t="array" ref="R15">IFERROR(INDEX(Calculs_CABS!$D$9:$E$900,MATCH(1,(Calculs_CABS!$C$9:$C$900=$E15)*(Calculs_CABS!$B$9:$B$900=R$8),0),1),"")</f>
        <v/>
      </c>
      <c r="S15" s="288" t="str">
        <f t="array" ref="S15">IFERROR(INDEX(Calculs_CABS!$D$9:$E$900,MATCH(1,(Calculs_CABS!$C$9:$C$900=$E15)*(Calculs_CABS!$B$9:$B$900=R$8),0),2),"")</f>
        <v/>
      </c>
      <c r="T15" s="385"/>
      <c r="U15" s="288" t="str">
        <f t="array" ref="U15">IFERROR(INDEX(Calculs_CABS!$D$9:$E$900,MATCH(1,(Calculs_CABS!$C$9:$C$900=$E15)*(Calculs_CABS!$B$9:$B$900=U$8),0),1),"")</f>
        <v/>
      </c>
      <c r="V15" s="288" t="str">
        <f t="array" ref="V15">IFERROR(INDEX(Calculs_CABS!$D$9:$E$900,MATCH(1,(Calculs_CABS!$C$9:$C$900=$E15)*(Calculs_CABS!$B$9:$B$900=U$8),0),2),"")</f>
        <v/>
      </c>
      <c r="W15" s="385"/>
      <c r="X15" s="290" t="str">
        <f t="shared" si="1"/>
        <v/>
      </c>
    </row>
    <row r="16" spans="1:24" ht="15.5">
      <c r="A16" s="372"/>
      <c r="B16" s="375"/>
      <c r="C16" s="375"/>
      <c r="D16" s="368"/>
      <c r="E16" s="373"/>
      <c r="F16" s="374"/>
      <c r="G16" s="370"/>
      <c r="H16" s="371"/>
      <c r="I16" s="286" t="str">
        <f t="shared" si="0"/>
        <v/>
      </c>
      <c r="J16" s="287" t="str">
        <f>IFERROR(INDEX(Calculs_CABS!$F$7:$AI$7,1,ROW(E16)-ROW($E$8)),"")</f>
        <v/>
      </c>
      <c r="K16" s="288" t="str">
        <f t="array" ref="K16">IFERROR(INDEX(Calculs_CABS!$D$9:$E$900,MATCH(1,(Calculs_CABS!$C$9:$C$900=$E16)*(Calculs_CABS!$B$9:$B$900=K$8),0),2),"")</f>
        <v/>
      </c>
      <c r="L16" s="288" t="str">
        <f t="array" ref="L16">IFERROR(INDEX(Calculs_CABS!$D$9:$E$900,MATCH(1,(Calculs_CABS!$C$9:$C$900=$E16)*(Calculs_CABS!$B$9:$B$900=L$8),0),2),"")</f>
        <v/>
      </c>
      <c r="M16" s="288" t="str">
        <f t="array" ref="M16">IFERROR(INDEX(Calculs_CABS!$D$9:$E$900,MATCH(1,(Calculs_CABS!$C$9:$C$900=$E16)*(Calculs_CABS!$B$9:$B$900=M$8),0),2),"")</f>
        <v/>
      </c>
      <c r="N16" s="289" t="str">
        <f t="array" ref="N16">IFERROR(INDEX(Calculs_CABS!$D$9:$E$900,MATCH(1,(Calculs_CABS!$C$9:$C$900=$E16)*(Calculs_CABS!$B$9:$B$900=N$8),0),2),"")</f>
        <v/>
      </c>
      <c r="O16" s="288" t="str">
        <f t="array" ref="O16">IFERROR(INDEX(Calculs_CABS!$D$9:$E$900,MATCH(1,(Calculs_CABS!$C$9:$C$900=$E16)*(Calculs_CABS!$B$9:$B$900=O$8),0),1),"")</f>
        <v/>
      </c>
      <c r="P16" s="288" t="str">
        <f t="array" ref="P16">IFERROR(INDEX(Calculs_CABS!$D$9:$E907,MATCH(1,(Calculs_CABS!$C$9:$C$900=$E16)*(Calculs_CABS!$B$9:$B$900=O$8),0),2),"")</f>
        <v/>
      </c>
      <c r="Q16" s="385"/>
      <c r="R16" s="288" t="str">
        <f t="array" ref="R16">IFERROR(INDEX(Calculs_CABS!$D$9:$E$900,MATCH(1,(Calculs_CABS!$C$9:$C$900=$E16)*(Calculs_CABS!$B$9:$B$900=R$8),0),1),"")</f>
        <v/>
      </c>
      <c r="S16" s="288" t="str">
        <f t="array" ref="S16">IFERROR(INDEX(Calculs_CABS!$D$9:$E$900,MATCH(1,(Calculs_CABS!$C$9:$C$900=$E16)*(Calculs_CABS!$B$9:$B$900=R$8),0),2),"")</f>
        <v/>
      </c>
      <c r="T16" s="386"/>
      <c r="U16" s="288" t="str">
        <f t="array" ref="U16">IFERROR(INDEX(Calculs_CABS!$D$9:$E$900,MATCH(1,(Calculs_CABS!$C$9:$C$900=$E16)*(Calculs_CABS!$B$9:$B$900=U$8),0),1),"")</f>
        <v/>
      </c>
      <c r="V16" s="288" t="str">
        <f t="array" ref="V16">IFERROR(INDEX(Calculs_CABS!$D$9:$E$900,MATCH(1,(Calculs_CABS!$C$9:$C$900=$E16)*(Calculs_CABS!$B$9:$B$900=U$8),0),2),"")</f>
        <v/>
      </c>
      <c r="W16" s="386"/>
      <c r="X16" s="290" t="str">
        <f t="shared" si="1"/>
        <v/>
      </c>
    </row>
    <row r="17" spans="1:24" ht="15.5">
      <c r="A17" s="372"/>
      <c r="B17" s="375"/>
      <c r="C17" s="375"/>
      <c r="D17" s="368"/>
      <c r="E17" s="373"/>
      <c r="F17" s="374"/>
      <c r="G17" s="370"/>
      <c r="H17" s="371"/>
      <c r="I17" s="286" t="str">
        <f t="shared" si="0"/>
        <v/>
      </c>
      <c r="J17" s="287" t="str">
        <f>IFERROR(INDEX(Calculs_CABS!$F$7:$AI$7,1,ROW(E17)-ROW($E$8)),"")</f>
        <v/>
      </c>
      <c r="K17" s="288" t="str">
        <f t="array" ref="K17">IFERROR(INDEX(Calculs_CABS!$D$9:$E$900,MATCH(1,(Calculs_CABS!$C$9:$C$900=$E17)*(Calculs_CABS!$B$9:$B$900=K$8),0),2),"")</f>
        <v/>
      </c>
      <c r="L17" s="288" t="str">
        <f t="array" ref="L17">IFERROR(INDEX(Calculs_CABS!$D$9:$E$900,MATCH(1,(Calculs_CABS!$C$9:$C$900=$E17)*(Calculs_CABS!$B$9:$B$900=L$8),0),2),"")</f>
        <v/>
      </c>
      <c r="M17" s="288" t="str">
        <f t="array" ref="M17">IFERROR(INDEX(Calculs_CABS!$D$9:$E$900,MATCH(1,(Calculs_CABS!$C$9:$C$900=$E17)*(Calculs_CABS!$B$9:$B$900=M$8),0),2),"")</f>
        <v/>
      </c>
      <c r="N17" s="289" t="str">
        <f t="array" ref="N17">IFERROR(INDEX(Calculs_CABS!$D$9:$E$900,MATCH(1,(Calculs_CABS!$C$9:$C$900=$E17)*(Calculs_CABS!$B$9:$B$900=N$8),0),2),"")</f>
        <v/>
      </c>
      <c r="O17" s="288" t="str">
        <f t="array" ref="O17">IFERROR(INDEX(Calculs_CABS!$D$9:$E$900,MATCH(1,(Calculs_CABS!$C$9:$C$900=$E17)*(Calculs_CABS!$B$9:$B$900=O$8),0),1),"")</f>
        <v/>
      </c>
      <c r="P17" s="288" t="str">
        <f t="array" ref="P17">IFERROR(INDEX(Calculs_CABS!$D$9:$E908,MATCH(1,(Calculs_CABS!$C$9:$C$900=$E17)*(Calculs_CABS!$B$9:$B$900=O$8),0),2),"")</f>
        <v/>
      </c>
      <c r="Q17" s="385"/>
      <c r="R17" s="288" t="str">
        <f t="array" ref="R17">IFERROR(INDEX(Calculs_CABS!$D$9:$E$900,MATCH(1,(Calculs_CABS!$C$9:$C$900=$E17)*(Calculs_CABS!$B$9:$B$900=R$8),0),1),"")</f>
        <v/>
      </c>
      <c r="S17" s="288" t="str">
        <f t="array" ref="S17">IFERROR(INDEX(Calculs_CABS!$D$9:$E$900,MATCH(1,(Calculs_CABS!$C$9:$C$900=$E17)*(Calculs_CABS!$B$9:$B$900=R$8),0),2),"")</f>
        <v/>
      </c>
      <c r="T17" s="386"/>
      <c r="U17" s="288" t="str">
        <f t="array" ref="U17">IFERROR(INDEX(Calculs_CABS!$D$9:$E$900,MATCH(1,(Calculs_CABS!$C$9:$C$900=$E17)*(Calculs_CABS!$B$9:$B$900=U$8),0),1),"")</f>
        <v/>
      </c>
      <c r="V17" s="288" t="str">
        <f t="array" ref="V17">IFERROR(INDEX(Calculs_CABS!$D$9:$E$900,MATCH(1,(Calculs_CABS!$C$9:$C$900=$E17)*(Calculs_CABS!$B$9:$B$900=U$8),0),2),"")</f>
        <v/>
      </c>
      <c r="W17" s="386"/>
      <c r="X17" s="290" t="str">
        <f t="shared" si="1"/>
        <v/>
      </c>
    </row>
    <row r="18" spans="1:24" ht="15.5">
      <c r="A18" s="372"/>
      <c r="B18" s="375"/>
      <c r="C18" s="375"/>
      <c r="D18" s="368"/>
      <c r="E18" s="369"/>
      <c r="F18" s="374"/>
      <c r="G18" s="370"/>
      <c r="H18" s="371"/>
      <c r="I18" s="286" t="str">
        <f t="shared" si="0"/>
        <v/>
      </c>
      <c r="J18" s="287" t="str">
        <f>IFERROR(INDEX(Calculs_CABS!$F$7:$AI$7,1,ROW(E18)-ROW($E$8)),"")</f>
        <v/>
      </c>
      <c r="K18" s="288" t="str">
        <f t="array" ref="K18">IFERROR(INDEX(Calculs_CABS!$D$9:$E$900,MATCH(1,(Calculs_CABS!$C$9:$C$900=$E18)*(Calculs_CABS!$B$9:$B$900=K$8),0),2),"")</f>
        <v/>
      </c>
      <c r="L18" s="288" t="str">
        <f t="array" ref="L18">IFERROR(INDEX(Calculs_CABS!$D$9:$E$900,MATCH(1,(Calculs_CABS!$C$9:$C$900=$E18)*(Calculs_CABS!$B$9:$B$900=L$8),0),2),"")</f>
        <v/>
      </c>
      <c r="M18" s="288" t="str">
        <f t="array" ref="M18">IFERROR(INDEX(Calculs_CABS!$D$9:$E$900,MATCH(1,(Calculs_CABS!$C$9:$C$900=$E18)*(Calculs_CABS!$B$9:$B$900=M$8),0),2),"")</f>
        <v/>
      </c>
      <c r="N18" s="289" t="str">
        <f t="array" ref="N18">IFERROR(INDEX(Calculs_CABS!$D$9:$E$900,MATCH(1,(Calculs_CABS!$C$9:$C$900=$E18)*(Calculs_CABS!$B$9:$B$900=N$8),0),2),"")</f>
        <v/>
      </c>
      <c r="O18" s="288" t="str">
        <f t="array" ref="O18">IFERROR(INDEX(Calculs_CABS!$D$9:$E$900,MATCH(1,(Calculs_CABS!$C$9:$C$900=$E18)*(Calculs_CABS!$B$9:$B$900=O$8),0),1),"")</f>
        <v/>
      </c>
      <c r="P18" s="288" t="str">
        <f t="array" ref="P18">IFERROR(INDEX(Calculs_CABS!$D$9:$E909,MATCH(1,(Calculs_CABS!$C$9:$C$900=$E18)*(Calculs_CABS!$B$9:$B$900=O$8),0),2),"")</f>
        <v/>
      </c>
      <c r="Q18" s="386"/>
      <c r="R18" s="288" t="str">
        <f t="array" ref="R18">IFERROR(INDEX(Calculs_CABS!$D$9:$E$900,MATCH(1,(Calculs_CABS!$C$9:$C$900=$E18)*(Calculs_CABS!$B$9:$B$900=R$8),0),1),"")</f>
        <v/>
      </c>
      <c r="S18" s="288" t="str">
        <f t="array" ref="S18">IFERROR(INDEX(Calculs_CABS!$D$9:$E$900,MATCH(1,(Calculs_CABS!$C$9:$C$900=$E18)*(Calculs_CABS!$B$9:$B$900=R$8),0),2),"")</f>
        <v/>
      </c>
      <c r="T18" s="386"/>
      <c r="U18" s="288" t="str">
        <f t="array" ref="U18">IFERROR(INDEX(Calculs_CABS!$D$9:$E$900,MATCH(1,(Calculs_CABS!$C$9:$C$900=$E18)*(Calculs_CABS!$B$9:$B$900=U$8),0),1),"")</f>
        <v/>
      </c>
      <c r="V18" s="288" t="str">
        <f t="array" ref="V18">IFERROR(INDEX(Calculs_CABS!$D$9:$E$900,MATCH(1,(Calculs_CABS!$C$9:$C$900=$E18)*(Calculs_CABS!$B$9:$B$900=U$8),0),2),"")</f>
        <v/>
      </c>
      <c r="W18" s="386"/>
      <c r="X18" s="290" t="str">
        <f t="shared" si="1"/>
        <v/>
      </c>
    </row>
    <row r="19" spans="1:24" ht="15.5">
      <c r="A19" s="372"/>
      <c r="B19" s="375"/>
      <c r="C19" s="375"/>
      <c r="D19" s="368"/>
      <c r="E19" s="369"/>
      <c r="F19" s="374"/>
      <c r="G19" s="370"/>
      <c r="H19" s="371"/>
      <c r="I19" s="286" t="str">
        <f t="shared" si="0"/>
        <v/>
      </c>
      <c r="J19" s="287" t="str">
        <f>IFERROR(INDEX(Calculs_CABS!$F$7:$AI$7,1,ROW(E19)-ROW($E$8)),"")</f>
        <v/>
      </c>
      <c r="K19" s="288" t="str">
        <f t="array" ref="K19">IFERROR(INDEX(Calculs_CABS!$D$9:$E$900,MATCH(1,(Calculs_CABS!$C$9:$C$900=$E19)*(Calculs_CABS!$B$9:$B$900=K$8),0),2),"")</f>
        <v/>
      </c>
      <c r="L19" s="288" t="str">
        <f t="array" ref="L19">IFERROR(INDEX(Calculs_CABS!$D$9:$E$900,MATCH(1,(Calculs_CABS!$C$9:$C$900=$E19)*(Calculs_CABS!$B$9:$B$900=L$8),0),2),"")</f>
        <v/>
      </c>
      <c r="M19" s="288" t="str">
        <f t="array" ref="M19">IFERROR(INDEX(Calculs_CABS!$D$9:$E$900,MATCH(1,(Calculs_CABS!$C$9:$C$900=$E19)*(Calculs_CABS!$B$9:$B$900=M$8),0),2),"")</f>
        <v/>
      </c>
      <c r="N19" s="289" t="str">
        <f t="array" ref="N19">IFERROR(INDEX(Calculs_CABS!$D$9:$E$900,MATCH(1,(Calculs_CABS!$C$9:$C$900=$E19)*(Calculs_CABS!$B$9:$B$900=N$8),0),2),"")</f>
        <v/>
      </c>
      <c r="O19" s="288" t="str">
        <f t="array" ref="O19">IFERROR(INDEX(Calculs_CABS!$D$9:$E$900,MATCH(1,(Calculs_CABS!$C$9:$C$900=$E19)*(Calculs_CABS!$B$9:$B$900=O$8),0),1),"")</f>
        <v/>
      </c>
      <c r="P19" s="288" t="str">
        <f t="array" ref="P19">IFERROR(INDEX(Calculs_CABS!$D$9:$E910,MATCH(1,(Calculs_CABS!$C$9:$C$900=$E19)*(Calculs_CABS!$B$9:$B$900=O$8),0),2),"")</f>
        <v/>
      </c>
      <c r="Q19" s="386"/>
      <c r="R19" s="288" t="str">
        <f t="array" ref="R19">IFERROR(INDEX(Calculs_CABS!$D$9:$E$900,MATCH(1,(Calculs_CABS!$C$9:$C$900=$E19)*(Calculs_CABS!$B$9:$B$900=R$8),0),1),"")</f>
        <v/>
      </c>
      <c r="S19" s="288" t="str">
        <f t="array" ref="S19">IFERROR(INDEX(Calculs_CABS!$D$9:$E$900,MATCH(1,(Calculs_CABS!$C$9:$C$900=$E19)*(Calculs_CABS!$B$9:$B$900=R$8),0),2),"")</f>
        <v/>
      </c>
      <c r="T19" s="385"/>
      <c r="U19" s="288" t="str">
        <f t="array" ref="U19">IFERROR(INDEX(Calculs_CABS!$D$9:$E$900,MATCH(1,(Calculs_CABS!$C$9:$C$900=$E19)*(Calculs_CABS!$B$9:$B$900=U$8),0),1),"")</f>
        <v/>
      </c>
      <c r="V19" s="288" t="str">
        <f t="array" ref="V19">IFERROR(INDEX(Calculs_CABS!$D$9:$E$900,MATCH(1,(Calculs_CABS!$C$9:$C$900=$E19)*(Calculs_CABS!$B$9:$B$900=U$8),0),2),"")</f>
        <v/>
      </c>
      <c r="W19" s="385"/>
      <c r="X19" s="290" t="str">
        <f t="shared" si="1"/>
        <v/>
      </c>
    </row>
    <row r="20" spans="1:24" ht="15.5">
      <c r="A20" s="372"/>
      <c r="B20" s="375"/>
      <c r="C20" s="375"/>
      <c r="D20" s="368"/>
      <c r="E20" s="369"/>
      <c r="F20" s="374"/>
      <c r="G20" s="370"/>
      <c r="H20" s="371"/>
      <c r="I20" s="286" t="str">
        <f t="shared" si="0"/>
        <v/>
      </c>
      <c r="J20" s="287" t="str">
        <f>IFERROR(INDEX(Calculs_CABS!$F$7:$AI$7,1,ROW(E20)-ROW($E$8)),"")</f>
        <v/>
      </c>
      <c r="K20" s="288" t="str">
        <f t="array" ref="K20">IFERROR(INDEX(Calculs_CABS!$D$9:$E$900,MATCH(1,(Calculs_CABS!$C$9:$C$900=$E20)*(Calculs_CABS!$B$9:$B$900=K$8),0),2),"")</f>
        <v/>
      </c>
      <c r="L20" s="288" t="str">
        <f t="array" ref="L20">IFERROR(INDEX(Calculs_CABS!$D$9:$E$900,MATCH(1,(Calculs_CABS!$C$9:$C$900=$E20)*(Calculs_CABS!$B$9:$B$900=L$8),0),2),"")</f>
        <v/>
      </c>
      <c r="M20" s="288" t="str">
        <f t="array" ref="M20">IFERROR(INDEX(Calculs_CABS!$D$9:$E$900,MATCH(1,(Calculs_CABS!$C$9:$C$900=$E20)*(Calculs_CABS!$B$9:$B$900=M$8),0),2),"")</f>
        <v/>
      </c>
      <c r="N20" s="289" t="str">
        <f t="array" ref="N20">IFERROR(INDEX(Calculs_CABS!$D$9:$E$900,MATCH(1,(Calculs_CABS!$C$9:$C$900=$E20)*(Calculs_CABS!$B$9:$B$900=N$8),0),2),"")</f>
        <v/>
      </c>
      <c r="O20" s="288" t="str">
        <f t="array" ref="O20">IFERROR(INDEX(Calculs_CABS!$D$9:$E$900,MATCH(1,(Calculs_CABS!$C$9:$C$900=$E20)*(Calculs_CABS!$B$9:$B$900=O$8),0),1),"")</f>
        <v/>
      </c>
      <c r="P20" s="288" t="str">
        <f t="array" ref="P20">IFERROR(INDEX(Calculs_CABS!$D$9:$E911,MATCH(1,(Calculs_CABS!$C$9:$C$900=$E20)*(Calculs_CABS!$B$9:$B$900=O$8),0),2),"")</f>
        <v/>
      </c>
      <c r="Q20" s="385"/>
      <c r="R20" s="288" t="str">
        <f t="array" ref="R20">IFERROR(INDEX(Calculs_CABS!$D$9:$E$900,MATCH(1,(Calculs_CABS!$C$9:$C$900=$E20)*(Calculs_CABS!$B$9:$B$900=R$8),0),1),"")</f>
        <v/>
      </c>
      <c r="S20" s="288" t="str">
        <f t="array" ref="S20">IFERROR(INDEX(Calculs_CABS!$D$9:$E$900,MATCH(1,(Calculs_CABS!$C$9:$C$900=$E20)*(Calculs_CABS!$B$9:$B$900=R$8),0),2),"")</f>
        <v/>
      </c>
      <c r="T20" s="385"/>
      <c r="U20" s="288" t="str">
        <f t="array" ref="U20">IFERROR(INDEX(Calculs_CABS!$D$9:$E$900,MATCH(1,(Calculs_CABS!$C$9:$C$900=$E20)*(Calculs_CABS!$B$9:$B$900=U$8),0),1),"")</f>
        <v/>
      </c>
      <c r="V20" s="288" t="str">
        <f t="array" ref="V20">IFERROR(INDEX(Calculs_CABS!$D$9:$E$900,MATCH(1,(Calculs_CABS!$C$9:$C$900=$E20)*(Calculs_CABS!$B$9:$B$900=U$8),0),2),"")</f>
        <v/>
      </c>
      <c r="W20" s="385"/>
      <c r="X20" s="290" t="str">
        <f t="shared" si="1"/>
        <v/>
      </c>
    </row>
    <row r="21" spans="1:24" ht="15.5">
      <c r="A21" s="372"/>
      <c r="B21" s="375"/>
      <c r="C21" s="375"/>
      <c r="D21" s="368"/>
      <c r="E21" s="373"/>
      <c r="F21" s="374"/>
      <c r="G21" s="370"/>
      <c r="H21" s="371"/>
      <c r="I21" s="286" t="str">
        <f t="shared" si="0"/>
        <v/>
      </c>
      <c r="J21" s="287" t="str">
        <f>IFERROR(INDEX(Calculs_CABS!$F$7:$AI$7,1,ROW(E21)-ROW($E$8)),"")</f>
        <v/>
      </c>
      <c r="K21" s="288" t="str">
        <f t="array" ref="K21">IFERROR(INDEX(Calculs_CABS!$D$9:$E$900,MATCH(1,(Calculs_CABS!$C$9:$C$900=$E21)*(Calculs_CABS!$B$9:$B$900=K$8),0),2),"")</f>
        <v/>
      </c>
      <c r="L21" s="288" t="str">
        <f t="array" ref="L21">IFERROR(INDEX(Calculs_CABS!$D$9:$E$900,MATCH(1,(Calculs_CABS!$C$9:$C$900=$E21)*(Calculs_CABS!$B$9:$B$900=L$8),0),2),"")</f>
        <v/>
      </c>
      <c r="M21" s="288" t="str">
        <f t="array" ref="M21">IFERROR(INDEX(Calculs_CABS!$D$9:$E$900,MATCH(1,(Calculs_CABS!$C$9:$C$900=$E21)*(Calculs_CABS!$B$9:$B$900=M$8),0),2),"")</f>
        <v/>
      </c>
      <c r="N21" s="289" t="str">
        <f t="array" ref="N21">IFERROR(INDEX(Calculs_CABS!$D$9:$E$900,MATCH(1,(Calculs_CABS!$C$9:$C$900=$E21)*(Calculs_CABS!$B$9:$B$900=N$8),0),2),"")</f>
        <v/>
      </c>
      <c r="O21" s="288" t="str">
        <f t="array" ref="O21">IFERROR(INDEX(Calculs_CABS!$D$9:$E$900,MATCH(1,(Calculs_CABS!$C$9:$C$900=$E21)*(Calculs_CABS!$B$9:$B$900=O$8),0),1),"")</f>
        <v/>
      </c>
      <c r="P21" s="288" t="str">
        <f t="array" ref="P21">IFERROR(INDEX(Calculs_CABS!$D$9:$E912,MATCH(1,(Calculs_CABS!$C$9:$C$900=$E21)*(Calculs_CABS!$B$9:$B$900=O$8),0),2),"")</f>
        <v/>
      </c>
      <c r="Q21" s="385"/>
      <c r="R21" s="288" t="str">
        <f t="array" ref="R21">IFERROR(INDEX(Calculs_CABS!$D$9:$E$900,MATCH(1,(Calculs_CABS!$C$9:$C$900=$E21)*(Calculs_CABS!$B$9:$B$900=R$8),0),1),"")</f>
        <v/>
      </c>
      <c r="S21" s="288" t="str">
        <f t="array" ref="S21">IFERROR(INDEX(Calculs_CABS!$D$9:$E$900,MATCH(1,(Calculs_CABS!$C$9:$C$900=$E21)*(Calculs_CABS!$B$9:$B$900=R$8),0),2),"")</f>
        <v/>
      </c>
      <c r="T21" s="385"/>
      <c r="U21" s="288" t="str">
        <f t="array" ref="U21">IFERROR(INDEX(Calculs_CABS!$D$9:$E$900,MATCH(1,(Calculs_CABS!$C$9:$C$900=$E21)*(Calculs_CABS!$B$9:$B$900=U$8),0),1),"")</f>
        <v/>
      </c>
      <c r="V21" s="288" t="str">
        <f t="array" ref="V21">IFERROR(INDEX(Calculs_CABS!$D$9:$E$900,MATCH(1,(Calculs_CABS!$C$9:$C$900=$E21)*(Calculs_CABS!$B$9:$B$900=U$8),0),2),"")</f>
        <v/>
      </c>
      <c r="W21" s="385"/>
      <c r="X21" s="290" t="str">
        <f t="shared" si="1"/>
        <v/>
      </c>
    </row>
    <row r="22" spans="1:24" ht="15.5">
      <c r="A22" s="372"/>
      <c r="B22" s="375"/>
      <c r="C22" s="375"/>
      <c r="D22" s="368"/>
      <c r="E22" s="373"/>
      <c r="F22" s="374"/>
      <c r="G22" s="370"/>
      <c r="H22" s="371"/>
      <c r="I22" s="286" t="str">
        <f t="shared" si="0"/>
        <v/>
      </c>
      <c r="J22" s="287" t="str">
        <f>IFERROR(INDEX(Calculs_CABS!$F$7:$AI$7,1,ROW(E22)-ROW($E$8)),"")</f>
        <v/>
      </c>
      <c r="K22" s="288" t="str">
        <f t="array" ref="K22">IFERROR(INDEX(Calculs_CABS!$D$9:$E$900,MATCH(1,(Calculs_CABS!$C$9:$C$900=$E22)*(Calculs_CABS!$B$9:$B$900=K$8),0),2),"")</f>
        <v/>
      </c>
      <c r="L22" s="288" t="str">
        <f t="array" ref="L22">IFERROR(INDEX(Calculs_CABS!$D$9:$E$900,MATCH(1,(Calculs_CABS!$C$9:$C$900=$E22)*(Calculs_CABS!$B$9:$B$900=L$8),0),2),"")</f>
        <v/>
      </c>
      <c r="M22" s="288" t="str">
        <f t="array" ref="M22">IFERROR(INDEX(Calculs_CABS!$D$9:$E$900,MATCH(1,(Calculs_CABS!$C$9:$C$900=$E22)*(Calculs_CABS!$B$9:$B$900=M$8),0),2),"")</f>
        <v/>
      </c>
      <c r="N22" s="289" t="str">
        <f t="array" ref="N22">IFERROR(INDEX(Calculs_CABS!$D$9:$E$900,MATCH(1,(Calculs_CABS!$C$9:$C$900=$E22)*(Calculs_CABS!$B$9:$B$900=N$8),0),2),"")</f>
        <v/>
      </c>
      <c r="O22" s="288" t="str">
        <f t="array" ref="O22">IFERROR(INDEX(Calculs_CABS!$D$9:$E$900,MATCH(1,(Calculs_CABS!$C$9:$C$900=$E22)*(Calculs_CABS!$B$9:$B$900=O$8),0),1),"")</f>
        <v/>
      </c>
      <c r="P22" s="288" t="str">
        <f t="array" ref="P22">IFERROR(INDEX(Calculs_CABS!$D$9:$E913,MATCH(1,(Calculs_CABS!$C$9:$C$900=$E22)*(Calculs_CABS!$B$9:$B$900=O$8),0),2),"")</f>
        <v/>
      </c>
      <c r="Q22" s="386"/>
      <c r="R22" s="288" t="str">
        <f t="array" ref="R22">IFERROR(INDEX(Calculs_CABS!$D$9:$E$900,MATCH(1,(Calculs_CABS!$C$9:$C$900=$E22)*(Calculs_CABS!$B$9:$B$900=R$8),0),1),"")</f>
        <v/>
      </c>
      <c r="S22" s="288" t="str">
        <f t="array" ref="S22">IFERROR(INDEX(Calculs_CABS!$D$9:$E$900,MATCH(1,(Calculs_CABS!$C$9:$C$900=$E22)*(Calculs_CABS!$B$9:$B$900=R$8),0),2),"")</f>
        <v/>
      </c>
      <c r="T22" s="385"/>
      <c r="U22" s="288" t="str">
        <f t="array" ref="U22">IFERROR(INDEX(Calculs_CABS!$D$9:$E$900,MATCH(1,(Calculs_CABS!$C$9:$C$900=$E22)*(Calculs_CABS!$B$9:$B$900=U$8),0),1),"")</f>
        <v/>
      </c>
      <c r="V22" s="288" t="str">
        <f t="array" ref="V22">IFERROR(INDEX(Calculs_CABS!$D$9:$E$900,MATCH(1,(Calculs_CABS!$C$9:$C$900=$E22)*(Calculs_CABS!$B$9:$B$900=U$8),0),2),"")</f>
        <v/>
      </c>
      <c r="W22" s="385"/>
      <c r="X22" s="290" t="str">
        <f t="shared" si="1"/>
        <v/>
      </c>
    </row>
    <row r="23" spans="1:24" ht="15.5">
      <c r="A23" s="372"/>
      <c r="B23" s="375"/>
      <c r="C23" s="375"/>
      <c r="D23" s="368"/>
      <c r="E23" s="373"/>
      <c r="F23" s="374"/>
      <c r="G23" s="370"/>
      <c r="H23" s="371"/>
      <c r="I23" s="286" t="str">
        <f t="shared" si="0"/>
        <v/>
      </c>
      <c r="J23" s="287" t="str">
        <f>IFERROR(INDEX(Calculs_CABS!$F$7:$AI$7,1,ROW(E23)-ROW($E$8)),"")</f>
        <v/>
      </c>
      <c r="K23" s="288" t="str">
        <f t="array" ref="K23">IFERROR(INDEX(Calculs_CABS!$D$9:$E$900,MATCH(1,(Calculs_CABS!$C$9:$C$900=$E23)*(Calculs_CABS!$B$9:$B$900=K$8),0),2),"")</f>
        <v/>
      </c>
      <c r="L23" s="288" t="str">
        <f t="array" ref="L23">IFERROR(INDEX(Calculs_CABS!$D$9:$E$900,MATCH(1,(Calculs_CABS!$C$9:$C$900=$E23)*(Calculs_CABS!$B$9:$B$900=L$8),0),2),"")</f>
        <v/>
      </c>
      <c r="M23" s="288" t="str">
        <f t="array" ref="M23">IFERROR(INDEX(Calculs_CABS!$D$9:$E$900,MATCH(1,(Calculs_CABS!$C$9:$C$900=$E23)*(Calculs_CABS!$B$9:$B$900=M$8),0),2),"")</f>
        <v/>
      </c>
      <c r="N23" s="289" t="str">
        <f t="array" ref="N23">IFERROR(INDEX(Calculs_CABS!$D$9:$E$900,MATCH(1,(Calculs_CABS!$C$9:$C$900=$E23)*(Calculs_CABS!$B$9:$B$900=N$8),0),2),"")</f>
        <v/>
      </c>
      <c r="O23" s="288" t="str">
        <f t="array" ref="O23">IFERROR(INDEX(Calculs_CABS!$D$9:$E$900,MATCH(1,(Calculs_CABS!$C$9:$C$900=$E23)*(Calculs_CABS!$B$9:$B$900=O$8),0),1),"")</f>
        <v/>
      </c>
      <c r="P23" s="288" t="str">
        <f t="array" ref="P23">IFERROR(INDEX(Calculs_CABS!$D$9:$E914,MATCH(1,(Calculs_CABS!$C$9:$C$900=$E23)*(Calculs_CABS!$B$9:$B$900=O$8),0),2),"")</f>
        <v/>
      </c>
      <c r="Q23" s="385"/>
      <c r="R23" s="288" t="str">
        <f t="array" ref="R23">IFERROR(INDEX(Calculs_CABS!$D$9:$E$900,MATCH(1,(Calculs_CABS!$C$9:$C$900=$E23)*(Calculs_CABS!$B$9:$B$900=R$8),0),1),"")</f>
        <v/>
      </c>
      <c r="S23" s="288" t="str">
        <f t="array" ref="S23">IFERROR(INDEX(Calculs_CABS!$D$9:$E$900,MATCH(1,(Calculs_CABS!$C$9:$C$900=$E23)*(Calculs_CABS!$B$9:$B$900=R$8),0),2),"")</f>
        <v/>
      </c>
      <c r="T23" s="385"/>
      <c r="U23" s="288" t="str">
        <f t="array" ref="U23">IFERROR(INDEX(Calculs_CABS!$D$9:$E$900,MATCH(1,(Calculs_CABS!$C$9:$C$900=$E23)*(Calculs_CABS!$B$9:$B$900=U$8),0),1),"")</f>
        <v/>
      </c>
      <c r="V23" s="288" t="str">
        <f t="array" ref="V23">IFERROR(INDEX(Calculs_CABS!$D$9:$E$900,MATCH(1,(Calculs_CABS!$C$9:$C$900=$E23)*(Calculs_CABS!$B$9:$B$900=U$8),0),2),"")</f>
        <v/>
      </c>
      <c r="W23" s="385"/>
      <c r="X23" s="290" t="str">
        <f t="shared" si="1"/>
        <v/>
      </c>
    </row>
    <row r="24" spans="1:24" ht="15.5">
      <c r="A24" s="372"/>
      <c r="B24" s="375"/>
      <c r="C24" s="375"/>
      <c r="D24" s="368"/>
      <c r="E24" s="373"/>
      <c r="F24" s="374"/>
      <c r="G24" s="370"/>
      <c r="H24" s="371"/>
      <c r="I24" s="286" t="str">
        <f t="shared" si="0"/>
        <v/>
      </c>
      <c r="J24" s="287" t="str">
        <f>IFERROR(INDEX(Calculs_CABS!$F$7:$AI$7,1,ROW(E24)-ROW($E$8)),"")</f>
        <v/>
      </c>
      <c r="K24" s="288" t="str">
        <f t="array" ref="K24">IFERROR(INDEX(Calculs_CABS!$D$9:$E$900,MATCH(1,(Calculs_CABS!$C$9:$C$900=$E24)*(Calculs_CABS!$B$9:$B$900=K$8),0),2),"")</f>
        <v/>
      </c>
      <c r="L24" s="288" t="str">
        <f t="array" ref="L24">IFERROR(INDEX(Calculs_CABS!$D$9:$E$900,MATCH(1,(Calculs_CABS!$C$9:$C$900=$E24)*(Calculs_CABS!$B$9:$B$900=L$8),0),2),"")</f>
        <v/>
      </c>
      <c r="M24" s="288" t="str">
        <f t="array" ref="M24">IFERROR(INDEX(Calculs_CABS!$D$9:$E$900,MATCH(1,(Calculs_CABS!$C$9:$C$900=$E24)*(Calculs_CABS!$B$9:$B$900=M$8),0),2),"")</f>
        <v/>
      </c>
      <c r="N24" s="289" t="str">
        <f t="array" ref="N24">IFERROR(INDEX(Calculs_CABS!$D$9:$E$900,MATCH(1,(Calculs_CABS!$C$9:$C$900=$E24)*(Calculs_CABS!$B$9:$B$900=N$8),0),2),"")</f>
        <v/>
      </c>
      <c r="O24" s="288" t="str">
        <f t="array" ref="O24">IFERROR(INDEX(Calculs_CABS!$D$9:$E$900,MATCH(1,(Calculs_CABS!$C$9:$C$900=$E24)*(Calculs_CABS!$B$9:$B$900=O$8),0),1),"")</f>
        <v/>
      </c>
      <c r="P24" s="288" t="str">
        <f t="array" ref="P24">IFERROR(INDEX(Calculs_CABS!$D$9:$E915,MATCH(1,(Calculs_CABS!$C$9:$C$900=$E24)*(Calculs_CABS!$B$9:$B$900=O$8),0),2),"")</f>
        <v/>
      </c>
      <c r="Q24" s="385"/>
      <c r="R24" s="288" t="str">
        <f t="array" ref="R24">IFERROR(INDEX(Calculs_CABS!$D$9:$E$900,MATCH(1,(Calculs_CABS!$C$9:$C$900=$E24)*(Calculs_CABS!$B$9:$B$900=R$8),0),1),"")</f>
        <v/>
      </c>
      <c r="S24" s="288" t="str">
        <f t="array" ref="S24">IFERROR(INDEX(Calculs_CABS!$D$9:$E$900,MATCH(1,(Calculs_CABS!$C$9:$C$900=$E24)*(Calculs_CABS!$B$9:$B$900=R$8),0),2),"")</f>
        <v/>
      </c>
      <c r="T24" s="385"/>
      <c r="U24" s="288" t="str">
        <f t="array" ref="U24">IFERROR(INDEX(Calculs_CABS!$D$9:$E$900,MATCH(1,(Calculs_CABS!$C$9:$C$900=$E24)*(Calculs_CABS!$B$9:$B$900=U$8),0),1),"")</f>
        <v/>
      </c>
      <c r="V24" s="288" t="str">
        <f t="array" ref="V24">IFERROR(INDEX(Calculs_CABS!$D$9:$E$900,MATCH(1,(Calculs_CABS!$C$9:$C$900=$E24)*(Calculs_CABS!$B$9:$B$900=U$8),0),2),"")</f>
        <v/>
      </c>
      <c r="W24" s="385"/>
      <c r="X24" s="290" t="str">
        <f t="shared" si="1"/>
        <v/>
      </c>
    </row>
    <row r="25" spans="1:24" ht="15.5">
      <c r="A25" s="372"/>
      <c r="B25" s="375"/>
      <c r="C25" s="375"/>
      <c r="D25" s="368"/>
      <c r="E25" s="373"/>
      <c r="F25" s="374"/>
      <c r="G25" s="370"/>
      <c r="H25" s="376"/>
      <c r="I25" s="286" t="str">
        <f t="shared" si="0"/>
        <v/>
      </c>
      <c r="J25" s="287" t="str">
        <f>IFERROR(INDEX(Calculs_CABS!$F$7:$AI$7,1,ROW(E25)-ROW($E$8)),"")</f>
        <v/>
      </c>
      <c r="K25" s="288" t="str">
        <f t="array" ref="K25">IFERROR(INDEX(Calculs_CABS!$D$9:$E$900,MATCH(1,(Calculs_CABS!$C$9:$C$900=$E25)*(Calculs_CABS!$B$9:$B$900=K$8),0),2),"")</f>
        <v/>
      </c>
      <c r="L25" s="288" t="str">
        <f t="array" ref="L25">IFERROR(INDEX(Calculs_CABS!$D$9:$E$900,MATCH(1,(Calculs_CABS!$C$9:$C$900=$E25)*(Calculs_CABS!$B$9:$B$900=L$8),0),2),"")</f>
        <v/>
      </c>
      <c r="M25" s="288" t="str">
        <f t="array" ref="M25">IFERROR(INDEX(Calculs_CABS!$D$9:$E$900,MATCH(1,(Calculs_CABS!$C$9:$C$900=$E25)*(Calculs_CABS!$B$9:$B$900=M$8),0),2),"")</f>
        <v/>
      </c>
      <c r="N25" s="289" t="str">
        <f t="array" ref="N25">IFERROR(INDEX(Calculs_CABS!$D$9:$E$900,MATCH(1,(Calculs_CABS!$C$9:$C$900=$E25)*(Calculs_CABS!$B$9:$B$900=N$8),0),2),"")</f>
        <v/>
      </c>
      <c r="O25" s="288" t="str">
        <f t="array" ref="O25">IFERROR(INDEX(Calculs_CABS!$D$9:$E$900,MATCH(1,(Calculs_CABS!$C$9:$C$900=$E25)*(Calculs_CABS!$B$9:$B$900=O$8),0),1),"")</f>
        <v/>
      </c>
      <c r="P25" s="288" t="str">
        <f t="array" ref="P25">IFERROR(INDEX(Calculs_CABS!$D$9:$E916,MATCH(1,(Calculs_CABS!$C$9:$C$900=$E25)*(Calculs_CABS!$B$9:$B$900=O$8),0),2),"")</f>
        <v/>
      </c>
      <c r="Q25" s="385"/>
      <c r="R25" s="288" t="str">
        <f t="array" ref="R25">IFERROR(INDEX(Calculs_CABS!$D$9:$E$900,MATCH(1,(Calculs_CABS!$C$9:$C$900=$E25)*(Calculs_CABS!$B$9:$B$900=R$8),0),1),"")</f>
        <v/>
      </c>
      <c r="S25" s="288" t="str">
        <f t="array" ref="S25">IFERROR(INDEX(Calculs_CABS!$D$9:$E$900,MATCH(1,(Calculs_CABS!$C$9:$C$900=$E25)*(Calculs_CABS!$B$9:$B$900=R$8),0),2),"")</f>
        <v/>
      </c>
      <c r="T25" s="385"/>
      <c r="U25" s="288" t="str">
        <f t="array" ref="U25">IFERROR(INDEX(Calculs_CABS!$D$9:$E$900,MATCH(1,(Calculs_CABS!$C$9:$C$900=$E25)*(Calculs_CABS!$B$9:$B$900=U$8),0),1),"")</f>
        <v/>
      </c>
      <c r="V25" s="288" t="str">
        <f t="array" ref="V25">IFERROR(INDEX(Calculs_CABS!$D$9:$E$900,MATCH(1,(Calculs_CABS!$C$9:$C$900=$E25)*(Calculs_CABS!$B$9:$B$900=U$8),0),2),"")</f>
        <v/>
      </c>
      <c r="W25" s="385"/>
      <c r="X25" s="290" t="str">
        <f t="shared" si="1"/>
        <v/>
      </c>
    </row>
    <row r="26" spans="1:24" ht="15.5">
      <c r="A26" s="372"/>
      <c r="B26" s="375"/>
      <c r="C26" s="375"/>
      <c r="D26" s="368"/>
      <c r="E26" s="373"/>
      <c r="F26" s="374"/>
      <c r="G26" s="370"/>
      <c r="H26" s="376"/>
      <c r="I26" s="286" t="str">
        <f t="shared" si="0"/>
        <v/>
      </c>
      <c r="J26" s="287" t="str">
        <f>IFERROR(INDEX(Calculs_CABS!$F$7:$AI$7,1,ROW(E26)-ROW($E$8)),"")</f>
        <v/>
      </c>
      <c r="K26" s="288" t="str">
        <f t="array" ref="K26">IFERROR(INDEX(Calculs_CABS!$D$9:$E$900,MATCH(1,(Calculs_CABS!$C$9:$C$900=$E26)*(Calculs_CABS!$B$9:$B$900=K$8),0),2),"")</f>
        <v/>
      </c>
      <c r="L26" s="288" t="str">
        <f t="array" ref="L26">IFERROR(INDEX(Calculs_CABS!$D$9:$E$900,MATCH(1,(Calculs_CABS!$C$9:$C$900=$E26)*(Calculs_CABS!$B$9:$B$900=L$8),0),2),"")</f>
        <v/>
      </c>
      <c r="M26" s="288" t="str">
        <f t="array" ref="M26">IFERROR(INDEX(Calculs_CABS!$D$9:$E$900,MATCH(1,(Calculs_CABS!$C$9:$C$900=$E26)*(Calculs_CABS!$B$9:$B$900=M$8),0),2),"")</f>
        <v/>
      </c>
      <c r="N26" s="289" t="str">
        <f t="array" ref="N26">IFERROR(INDEX(Calculs_CABS!$D$9:$E$900,MATCH(1,(Calculs_CABS!$C$9:$C$900=$E26)*(Calculs_CABS!$B$9:$B$900=N$8),0),2),"")</f>
        <v/>
      </c>
      <c r="O26" s="288" t="str">
        <f t="array" ref="O26">IFERROR(INDEX(Calculs_CABS!$D$9:$E$900,MATCH(1,(Calculs_CABS!$C$9:$C$900=$E26)*(Calculs_CABS!$B$9:$B$900=O$8),0),1),"")</f>
        <v/>
      </c>
      <c r="P26" s="288" t="str">
        <f t="array" ref="P26">IFERROR(INDEX(Calculs_CABS!$D$9:$E917,MATCH(1,(Calculs_CABS!$C$9:$C$900=$E26)*(Calculs_CABS!$B$9:$B$900=O$8),0),2),"")</f>
        <v/>
      </c>
      <c r="Q26" s="385"/>
      <c r="R26" s="288" t="str">
        <f t="array" ref="R26">IFERROR(INDEX(Calculs_CABS!$D$9:$E$900,MATCH(1,(Calculs_CABS!$C$9:$C$900=$E26)*(Calculs_CABS!$B$9:$B$900=R$8),0),1),"")</f>
        <v/>
      </c>
      <c r="S26" s="288" t="str">
        <f t="array" ref="S26">IFERROR(INDEX(Calculs_CABS!$D$9:$E$900,MATCH(1,(Calculs_CABS!$C$9:$C$900=$E26)*(Calculs_CABS!$B$9:$B$900=R$8),0),2),"")</f>
        <v/>
      </c>
      <c r="T26" s="385"/>
      <c r="U26" s="288" t="str">
        <f t="array" ref="U26">IFERROR(INDEX(Calculs_CABS!$D$9:$E$900,MATCH(1,(Calculs_CABS!$C$9:$C$900=$E26)*(Calculs_CABS!$B$9:$B$900=U$8),0),1),"")</f>
        <v/>
      </c>
      <c r="V26" s="288" t="str">
        <f t="array" ref="V26">IFERROR(INDEX(Calculs_CABS!$D$9:$E$900,MATCH(1,(Calculs_CABS!$C$9:$C$900=$E26)*(Calculs_CABS!$B$9:$B$900=U$8),0),2),"")</f>
        <v/>
      </c>
      <c r="W26" s="385"/>
      <c r="X26" s="290" t="str">
        <f t="shared" si="1"/>
        <v/>
      </c>
    </row>
    <row r="27" spans="1:24" ht="15.5">
      <c r="A27" s="372"/>
      <c r="B27" s="375"/>
      <c r="C27" s="375"/>
      <c r="D27" s="368"/>
      <c r="E27" s="373"/>
      <c r="F27" s="374"/>
      <c r="G27" s="370"/>
      <c r="H27" s="376"/>
      <c r="I27" s="286" t="str">
        <f t="shared" si="0"/>
        <v/>
      </c>
      <c r="J27" s="287" t="str">
        <f>IFERROR(INDEX(Calculs_CABS!$F$7:$AI$7,1,ROW(E27)-ROW($E$8)),"")</f>
        <v/>
      </c>
      <c r="K27" s="288" t="str">
        <f t="array" ref="K27">IFERROR(INDEX(Calculs_CABS!$D$9:$E$900,MATCH(1,(Calculs_CABS!$C$9:$C$900=$E27)*(Calculs_CABS!$B$9:$B$900=K$8),0),2),"")</f>
        <v/>
      </c>
      <c r="L27" s="288" t="str">
        <f t="array" ref="L27">IFERROR(INDEX(Calculs_CABS!$D$9:$E$900,MATCH(1,(Calculs_CABS!$C$9:$C$900=$E27)*(Calculs_CABS!$B$9:$B$900=L$8),0),2),"")</f>
        <v/>
      </c>
      <c r="M27" s="288" t="str">
        <f t="array" ref="M27">IFERROR(INDEX(Calculs_CABS!$D$9:$E$900,MATCH(1,(Calculs_CABS!$C$9:$C$900=$E27)*(Calculs_CABS!$B$9:$B$900=M$8),0),2),"")</f>
        <v/>
      </c>
      <c r="N27" s="289" t="str">
        <f t="array" ref="N27">IFERROR(INDEX(Calculs_CABS!$D$9:$E$900,MATCH(1,(Calculs_CABS!$C$9:$C$900=$E27)*(Calculs_CABS!$B$9:$B$900=N$8),0),2),"")</f>
        <v/>
      </c>
      <c r="O27" s="288" t="str">
        <f t="array" ref="O27">IFERROR(INDEX(Calculs_CABS!$D$9:$E$900,MATCH(1,(Calculs_CABS!$C$9:$C$900=$E27)*(Calculs_CABS!$B$9:$B$900=O$8),0),1),"")</f>
        <v/>
      </c>
      <c r="P27" s="288" t="str">
        <f t="array" ref="P27">IFERROR(INDEX(Calculs_CABS!$D$9:$E918,MATCH(1,(Calculs_CABS!$C$9:$C$900=$E27)*(Calculs_CABS!$B$9:$B$900=O$8),0),2),"")</f>
        <v/>
      </c>
      <c r="Q27" s="385"/>
      <c r="R27" s="288" t="str">
        <f t="array" ref="R27">IFERROR(INDEX(Calculs_CABS!$D$9:$E$900,MATCH(1,(Calculs_CABS!$C$9:$C$900=$E27)*(Calculs_CABS!$B$9:$B$900=R$8),0),1),"")</f>
        <v/>
      </c>
      <c r="S27" s="288" t="str">
        <f t="array" ref="S27">IFERROR(INDEX(Calculs_CABS!$D$9:$E$900,MATCH(1,(Calculs_CABS!$C$9:$C$900=$E27)*(Calculs_CABS!$B$9:$B$900=R$8),0),2),"")</f>
        <v/>
      </c>
      <c r="T27" s="385"/>
      <c r="U27" s="288" t="str">
        <f t="array" ref="U27">IFERROR(INDEX(Calculs_CABS!$D$9:$E$900,MATCH(1,(Calculs_CABS!$C$9:$C$900=$E27)*(Calculs_CABS!$B$9:$B$900=U$8),0),1),"")</f>
        <v/>
      </c>
      <c r="V27" s="288" t="str">
        <f t="array" ref="V27">IFERROR(INDEX(Calculs_CABS!$D$9:$E$900,MATCH(1,(Calculs_CABS!$C$9:$C$900=$E27)*(Calculs_CABS!$B$9:$B$900=U$8),0),2),"")</f>
        <v/>
      </c>
      <c r="W27" s="385"/>
      <c r="X27" s="290" t="str">
        <f t="shared" si="1"/>
        <v/>
      </c>
    </row>
    <row r="28" spans="1:24" ht="15.5">
      <c r="A28" s="372"/>
      <c r="B28" s="375"/>
      <c r="C28" s="375"/>
      <c r="D28" s="368"/>
      <c r="E28" s="373"/>
      <c r="F28" s="374"/>
      <c r="G28" s="370"/>
      <c r="H28" s="376"/>
      <c r="I28" s="286" t="str">
        <f t="shared" si="0"/>
        <v/>
      </c>
      <c r="J28" s="287" t="str">
        <f>IFERROR(INDEX(Calculs_CABS!$F$7:$AI$7,1,ROW(E28)-ROW($E$8)),"")</f>
        <v/>
      </c>
      <c r="K28" s="288" t="str">
        <f t="array" ref="K28">IFERROR(INDEX(Calculs_CABS!$D$9:$E$900,MATCH(1,(Calculs_CABS!$C$9:$C$900=$E28)*(Calculs_CABS!$B$9:$B$900=K$8),0),2),"")</f>
        <v/>
      </c>
      <c r="L28" s="288" t="str">
        <f t="array" ref="L28">IFERROR(INDEX(Calculs_CABS!$D$9:$E$900,MATCH(1,(Calculs_CABS!$C$9:$C$900=$E28)*(Calculs_CABS!$B$9:$B$900=L$8),0),2),"")</f>
        <v/>
      </c>
      <c r="M28" s="288" t="str">
        <f t="array" ref="M28">IFERROR(INDEX(Calculs_CABS!$D$9:$E$900,MATCH(1,(Calculs_CABS!$C$9:$C$900=$E28)*(Calculs_CABS!$B$9:$B$900=M$8),0),2),"")</f>
        <v/>
      </c>
      <c r="N28" s="289" t="str">
        <f t="array" ref="N28">IFERROR(INDEX(Calculs_CABS!$D$9:$E$900,MATCH(1,(Calculs_CABS!$C$9:$C$900=$E28)*(Calculs_CABS!$B$9:$B$900=N$8),0),2),"")</f>
        <v/>
      </c>
      <c r="O28" s="288" t="str">
        <f t="array" ref="O28">IFERROR(INDEX(Calculs_CABS!$D$9:$E$900,MATCH(1,(Calculs_CABS!$C$9:$C$900=$E28)*(Calculs_CABS!$B$9:$B$900=O$8),0),1),"")</f>
        <v/>
      </c>
      <c r="P28" s="288" t="str">
        <f t="array" ref="P28">IFERROR(INDEX(Calculs_CABS!$D$9:$E919,MATCH(1,(Calculs_CABS!$C$9:$C$900=$E28)*(Calculs_CABS!$B$9:$B$900=O$8),0),2),"")</f>
        <v/>
      </c>
      <c r="Q28" s="385"/>
      <c r="R28" s="288" t="str">
        <f t="array" ref="R28">IFERROR(INDEX(Calculs_CABS!$D$9:$E$900,MATCH(1,(Calculs_CABS!$C$9:$C$900=$E28)*(Calculs_CABS!$B$9:$B$900=R$8),0),1),"")</f>
        <v/>
      </c>
      <c r="S28" s="288" t="str">
        <f t="array" ref="S28">IFERROR(INDEX(Calculs_CABS!$D$9:$E$900,MATCH(1,(Calculs_CABS!$C$9:$C$900=$E28)*(Calculs_CABS!$B$9:$B$900=R$8),0),2),"")</f>
        <v/>
      </c>
      <c r="T28" s="385"/>
      <c r="U28" s="288" t="str">
        <f t="array" ref="U28">IFERROR(INDEX(Calculs_CABS!$D$9:$E$900,MATCH(1,(Calculs_CABS!$C$9:$C$900=$E28)*(Calculs_CABS!$B$9:$B$900=U$8),0),1),"")</f>
        <v/>
      </c>
      <c r="V28" s="288" t="str">
        <f t="array" ref="V28">IFERROR(INDEX(Calculs_CABS!$D$9:$E$900,MATCH(1,(Calculs_CABS!$C$9:$C$900=$E28)*(Calculs_CABS!$B$9:$B$900=U$8),0),2),"")</f>
        <v/>
      </c>
      <c r="W28" s="385"/>
      <c r="X28" s="290" t="str">
        <f t="shared" si="1"/>
        <v/>
      </c>
    </row>
    <row r="29" spans="1:24" ht="15.5">
      <c r="A29" s="372"/>
      <c r="B29" s="375"/>
      <c r="C29" s="375"/>
      <c r="D29" s="368"/>
      <c r="E29" s="373"/>
      <c r="F29" s="374"/>
      <c r="G29" s="370"/>
      <c r="H29" s="376"/>
      <c r="I29" s="286" t="str">
        <f t="shared" si="0"/>
        <v/>
      </c>
      <c r="J29" s="287" t="str">
        <f>IFERROR(INDEX(Calculs_CABS!$F$7:$AI$7,1,ROW(E29)-ROW($E$8)),"")</f>
        <v/>
      </c>
      <c r="K29" s="288" t="str">
        <f t="array" ref="K29">IFERROR(INDEX(Calculs_CABS!$D$9:$E$900,MATCH(1,(Calculs_CABS!$C$9:$C$900=$E29)*(Calculs_CABS!$B$9:$B$900=K$8),0),2),"")</f>
        <v/>
      </c>
      <c r="L29" s="288" t="str">
        <f t="array" ref="L29">IFERROR(INDEX(Calculs_CABS!$D$9:$E$900,MATCH(1,(Calculs_CABS!$C$9:$C$900=$E29)*(Calculs_CABS!$B$9:$B$900=L$8),0),2),"")</f>
        <v/>
      </c>
      <c r="M29" s="288" t="str">
        <f t="array" ref="M29">IFERROR(INDEX(Calculs_CABS!$D$9:$E$900,MATCH(1,(Calculs_CABS!$C$9:$C$900=$E29)*(Calculs_CABS!$B$9:$B$900=M$8),0),2),"")</f>
        <v/>
      </c>
      <c r="N29" s="289" t="str">
        <f t="array" ref="N29">IFERROR(INDEX(Calculs_CABS!$D$9:$E$900,MATCH(1,(Calculs_CABS!$C$9:$C$900=$E29)*(Calculs_CABS!$B$9:$B$900=N$8),0),2),"")</f>
        <v/>
      </c>
      <c r="O29" s="288" t="str">
        <f t="array" ref="O29">IFERROR(INDEX(Calculs_CABS!$D$9:$E$900,MATCH(1,(Calculs_CABS!$C$9:$C$900=$E29)*(Calculs_CABS!$B$9:$B$900=O$8),0),1),"")</f>
        <v/>
      </c>
      <c r="P29" s="288" t="str">
        <f t="array" ref="P29">IFERROR(INDEX(Calculs_CABS!$D$9:$E920,MATCH(1,(Calculs_CABS!$C$9:$C$900=$E29)*(Calculs_CABS!$B$9:$B$900=O$8),0),2),"")</f>
        <v/>
      </c>
      <c r="Q29" s="385"/>
      <c r="R29" s="288" t="str">
        <f t="array" ref="R29">IFERROR(INDEX(Calculs_CABS!$D$9:$E$900,MATCH(1,(Calculs_CABS!$C$9:$C$900=$E29)*(Calculs_CABS!$B$9:$B$900=R$8),0),1),"")</f>
        <v/>
      </c>
      <c r="S29" s="288" t="str">
        <f t="array" ref="S29">IFERROR(INDEX(Calculs_CABS!$D$9:$E$900,MATCH(1,(Calculs_CABS!$C$9:$C$900=$E29)*(Calculs_CABS!$B$9:$B$900=R$8),0),2),"")</f>
        <v/>
      </c>
      <c r="T29" s="385"/>
      <c r="U29" s="288" t="str">
        <f t="array" ref="U29">IFERROR(INDEX(Calculs_CABS!$D$9:$E$900,MATCH(1,(Calculs_CABS!$C$9:$C$900=$E29)*(Calculs_CABS!$B$9:$B$900=U$8),0),1),"")</f>
        <v/>
      </c>
      <c r="V29" s="288" t="str">
        <f t="array" ref="V29">IFERROR(INDEX(Calculs_CABS!$D$9:$E$900,MATCH(1,(Calculs_CABS!$C$9:$C$900=$E29)*(Calculs_CABS!$B$9:$B$900=U$8),0),2),"")</f>
        <v/>
      </c>
      <c r="W29" s="385"/>
      <c r="X29" s="290" t="str">
        <f t="shared" si="1"/>
        <v/>
      </c>
    </row>
    <row r="30" spans="1:24" ht="15.5">
      <c r="A30" s="372"/>
      <c r="B30" s="375"/>
      <c r="C30" s="375"/>
      <c r="D30" s="368"/>
      <c r="E30" s="373"/>
      <c r="F30" s="374"/>
      <c r="G30" s="370"/>
      <c r="H30" s="376"/>
      <c r="I30" s="286" t="str">
        <f t="shared" si="0"/>
        <v/>
      </c>
      <c r="J30" s="287" t="str">
        <f>IFERROR(INDEX(Calculs_CABS!$F$7:$AI$7,1,ROW(E30)-ROW($E$8)),"")</f>
        <v/>
      </c>
      <c r="K30" s="288" t="str">
        <f t="array" ref="K30">IFERROR(INDEX(Calculs_CABS!$D$9:$E$900,MATCH(1,(Calculs_CABS!$C$9:$C$900=$E30)*(Calculs_CABS!$B$9:$B$900=K$8),0),2),"")</f>
        <v/>
      </c>
      <c r="L30" s="288" t="str">
        <f t="array" ref="L30">IFERROR(INDEX(Calculs_CABS!$D$9:$E$900,MATCH(1,(Calculs_CABS!$C$9:$C$900=$E30)*(Calculs_CABS!$B$9:$B$900=L$8),0),2),"")</f>
        <v/>
      </c>
      <c r="M30" s="288" t="str">
        <f t="array" ref="M30">IFERROR(INDEX(Calculs_CABS!$D$9:$E$900,MATCH(1,(Calculs_CABS!$C$9:$C$900=$E30)*(Calculs_CABS!$B$9:$B$900=M$8),0),2),"")</f>
        <v/>
      </c>
      <c r="N30" s="289" t="str">
        <f t="array" ref="N30">IFERROR(INDEX(Calculs_CABS!$D$9:$E$900,MATCH(1,(Calculs_CABS!$C$9:$C$900=$E30)*(Calculs_CABS!$B$9:$B$900=N$8),0),2),"")</f>
        <v/>
      </c>
      <c r="O30" s="288" t="str">
        <f t="array" ref="O30">IFERROR(INDEX(Calculs_CABS!$D$9:$E$900,MATCH(1,(Calculs_CABS!$C$9:$C$900=$E30)*(Calculs_CABS!$B$9:$B$900=O$8),0),1),"")</f>
        <v/>
      </c>
      <c r="P30" s="288" t="str">
        <f t="array" ref="P30">IFERROR(INDEX(Calculs_CABS!$D$9:$E921,MATCH(1,(Calculs_CABS!$C$9:$C$900=$E30)*(Calculs_CABS!$B$9:$B$900=O$8),0),2),"")</f>
        <v/>
      </c>
      <c r="Q30" s="385"/>
      <c r="R30" s="288" t="str">
        <f t="array" ref="R30">IFERROR(INDEX(Calculs_CABS!$D$9:$E$900,MATCH(1,(Calculs_CABS!$C$9:$C$900=$E30)*(Calculs_CABS!$B$9:$B$900=R$8),0),1),"")</f>
        <v/>
      </c>
      <c r="S30" s="288" t="str">
        <f t="array" ref="S30">IFERROR(INDEX(Calculs_CABS!$D$9:$E$900,MATCH(1,(Calculs_CABS!$C$9:$C$900=$E30)*(Calculs_CABS!$B$9:$B$900=R$8),0),2),"")</f>
        <v/>
      </c>
      <c r="T30" s="385"/>
      <c r="U30" s="288" t="str">
        <f t="array" ref="U30">IFERROR(INDEX(Calculs_CABS!$D$9:$E$900,MATCH(1,(Calculs_CABS!$C$9:$C$900=$E30)*(Calculs_CABS!$B$9:$B$900=U$8),0),1),"")</f>
        <v/>
      </c>
      <c r="V30" s="288" t="str">
        <f t="array" ref="V30">IFERROR(INDEX(Calculs_CABS!$D$9:$E$900,MATCH(1,(Calculs_CABS!$C$9:$C$900=$E30)*(Calculs_CABS!$B$9:$B$900=U$8),0),2),"")</f>
        <v/>
      </c>
      <c r="W30" s="385"/>
      <c r="X30" s="290" t="str">
        <f t="shared" si="1"/>
        <v/>
      </c>
    </row>
    <row r="31" spans="1:24" ht="15.5">
      <c r="A31" s="372"/>
      <c r="B31" s="375"/>
      <c r="C31" s="375"/>
      <c r="D31" s="368"/>
      <c r="E31" s="373"/>
      <c r="F31" s="374"/>
      <c r="G31" s="370"/>
      <c r="H31" s="376"/>
      <c r="I31" s="286" t="str">
        <f t="shared" si="0"/>
        <v/>
      </c>
      <c r="J31" s="287" t="str">
        <f>IFERROR(INDEX(Calculs_CABS!$F$7:$AI$7,1,ROW(E31)-ROW($E$8)),"")</f>
        <v/>
      </c>
      <c r="K31" s="288" t="str">
        <f t="array" ref="K31">IFERROR(INDEX(Calculs_CABS!$D$9:$E$900,MATCH(1,(Calculs_CABS!$C$9:$C$900=$E31)*(Calculs_CABS!$B$9:$B$900=K$8),0),2),"")</f>
        <v/>
      </c>
      <c r="L31" s="288" t="str">
        <f t="array" ref="L31">IFERROR(INDEX(Calculs_CABS!$D$9:$E$900,MATCH(1,(Calculs_CABS!$C$9:$C$900=$E31)*(Calculs_CABS!$B$9:$B$900=L$8),0),2),"")</f>
        <v/>
      </c>
      <c r="M31" s="288" t="str">
        <f t="array" ref="M31">IFERROR(INDEX(Calculs_CABS!$D$9:$E$900,MATCH(1,(Calculs_CABS!$C$9:$C$900=$E31)*(Calculs_CABS!$B$9:$B$900=M$8),0),2),"")</f>
        <v/>
      </c>
      <c r="N31" s="289" t="str">
        <f t="array" ref="N31">IFERROR(INDEX(Calculs_CABS!$D$9:$E$900,MATCH(1,(Calculs_CABS!$C$9:$C$900=$E31)*(Calculs_CABS!$B$9:$B$900=N$8),0),2),"")</f>
        <v/>
      </c>
      <c r="O31" s="288" t="str">
        <f t="array" ref="O31">IFERROR(INDEX(Calculs_CABS!$D$9:$E$900,MATCH(1,(Calculs_CABS!$C$9:$C$900=$E31)*(Calculs_CABS!$B$9:$B$900=O$8),0),1),"")</f>
        <v/>
      </c>
      <c r="P31" s="288" t="str">
        <f t="array" ref="P31">IFERROR(INDEX(Calculs_CABS!$D$9:$E922,MATCH(1,(Calculs_CABS!$C$9:$C$900=$E31)*(Calculs_CABS!$B$9:$B$900=O$8),0),2),"")</f>
        <v/>
      </c>
      <c r="Q31" s="385"/>
      <c r="R31" s="288" t="str">
        <f t="array" ref="R31">IFERROR(INDEX(Calculs_CABS!$D$9:$E$900,MATCH(1,(Calculs_CABS!$C$9:$C$900=$E31)*(Calculs_CABS!$B$9:$B$900=R$8),0),1),"")</f>
        <v/>
      </c>
      <c r="S31" s="288" t="str">
        <f t="array" ref="S31">IFERROR(INDEX(Calculs_CABS!$D$9:$E$900,MATCH(1,(Calculs_CABS!$C$9:$C$900=$E31)*(Calculs_CABS!$B$9:$B$900=R$8),0),2),"")</f>
        <v/>
      </c>
      <c r="T31" s="385"/>
      <c r="U31" s="288" t="str">
        <f t="array" ref="U31">IFERROR(INDEX(Calculs_CABS!$D$9:$E$900,MATCH(1,(Calculs_CABS!$C$9:$C$900=$E31)*(Calculs_CABS!$B$9:$B$900=U$8),0),1),"")</f>
        <v/>
      </c>
      <c r="V31" s="288" t="str">
        <f t="array" ref="V31">IFERROR(INDEX(Calculs_CABS!$D$9:$E$900,MATCH(1,(Calculs_CABS!$C$9:$C$900=$E31)*(Calculs_CABS!$B$9:$B$900=U$8),0),2),"")</f>
        <v/>
      </c>
      <c r="W31" s="385"/>
      <c r="X31" s="290" t="str">
        <f t="shared" si="1"/>
        <v/>
      </c>
    </row>
    <row r="32" spans="1:24" ht="15.5">
      <c r="A32" s="372"/>
      <c r="B32" s="375"/>
      <c r="C32" s="375"/>
      <c r="D32" s="368"/>
      <c r="E32" s="373"/>
      <c r="F32" s="374"/>
      <c r="G32" s="370"/>
      <c r="H32" s="376"/>
      <c r="I32" s="286" t="str">
        <f t="shared" si="0"/>
        <v/>
      </c>
      <c r="J32" s="287" t="str">
        <f>IFERROR(INDEX(Calculs_CABS!$F$7:$AI$7,1,ROW(E32)-ROW($E$8)),"")</f>
        <v/>
      </c>
      <c r="K32" s="288" t="str">
        <f t="array" ref="K32">IFERROR(INDEX(Calculs_CABS!$D$9:$E$900,MATCH(1,(Calculs_CABS!$C$9:$C$900=$E32)*(Calculs_CABS!$B$9:$B$900=K$8),0),2),"")</f>
        <v/>
      </c>
      <c r="L32" s="288" t="str">
        <f t="array" ref="L32">IFERROR(INDEX(Calculs_CABS!$D$9:$E$900,MATCH(1,(Calculs_CABS!$C$9:$C$900=$E32)*(Calculs_CABS!$B$9:$B$900=L$8),0),2),"")</f>
        <v/>
      </c>
      <c r="M32" s="288" t="str">
        <f t="array" ref="M32">IFERROR(INDEX(Calculs_CABS!$D$9:$E$900,MATCH(1,(Calculs_CABS!$C$9:$C$900=$E32)*(Calculs_CABS!$B$9:$B$900=M$8),0),2),"")</f>
        <v/>
      </c>
      <c r="N32" s="289" t="str">
        <f t="array" ref="N32">IFERROR(INDEX(Calculs_CABS!$D$9:$E$900,MATCH(1,(Calculs_CABS!$C$9:$C$900=$E32)*(Calculs_CABS!$B$9:$B$900=N$8),0),2),"")</f>
        <v/>
      </c>
      <c r="O32" s="288" t="str">
        <f t="array" ref="O32">IFERROR(INDEX(Calculs_CABS!$D$9:$E$900,MATCH(1,(Calculs_CABS!$C$9:$C$900=$E32)*(Calculs_CABS!$B$9:$B$900=O$8),0),1),"")</f>
        <v/>
      </c>
      <c r="P32" s="288" t="str">
        <f t="array" ref="P32">IFERROR(INDEX(Calculs_CABS!$D$9:$E923,MATCH(1,(Calculs_CABS!$C$9:$C$900=$E32)*(Calculs_CABS!$B$9:$B$900=O$8),0),2),"")</f>
        <v/>
      </c>
      <c r="Q32" s="385"/>
      <c r="R32" s="288" t="str">
        <f t="array" ref="R32">IFERROR(INDEX(Calculs_CABS!$D$9:$E$900,MATCH(1,(Calculs_CABS!$C$9:$C$900=$E32)*(Calculs_CABS!$B$9:$B$900=R$8),0),1),"")</f>
        <v/>
      </c>
      <c r="S32" s="288" t="str">
        <f t="array" ref="S32">IFERROR(INDEX(Calculs_CABS!$D$9:$E$900,MATCH(1,(Calculs_CABS!$C$9:$C$900=$E32)*(Calculs_CABS!$B$9:$B$900=R$8),0),2),"")</f>
        <v/>
      </c>
      <c r="T32" s="385"/>
      <c r="U32" s="288" t="str">
        <f t="array" ref="U32">IFERROR(INDEX(Calculs_CABS!$D$9:$E$900,MATCH(1,(Calculs_CABS!$C$9:$C$900=$E32)*(Calculs_CABS!$B$9:$B$900=U$8),0),1),"")</f>
        <v/>
      </c>
      <c r="V32" s="288" t="str">
        <f t="array" ref="V32">IFERROR(INDEX(Calculs_CABS!$D$9:$E$900,MATCH(1,(Calculs_CABS!$C$9:$C$900=$E32)*(Calculs_CABS!$B$9:$B$900=U$8),0),2),"")</f>
        <v/>
      </c>
      <c r="W32" s="385"/>
      <c r="X32" s="290" t="str">
        <f t="shared" si="1"/>
        <v/>
      </c>
    </row>
    <row r="33" spans="1:24" ht="15.5">
      <c r="A33" s="372"/>
      <c r="B33" s="375"/>
      <c r="C33" s="375"/>
      <c r="D33" s="368"/>
      <c r="E33" s="373"/>
      <c r="F33" s="374"/>
      <c r="G33" s="370"/>
      <c r="H33" s="376"/>
      <c r="I33" s="286" t="str">
        <f t="shared" si="0"/>
        <v/>
      </c>
      <c r="J33" s="287" t="str">
        <f>IFERROR(INDEX(Calculs_CABS!$F$7:$AI$7,1,ROW(E33)-ROW($E$8)),"")</f>
        <v/>
      </c>
      <c r="K33" s="288" t="str">
        <f t="array" ref="K33">IFERROR(INDEX(Calculs_CABS!$D$9:$E$900,MATCH(1,(Calculs_CABS!$C$9:$C$900=$E33)*(Calculs_CABS!$B$9:$B$900=K$8),0),2),"")</f>
        <v/>
      </c>
      <c r="L33" s="288" t="str">
        <f t="array" ref="L33">IFERROR(INDEX(Calculs_CABS!$D$9:$E$900,MATCH(1,(Calculs_CABS!$C$9:$C$900=$E33)*(Calculs_CABS!$B$9:$B$900=L$8),0),2),"")</f>
        <v/>
      </c>
      <c r="M33" s="288" t="str">
        <f t="array" ref="M33">IFERROR(INDEX(Calculs_CABS!$D$9:$E$900,MATCH(1,(Calculs_CABS!$C$9:$C$900=$E33)*(Calculs_CABS!$B$9:$B$900=M$8),0),2),"")</f>
        <v/>
      </c>
      <c r="N33" s="289" t="str">
        <f t="array" ref="N33">IFERROR(INDEX(Calculs_CABS!$D$9:$E$900,MATCH(1,(Calculs_CABS!$C$9:$C$900=$E33)*(Calculs_CABS!$B$9:$B$900=N$8),0),2),"")</f>
        <v/>
      </c>
      <c r="O33" s="288" t="str">
        <f t="array" ref="O33">IFERROR(INDEX(Calculs_CABS!$D$9:$E$900,MATCH(1,(Calculs_CABS!$C$9:$C$900=$E33)*(Calculs_CABS!$B$9:$B$900=O$8),0),1),"")</f>
        <v/>
      </c>
      <c r="P33" s="288" t="str">
        <f t="array" ref="P33">IFERROR(INDEX(Calculs_CABS!$D$9:$E924,MATCH(1,(Calculs_CABS!$C$9:$C$900=$E33)*(Calculs_CABS!$B$9:$B$900=O$8),0),2),"")</f>
        <v/>
      </c>
      <c r="Q33" s="385"/>
      <c r="R33" s="288" t="str">
        <f t="array" ref="R33">IFERROR(INDEX(Calculs_CABS!$D$9:$E$900,MATCH(1,(Calculs_CABS!$C$9:$C$900=$E33)*(Calculs_CABS!$B$9:$B$900=R$8),0),1),"")</f>
        <v/>
      </c>
      <c r="S33" s="288" t="str">
        <f t="array" ref="S33">IFERROR(INDEX(Calculs_CABS!$D$9:$E$900,MATCH(1,(Calculs_CABS!$C$9:$C$900=$E33)*(Calculs_CABS!$B$9:$B$900=R$8),0),2),"")</f>
        <v/>
      </c>
      <c r="T33" s="385"/>
      <c r="U33" s="288" t="str">
        <f t="array" ref="U33">IFERROR(INDEX(Calculs_CABS!$D$9:$E$900,MATCH(1,(Calculs_CABS!$C$9:$C$900=$E33)*(Calculs_CABS!$B$9:$B$900=U$8),0),1),"")</f>
        <v/>
      </c>
      <c r="V33" s="288" t="str">
        <f t="array" ref="V33">IFERROR(INDEX(Calculs_CABS!$D$9:$E$900,MATCH(1,(Calculs_CABS!$C$9:$C$900=$E33)*(Calculs_CABS!$B$9:$B$900=U$8),0),2),"")</f>
        <v/>
      </c>
      <c r="W33" s="385"/>
      <c r="X33" s="290" t="str">
        <f t="shared" si="1"/>
        <v/>
      </c>
    </row>
    <row r="34" spans="1:24" ht="15.5">
      <c r="A34" s="372"/>
      <c r="B34" s="375"/>
      <c r="C34" s="375"/>
      <c r="D34" s="368"/>
      <c r="E34" s="373"/>
      <c r="F34" s="374"/>
      <c r="G34" s="370"/>
      <c r="H34" s="376"/>
      <c r="I34" s="286" t="str">
        <f t="shared" si="0"/>
        <v/>
      </c>
      <c r="J34" s="287" t="str">
        <f>IFERROR(INDEX(Calculs_CABS!$F$7:$AI$7,1,ROW(E34)-ROW($E$8)),"")</f>
        <v/>
      </c>
      <c r="K34" s="288" t="str">
        <f t="array" ref="K34">IFERROR(INDEX(Calculs_CABS!$D$9:$E$900,MATCH(1,(Calculs_CABS!$C$9:$C$900=$E34)*(Calculs_CABS!$B$9:$B$900=K$8),0),2),"")</f>
        <v/>
      </c>
      <c r="L34" s="288" t="str">
        <f t="array" ref="L34">IFERROR(INDEX(Calculs_CABS!$D$9:$E$900,MATCH(1,(Calculs_CABS!$C$9:$C$900=$E34)*(Calculs_CABS!$B$9:$B$900=L$8),0),2),"")</f>
        <v/>
      </c>
      <c r="M34" s="288" t="str">
        <f t="array" ref="M34">IFERROR(INDEX(Calculs_CABS!$D$9:$E$900,MATCH(1,(Calculs_CABS!$C$9:$C$900=$E34)*(Calculs_CABS!$B$9:$B$900=M$8),0),2),"")</f>
        <v/>
      </c>
      <c r="N34" s="289" t="str">
        <f t="array" ref="N34">IFERROR(INDEX(Calculs_CABS!$D$9:$E$900,MATCH(1,(Calculs_CABS!$C$9:$C$900=$E34)*(Calculs_CABS!$B$9:$B$900=N$8),0),2),"")</f>
        <v/>
      </c>
      <c r="O34" s="288" t="str">
        <f t="array" ref="O34">IFERROR(INDEX(Calculs_CABS!$D$9:$E$900,MATCH(1,(Calculs_CABS!$C$9:$C$900=$E34)*(Calculs_CABS!$B$9:$B$900=O$8),0),1),"")</f>
        <v/>
      </c>
      <c r="P34" s="288" t="str">
        <f t="array" ref="P34">IFERROR(INDEX(Calculs_CABS!$D$9:$E925,MATCH(1,(Calculs_CABS!$C$9:$C$900=$E34)*(Calculs_CABS!$B$9:$B$900=O$8),0),2),"")</f>
        <v/>
      </c>
      <c r="Q34" s="385"/>
      <c r="R34" s="288" t="str">
        <f t="array" ref="R34">IFERROR(INDEX(Calculs_CABS!$D$9:$E$900,MATCH(1,(Calculs_CABS!$C$9:$C$900=$E34)*(Calculs_CABS!$B$9:$B$900=R$8),0),1),"")</f>
        <v/>
      </c>
      <c r="S34" s="288" t="str">
        <f t="array" ref="S34">IFERROR(INDEX(Calculs_CABS!$D$9:$E$900,MATCH(1,(Calculs_CABS!$C$9:$C$900=$E34)*(Calculs_CABS!$B$9:$B$900=R$8),0),2),"")</f>
        <v/>
      </c>
      <c r="T34" s="385"/>
      <c r="U34" s="288" t="str">
        <f t="array" ref="U34">IFERROR(INDEX(Calculs_CABS!$D$9:$E$900,MATCH(1,(Calculs_CABS!$C$9:$C$900=$E34)*(Calculs_CABS!$B$9:$B$900=U$8),0),1),"")</f>
        <v/>
      </c>
      <c r="V34" s="288" t="str">
        <f t="array" ref="V34">IFERROR(INDEX(Calculs_CABS!$D$9:$E$900,MATCH(1,(Calculs_CABS!$C$9:$C$900=$E34)*(Calculs_CABS!$B$9:$B$900=U$8),0),2),"")</f>
        <v/>
      </c>
      <c r="W34" s="385"/>
      <c r="X34" s="290" t="str">
        <f t="shared" si="1"/>
        <v/>
      </c>
    </row>
    <row r="35" spans="1:24" ht="15.5">
      <c r="A35" s="372"/>
      <c r="B35" s="375"/>
      <c r="C35" s="375"/>
      <c r="D35" s="368"/>
      <c r="E35" s="373"/>
      <c r="F35" s="374"/>
      <c r="G35" s="370"/>
      <c r="H35" s="376"/>
      <c r="I35" s="286" t="str">
        <f t="shared" si="0"/>
        <v/>
      </c>
      <c r="J35" s="287" t="str">
        <f>IFERROR(INDEX(Calculs_CABS!$F$7:$AI$7,1,ROW(E35)-ROW($E$8)),"")</f>
        <v/>
      </c>
      <c r="K35" s="288" t="str">
        <f t="array" ref="K35">IFERROR(INDEX(Calculs_CABS!$D$9:$E$900,MATCH(1,(Calculs_CABS!$C$9:$C$900=$E35)*(Calculs_CABS!$B$9:$B$900=K$8),0),2),"")</f>
        <v/>
      </c>
      <c r="L35" s="288" t="str">
        <f t="array" ref="L35">IFERROR(INDEX(Calculs_CABS!$D$9:$E$900,MATCH(1,(Calculs_CABS!$C$9:$C$900=$E35)*(Calculs_CABS!$B$9:$B$900=L$8),0),2),"")</f>
        <v/>
      </c>
      <c r="M35" s="288" t="str">
        <f t="array" ref="M35">IFERROR(INDEX(Calculs_CABS!$D$9:$E$900,MATCH(1,(Calculs_CABS!$C$9:$C$900=$E35)*(Calculs_CABS!$B$9:$B$900=M$8),0),2),"")</f>
        <v/>
      </c>
      <c r="N35" s="289" t="str">
        <f t="array" ref="N35">IFERROR(INDEX(Calculs_CABS!$D$9:$E$900,MATCH(1,(Calculs_CABS!$C$9:$C$900=$E35)*(Calculs_CABS!$B$9:$B$900=N$8),0),2),"")</f>
        <v/>
      </c>
      <c r="O35" s="288" t="str">
        <f t="array" ref="O35">IFERROR(INDEX(Calculs_CABS!$D$9:$E$900,MATCH(1,(Calculs_CABS!$C$9:$C$900=$E35)*(Calculs_CABS!$B$9:$B$900=O$8),0),1),"")</f>
        <v/>
      </c>
      <c r="P35" s="288" t="str">
        <f t="array" ref="P35">IFERROR(INDEX(Calculs_CABS!$D$9:$E926,MATCH(1,(Calculs_CABS!$C$9:$C$900=$E35)*(Calculs_CABS!$B$9:$B$900=O$8),0),2),"")</f>
        <v/>
      </c>
      <c r="Q35" s="385"/>
      <c r="R35" s="288" t="str">
        <f t="array" ref="R35">IFERROR(INDEX(Calculs_CABS!$D$9:$E$900,MATCH(1,(Calculs_CABS!$C$9:$C$900=$E35)*(Calculs_CABS!$B$9:$B$900=R$8),0),1),"")</f>
        <v/>
      </c>
      <c r="S35" s="288" t="str">
        <f t="array" ref="S35">IFERROR(INDEX(Calculs_CABS!$D$9:$E$900,MATCH(1,(Calculs_CABS!$C$9:$C$900=$E35)*(Calculs_CABS!$B$9:$B$900=R$8),0),2),"")</f>
        <v/>
      </c>
      <c r="T35" s="385"/>
      <c r="U35" s="288" t="str">
        <f t="array" ref="U35">IFERROR(INDEX(Calculs_CABS!$D$9:$E$900,MATCH(1,(Calculs_CABS!$C$9:$C$900=$E35)*(Calculs_CABS!$B$9:$B$900=U$8),0),1),"")</f>
        <v/>
      </c>
      <c r="V35" s="288" t="str">
        <f t="array" ref="V35">IFERROR(INDEX(Calculs_CABS!$D$9:$E$900,MATCH(1,(Calculs_CABS!$C$9:$C$900=$E35)*(Calculs_CABS!$B$9:$B$900=U$8),0),2),"")</f>
        <v/>
      </c>
      <c r="W35" s="385"/>
      <c r="X35" s="290" t="str">
        <f t="shared" si="1"/>
        <v/>
      </c>
    </row>
    <row r="36" spans="1:24" ht="15.5">
      <c r="A36" s="372"/>
      <c r="B36" s="375"/>
      <c r="C36" s="375"/>
      <c r="D36" s="368"/>
      <c r="E36" s="373"/>
      <c r="F36" s="374"/>
      <c r="G36" s="370"/>
      <c r="H36" s="376"/>
      <c r="I36" s="286" t="str">
        <f t="shared" si="0"/>
        <v/>
      </c>
      <c r="J36" s="287" t="str">
        <f>IFERROR(INDEX(Calculs_CABS!$F$7:$AI$7,1,ROW(E36)-ROW($E$8)),"")</f>
        <v/>
      </c>
      <c r="K36" s="288" t="str">
        <f t="array" ref="K36">IFERROR(INDEX(Calculs_CABS!$D$9:$E$900,MATCH(1,(Calculs_CABS!$C$9:$C$900=$E36)*(Calculs_CABS!$B$9:$B$900=K$8),0),2),"")</f>
        <v/>
      </c>
      <c r="L36" s="288" t="str">
        <f t="array" ref="L36">IFERROR(INDEX(Calculs_CABS!$D$9:$E$900,MATCH(1,(Calculs_CABS!$C$9:$C$900=$E36)*(Calculs_CABS!$B$9:$B$900=L$8),0),2),"")</f>
        <v/>
      </c>
      <c r="M36" s="288" t="str">
        <f t="array" ref="M36">IFERROR(INDEX(Calculs_CABS!$D$9:$E$900,MATCH(1,(Calculs_CABS!$C$9:$C$900=$E36)*(Calculs_CABS!$B$9:$B$900=M$8),0),2),"")</f>
        <v/>
      </c>
      <c r="N36" s="289" t="str">
        <f t="array" ref="N36">IFERROR(INDEX(Calculs_CABS!$D$9:$E$900,MATCH(1,(Calculs_CABS!$C$9:$C$900=$E36)*(Calculs_CABS!$B$9:$B$900=N$8),0),2),"")</f>
        <v/>
      </c>
      <c r="O36" s="288" t="str">
        <f t="array" ref="O36">IFERROR(INDEX(Calculs_CABS!$D$9:$E$900,MATCH(1,(Calculs_CABS!$C$9:$C$900=$E36)*(Calculs_CABS!$B$9:$B$900=O$8),0),1),"")</f>
        <v/>
      </c>
      <c r="P36" s="288" t="str">
        <f t="array" ref="P36">IFERROR(INDEX(Calculs_CABS!$D$9:$E927,MATCH(1,(Calculs_CABS!$C$9:$C$900=$E36)*(Calculs_CABS!$B$9:$B$900=O$8),0),2),"")</f>
        <v/>
      </c>
      <c r="Q36" s="385"/>
      <c r="R36" s="288" t="str">
        <f t="array" ref="R36">IFERROR(INDEX(Calculs_CABS!$D$9:$E$900,MATCH(1,(Calculs_CABS!$C$9:$C$900=$E36)*(Calculs_CABS!$B$9:$B$900=R$8),0),1),"")</f>
        <v/>
      </c>
      <c r="S36" s="288" t="str">
        <f t="array" ref="S36">IFERROR(INDEX(Calculs_CABS!$D$9:$E$900,MATCH(1,(Calculs_CABS!$C$9:$C$900=$E36)*(Calculs_CABS!$B$9:$B$900=R$8),0),2),"")</f>
        <v/>
      </c>
      <c r="T36" s="385"/>
      <c r="U36" s="288" t="str">
        <f t="array" ref="U36">IFERROR(INDEX(Calculs_CABS!$D$9:$E$900,MATCH(1,(Calculs_CABS!$C$9:$C$900=$E36)*(Calculs_CABS!$B$9:$B$900=U$8),0),1),"")</f>
        <v/>
      </c>
      <c r="V36" s="288" t="str">
        <f t="array" ref="V36">IFERROR(INDEX(Calculs_CABS!$D$9:$E$900,MATCH(1,(Calculs_CABS!$C$9:$C$900=$E36)*(Calculs_CABS!$B$9:$B$900=U$8),0),2),"")</f>
        <v/>
      </c>
      <c r="W36" s="385"/>
      <c r="X36" s="290" t="str">
        <f t="shared" si="1"/>
        <v/>
      </c>
    </row>
    <row r="37" spans="1:24" ht="15.5">
      <c r="A37" s="372"/>
      <c r="B37" s="375"/>
      <c r="C37" s="375"/>
      <c r="D37" s="368"/>
      <c r="E37" s="373"/>
      <c r="F37" s="374"/>
      <c r="G37" s="370"/>
      <c r="H37" s="376"/>
      <c r="I37" s="286" t="str">
        <f t="shared" si="0"/>
        <v/>
      </c>
      <c r="J37" s="287" t="str">
        <f>IFERROR(INDEX(Calculs_CABS!$F$7:$AI$7,1,ROW(E37)-ROW($E$8)),"")</f>
        <v/>
      </c>
      <c r="K37" s="288" t="str">
        <f t="array" ref="K37">IFERROR(INDEX(Calculs_CABS!$D$9:$E$900,MATCH(1,(Calculs_CABS!$C$9:$C$900=$E37)*(Calculs_CABS!$B$9:$B$900=K$8),0),2),"")</f>
        <v/>
      </c>
      <c r="L37" s="288" t="str">
        <f t="array" ref="L37">IFERROR(INDEX(Calculs_CABS!$D$9:$E$900,MATCH(1,(Calculs_CABS!$C$9:$C$900=$E37)*(Calculs_CABS!$B$9:$B$900=L$8),0),2),"")</f>
        <v/>
      </c>
      <c r="M37" s="288" t="str">
        <f t="array" ref="M37">IFERROR(INDEX(Calculs_CABS!$D$9:$E$900,MATCH(1,(Calculs_CABS!$C$9:$C$900=$E37)*(Calculs_CABS!$B$9:$B$900=M$8),0),2),"")</f>
        <v/>
      </c>
      <c r="N37" s="289" t="str">
        <f t="array" ref="N37">IFERROR(INDEX(Calculs_CABS!$D$9:$E$900,MATCH(1,(Calculs_CABS!$C$9:$C$900=$E37)*(Calculs_CABS!$B$9:$B$900=N$8),0),2),"")</f>
        <v/>
      </c>
      <c r="O37" s="288" t="str">
        <f t="array" ref="O37">IFERROR(INDEX(Calculs_CABS!$D$9:$E$900,MATCH(1,(Calculs_CABS!$C$9:$C$900=$E37)*(Calculs_CABS!$B$9:$B$900=O$8),0),1),"")</f>
        <v/>
      </c>
      <c r="P37" s="288" t="str">
        <f t="array" ref="P37">IFERROR(INDEX(Calculs_CABS!$D$9:$E928,MATCH(1,(Calculs_CABS!$C$9:$C$900=$E37)*(Calculs_CABS!$B$9:$B$900=O$8),0),2),"")</f>
        <v/>
      </c>
      <c r="Q37" s="385"/>
      <c r="R37" s="288" t="str">
        <f t="array" ref="R37">IFERROR(INDEX(Calculs_CABS!$D$9:$E$900,MATCH(1,(Calculs_CABS!$C$9:$C$900=$E37)*(Calculs_CABS!$B$9:$B$900=R$8),0),1),"")</f>
        <v/>
      </c>
      <c r="S37" s="288" t="str">
        <f t="array" ref="S37">IFERROR(INDEX(Calculs_CABS!$D$9:$E$900,MATCH(1,(Calculs_CABS!$C$9:$C$900=$E37)*(Calculs_CABS!$B$9:$B$900=R$8),0),2),"")</f>
        <v/>
      </c>
      <c r="T37" s="385"/>
      <c r="U37" s="288" t="str">
        <f t="array" ref="U37">IFERROR(INDEX(Calculs_CABS!$D$9:$E$900,MATCH(1,(Calculs_CABS!$C$9:$C$900=$E37)*(Calculs_CABS!$B$9:$B$900=U$8),0),1),"")</f>
        <v/>
      </c>
      <c r="V37" s="288" t="str">
        <f t="array" ref="V37">IFERROR(INDEX(Calculs_CABS!$D$9:$E$900,MATCH(1,(Calculs_CABS!$C$9:$C$900=$E37)*(Calculs_CABS!$B$9:$B$900=U$8),0),2),"")</f>
        <v/>
      </c>
      <c r="W37" s="385"/>
      <c r="X37" s="290" t="str">
        <f t="shared" si="1"/>
        <v/>
      </c>
    </row>
    <row r="38" spans="1:24" ht="16" thickBot="1">
      <c r="A38" s="377"/>
      <c r="B38" s="378"/>
      <c r="C38" s="378"/>
      <c r="D38" s="379"/>
      <c r="E38" s="380"/>
      <c r="F38" s="381"/>
      <c r="G38" s="382"/>
      <c r="H38" s="383"/>
      <c r="I38" s="291" t="str">
        <f t="shared" si="0"/>
        <v/>
      </c>
      <c r="J38" s="292" t="str">
        <f>IFERROR(INDEX(Calculs_CABS!$F$7:$AI$7,1,ROW(E38)-ROW($E$8)),"")</f>
        <v/>
      </c>
      <c r="K38" s="293" t="str">
        <f t="array" ref="K38">IFERROR(INDEX(Calculs_CABS!$D$9:$E$900,MATCH(1,(Calculs_CABS!$C$9:$C$900=$E38)*(Calculs_CABS!$B$9:$B$900=K$8),0),2),"")</f>
        <v/>
      </c>
      <c r="L38" s="293" t="str">
        <f t="array" ref="L38">IFERROR(INDEX(Calculs_CABS!$D$9:$E$900,MATCH(1,(Calculs_CABS!$C$9:$C$900=$E38)*(Calculs_CABS!$B$9:$B$900=L$8),0),2),"")</f>
        <v/>
      </c>
      <c r="M38" s="293" t="str">
        <f t="array" ref="M38">IFERROR(INDEX(Calculs_CABS!$D$9:$E$900,MATCH(1,(Calculs_CABS!$C$9:$C$900=$E38)*(Calculs_CABS!$B$9:$B$900=M$8),0),2),"")</f>
        <v/>
      </c>
      <c r="N38" s="294" t="str">
        <f t="array" ref="N38">IFERROR(INDEX(Calculs_CABS!$D$9:$E$900,MATCH(1,(Calculs_CABS!$C$9:$C$900=$E38)*(Calculs_CABS!$B$9:$B$900=N$8),0),2),"")</f>
        <v/>
      </c>
      <c r="O38" s="293" t="str">
        <f t="array" ref="O38">IFERROR(INDEX(Calculs_CABS!$D$9:$E$900,MATCH(1,(Calculs_CABS!$C$9:$C$900=$E38)*(Calculs_CABS!$B$9:$B$900=O$8),0),1),"")</f>
        <v/>
      </c>
      <c r="P38" s="293" t="str">
        <f t="array" ref="P38">IFERROR(INDEX(Calculs_CABS!$D$9:$E929,MATCH(1,(Calculs_CABS!$C$9:$C$900=$E38)*(Calculs_CABS!$B$9:$B$900=O$8),0),2),"")</f>
        <v/>
      </c>
      <c r="Q38" s="387"/>
      <c r="R38" s="293" t="str">
        <f t="array" ref="R38">IFERROR(INDEX(Calculs_CABS!$D$9:$E$900,MATCH(1,(Calculs_CABS!$C$9:$C$900=$E38)*(Calculs_CABS!$B$9:$B$900=R$8),0),1),"")</f>
        <v/>
      </c>
      <c r="S38" s="293" t="str">
        <f t="array" ref="S38">IFERROR(INDEX(Calculs_CABS!$D$9:$E$900,MATCH(1,(Calculs_CABS!$C$9:$C$900=$E38)*(Calculs_CABS!$B$9:$B$900=R$8),0),2),"")</f>
        <v/>
      </c>
      <c r="T38" s="387"/>
      <c r="U38" s="293" t="str">
        <f t="array" ref="U38">IFERROR(INDEX(Calculs_CABS!$D$9:$E$900,MATCH(1,(Calculs_CABS!$C$9:$C$900=$E38)*(Calculs_CABS!$B$9:$B$900=U$8),0),1),"")</f>
        <v/>
      </c>
      <c r="V38" s="293" t="str">
        <f t="array" ref="V38">IFERROR(INDEX(Calculs_CABS!$D$9:$E$900,MATCH(1,(Calculs_CABS!$C$9:$C$900=$E38)*(Calculs_CABS!$B$9:$B$900=U$8),0),2),"")</f>
        <v/>
      </c>
      <c r="W38" s="387"/>
      <c r="X38" s="295" t="str">
        <f t="shared" si="1"/>
        <v/>
      </c>
    </row>
    <row r="39" spans="1:24">
      <c r="A39" s="365"/>
      <c r="B39" s="365"/>
      <c r="C39" s="365"/>
      <c r="D39" s="365"/>
      <c r="I39" s="365"/>
      <c r="J39" s="365"/>
      <c r="K39" s="365"/>
      <c r="L39" s="365"/>
      <c r="M39" s="365"/>
      <c r="N39" s="365"/>
      <c r="O39" s="365"/>
      <c r="R39" s="360"/>
    </row>
    <row r="40" spans="1:24">
      <c r="A40" s="365"/>
      <c r="B40" s="365"/>
      <c r="C40" s="365"/>
      <c r="D40" s="698" t="s">
        <v>885</v>
      </c>
      <c r="E40" s="698"/>
      <c r="F40" s="698"/>
      <c r="I40" s="365"/>
      <c r="J40" s="365"/>
      <c r="K40" s="365"/>
      <c r="L40" s="365"/>
      <c r="M40" s="365"/>
      <c r="N40" s="365"/>
      <c r="O40" s="365"/>
    </row>
    <row r="41" spans="1:24">
      <c r="A41" s="365"/>
      <c r="B41" s="365"/>
      <c r="C41" s="365"/>
      <c r="D41" s="365"/>
      <c r="E41" s="365"/>
      <c r="F41" s="365"/>
      <c r="G41" s="365"/>
      <c r="H41" s="365"/>
      <c r="I41" s="365"/>
      <c r="J41" s="365"/>
      <c r="K41" s="365"/>
      <c r="L41" s="365"/>
      <c r="M41" s="365"/>
      <c r="N41" s="365"/>
      <c r="O41" s="365"/>
    </row>
    <row r="42" spans="1:24">
      <c r="A42" s="365"/>
      <c r="B42" s="365"/>
      <c r="C42" s="365"/>
      <c r="D42" s="365"/>
      <c r="E42" s="365"/>
      <c r="F42" s="365"/>
      <c r="G42" s="365"/>
      <c r="H42" s="365"/>
      <c r="I42" s="365"/>
      <c r="J42" s="365"/>
      <c r="K42" s="365"/>
      <c r="L42" s="365"/>
      <c r="M42" s="365"/>
      <c r="N42" s="365"/>
      <c r="O42" s="365"/>
    </row>
  </sheetData>
  <sheetProtection formatColumns="0"/>
  <mergeCells count="3">
    <mergeCell ref="B5:B7"/>
    <mergeCell ref="C5:C7"/>
    <mergeCell ref="D40:F40"/>
  </mergeCells>
  <dataValidations count="1">
    <dataValidation type="list" allowBlank="1" showInputMessage="1" showErrorMessage="1" sqref="E9:E38">
      <formula1>INDIRECT($D9)</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Liste_CABS!$F$3:$F$12</xm:f>
          </x14:formula1>
          <xm:sqref>D9:D38</xm:sqref>
        </x14:dataValidation>
        <x14:dataValidation type="list" allowBlank="1" showInputMessage="1" showErrorMessage="1">
          <x14:formula1>
            <xm:f>Liste!$S$16:$S$17</xm:f>
          </x14:formula1>
          <xm:sqref>G9:H38</xm:sqref>
        </x14:dataValidation>
        <x14:dataValidation type="list" allowBlank="1" showInputMessage="1" showErrorMessage="1">
          <x14:formula1>
            <xm:f>Liste!$A$74:$A$94</xm:f>
          </x14:formula1>
          <xm:sqref>B9:C38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33">
    <tabColor theme="9"/>
  </sheetPr>
  <dimension ref="A1:X645"/>
  <sheetViews>
    <sheetView zoomScale="70" zoomScaleNormal="70" workbookViewId="0">
      <selection activeCell="A2" sqref="A2:F306"/>
    </sheetView>
  </sheetViews>
  <sheetFormatPr baseColWidth="10" defaultColWidth="11.36328125" defaultRowHeight="14.5"/>
  <cols>
    <col min="1" max="1" width="13.81640625" style="354" bestFit="1" customWidth="1"/>
    <col min="2" max="2" width="7.81640625" customWidth="1"/>
    <col min="3" max="3" width="6.6328125" customWidth="1"/>
    <col min="4" max="4" width="5" customWidth="1"/>
    <col min="5" max="5" width="18.81640625" customWidth="1"/>
    <col min="6" max="6" width="17.7265625" customWidth="1"/>
    <col min="7" max="7" width="11.36328125" style="429"/>
    <col min="8" max="8" width="27.26953125" style="429" bestFit="1" customWidth="1"/>
    <col min="9" max="9" width="35" style="429" bestFit="1" customWidth="1"/>
    <col min="10" max="10" width="8.6328125" style="429" customWidth="1"/>
    <col min="11" max="11" width="0.7265625" style="429" customWidth="1"/>
    <col min="12" max="12" width="27.26953125" style="429" bestFit="1" customWidth="1"/>
    <col min="13" max="13" width="33" style="429" bestFit="1" customWidth="1"/>
    <col min="14" max="14" width="9.7265625" style="429" customWidth="1"/>
    <col min="15" max="15" width="27.26953125" style="429" bestFit="1" customWidth="1"/>
    <col min="16" max="16" width="35.36328125" style="429" bestFit="1" customWidth="1"/>
    <col min="17" max="17" width="33.36328125" style="429" bestFit="1" customWidth="1"/>
    <col min="18" max="20" width="7.7265625" style="429" bestFit="1" customWidth="1"/>
    <col min="21" max="21" width="7.7265625" style="244" bestFit="1" customWidth="1"/>
    <col min="22" max="22" width="14.08984375" style="429" bestFit="1" customWidth="1"/>
    <col min="23" max="27" width="7.7265625" style="429" bestFit="1" customWidth="1"/>
    <col min="28" max="28" width="6.7265625" style="429" bestFit="1" customWidth="1"/>
    <col min="29" max="31" width="7.7265625" style="429" bestFit="1" customWidth="1"/>
    <col min="32" max="32" width="18.36328125" style="429" bestFit="1" customWidth="1"/>
    <col min="33" max="33" width="11.7265625" style="429" bestFit="1" customWidth="1"/>
    <col min="34" max="16384" width="11.36328125" style="429"/>
  </cols>
  <sheetData>
    <row r="1" spans="1:24">
      <c r="A1" s="461" t="s">
        <v>830</v>
      </c>
      <c r="B1" s="461" t="s">
        <v>259</v>
      </c>
      <c r="C1" s="461" t="s">
        <v>421</v>
      </c>
      <c r="D1" s="461" t="s">
        <v>422</v>
      </c>
      <c r="E1" s="461" t="s">
        <v>423</v>
      </c>
      <c r="F1" s="461" t="s">
        <v>424</v>
      </c>
      <c r="G1" s="177"/>
      <c r="H1" s="30" t="s">
        <v>438</v>
      </c>
      <c r="N1" s="429" t="s">
        <v>440</v>
      </c>
      <c r="U1" s="429"/>
    </row>
    <row r="2" spans="1:24" ht="20.65" customHeight="1">
      <c r="A2" s="655"/>
      <c r="B2" s="655"/>
      <c r="C2" s="655"/>
      <c r="D2" s="655"/>
      <c r="E2" s="655"/>
      <c r="F2" s="655"/>
      <c r="G2" s="177"/>
      <c r="H2" s="429" t="s">
        <v>442</v>
      </c>
      <c r="M2" s="429" t="s">
        <v>443</v>
      </c>
      <c r="N2" s="152" t="s">
        <v>441</v>
      </c>
      <c r="U2" s="429"/>
    </row>
    <row r="3" spans="1:24" ht="44.25" customHeight="1">
      <c r="A3" s="655"/>
      <c r="B3" s="655"/>
      <c r="C3" s="655"/>
      <c r="D3" s="655"/>
      <c r="E3" s="655"/>
      <c r="F3" s="655"/>
      <c r="H3" s="152"/>
      <c r="U3" s="429"/>
    </row>
    <row r="4" spans="1:24" ht="20.65" customHeight="1">
      <c r="A4" s="655"/>
      <c r="B4" s="655"/>
      <c r="C4" s="655"/>
      <c r="D4" s="655"/>
      <c r="E4" s="655"/>
      <c r="F4" s="655"/>
      <c r="H4" s="85" t="s">
        <v>439</v>
      </c>
      <c r="U4" s="429"/>
    </row>
    <row r="5" spans="1:24" ht="20.65" customHeight="1">
      <c r="A5" s="655"/>
      <c r="B5" s="655"/>
      <c r="C5" s="655"/>
      <c r="D5" s="655"/>
      <c r="E5" s="655"/>
      <c r="F5" s="655"/>
      <c r="H5" s="85" t="s">
        <v>831</v>
      </c>
      <c r="U5" s="429"/>
    </row>
    <row r="6" spans="1:24" ht="20.65" customHeight="1">
      <c r="A6" s="655"/>
      <c r="B6" s="655"/>
      <c r="C6" s="655"/>
      <c r="D6" s="655"/>
      <c r="E6" s="655"/>
      <c r="F6" s="655"/>
      <c r="U6" s="429"/>
    </row>
    <row r="7" spans="1:24" ht="20.65" customHeight="1">
      <c r="A7" s="655"/>
      <c r="B7" s="655"/>
      <c r="C7" s="655"/>
      <c r="D7" s="655"/>
      <c r="E7" s="655"/>
      <c r="F7" s="655"/>
      <c r="U7" s="429"/>
    </row>
    <row r="8" spans="1:24" ht="20.65" customHeight="1">
      <c r="A8" s="655"/>
      <c r="B8" s="655"/>
      <c r="C8" s="655"/>
      <c r="D8" s="655"/>
      <c r="E8" s="655"/>
      <c r="F8" s="655"/>
      <c r="U8" s="429"/>
    </row>
    <row r="9" spans="1:24" ht="20.65" customHeight="1">
      <c r="A9" s="655"/>
      <c r="B9" s="655"/>
      <c r="C9" s="655"/>
      <c r="D9" s="655"/>
      <c r="E9" s="655"/>
      <c r="F9" s="655"/>
      <c r="U9" s="429"/>
    </row>
    <row r="10" spans="1:24">
      <c r="A10" s="655"/>
      <c r="B10" s="655"/>
      <c r="C10" s="655"/>
      <c r="D10" s="655"/>
      <c r="E10" s="655"/>
      <c r="F10" s="655"/>
      <c r="O10" s="30" t="s">
        <v>828</v>
      </c>
      <c r="U10" s="429"/>
    </row>
    <row r="11" spans="1:24">
      <c r="A11" s="655"/>
      <c r="B11" s="655"/>
      <c r="C11" s="655"/>
      <c r="D11" s="655"/>
      <c r="E11" s="655"/>
      <c r="F11" s="655"/>
      <c r="H11" s="429" t="s">
        <v>708</v>
      </c>
      <c r="L11" s="429" t="s">
        <v>707</v>
      </c>
      <c r="O11" s="154" t="s">
        <v>829</v>
      </c>
      <c r="U11" s="429"/>
    </row>
    <row r="12" spans="1:24">
      <c r="A12" s="655"/>
      <c r="B12" s="655"/>
      <c r="C12" s="655"/>
      <c r="D12" s="655"/>
      <c r="E12" s="655"/>
      <c r="F12" s="655"/>
      <c r="T12" s="244"/>
      <c r="V12" s="244"/>
      <c r="W12" s="244"/>
      <c r="X12" s="244"/>
    </row>
    <row r="13" spans="1:24">
      <c r="A13" s="655"/>
      <c r="B13" s="655"/>
      <c r="C13" s="655"/>
      <c r="D13" s="655"/>
      <c r="E13" s="655"/>
      <c r="F13" s="655"/>
      <c r="H13" s="456" t="s">
        <v>64</v>
      </c>
      <c r="I13" s="177" t="s">
        <v>78</v>
      </c>
      <c r="L13" s="456" t="s">
        <v>64</v>
      </c>
      <c r="M13" s="177" t="s">
        <v>425</v>
      </c>
      <c r="O13" s="456" t="s">
        <v>64</v>
      </c>
      <c r="P13" s="177" t="s">
        <v>847</v>
      </c>
      <c r="Q13" s="177" t="s">
        <v>848</v>
      </c>
      <c r="T13" s="244"/>
      <c r="V13" s="244"/>
      <c r="W13" s="244"/>
      <c r="X13" s="244"/>
    </row>
    <row r="14" spans="1:24">
      <c r="A14" s="655"/>
      <c r="B14" s="655"/>
      <c r="C14" s="655"/>
      <c r="D14" s="655"/>
      <c r="E14" s="655"/>
      <c r="F14" s="655"/>
      <c r="H14" s="457">
        <v>2001</v>
      </c>
      <c r="I14" s="458">
        <v>2408</v>
      </c>
      <c r="L14" s="457">
        <v>2001</v>
      </c>
      <c r="M14" s="458">
        <v>158</v>
      </c>
      <c r="O14" s="457">
        <v>2001</v>
      </c>
      <c r="P14" s="458">
        <v>12</v>
      </c>
      <c r="Q14" s="458">
        <v>12</v>
      </c>
      <c r="T14" s="244"/>
      <c r="V14" s="244"/>
      <c r="W14" s="244"/>
      <c r="X14" s="244"/>
    </row>
    <row r="15" spans="1:24">
      <c r="A15" s="655"/>
      <c r="B15" s="655"/>
      <c r="C15" s="655"/>
      <c r="D15" s="655"/>
      <c r="E15" s="655"/>
      <c r="F15" s="655"/>
      <c r="H15" s="457">
        <v>2002</v>
      </c>
      <c r="I15" s="458">
        <v>2164</v>
      </c>
      <c r="L15" s="457">
        <v>2002</v>
      </c>
      <c r="M15" s="458">
        <v>100</v>
      </c>
      <c r="O15" s="457">
        <v>2002</v>
      </c>
      <c r="P15" s="458">
        <v>12</v>
      </c>
      <c r="Q15" s="458">
        <v>12</v>
      </c>
      <c r="T15" s="244"/>
      <c r="V15" s="244"/>
      <c r="W15" s="244"/>
      <c r="X15" s="244"/>
    </row>
    <row r="16" spans="1:24">
      <c r="A16" s="655"/>
      <c r="B16" s="655"/>
      <c r="C16" s="655"/>
      <c r="D16" s="655"/>
      <c r="E16" s="655"/>
      <c r="F16" s="655"/>
      <c r="H16" s="457">
        <v>2003</v>
      </c>
      <c r="I16" s="458">
        <v>2339</v>
      </c>
      <c r="L16" s="457">
        <v>2003</v>
      </c>
      <c r="M16" s="458">
        <v>262</v>
      </c>
      <c r="O16" s="457">
        <v>2003</v>
      </c>
      <c r="P16" s="458">
        <v>12</v>
      </c>
      <c r="Q16" s="458">
        <v>12</v>
      </c>
      <c r="T16" s="244"/>
      <c r="V16" s="244"/>
      <c r="W16" s="244"/>
      <c r="X16" s="244"/>
    </row>
    <row r="17" spans="1:24">
      <c r="A17" s="655"/>
      <c r="B17" s="655"/>
      <c r="C17" s="655"/>
      <c r="D17" s="655"/>
      <c r="E17" s="655"/>
      <c r="F17" s="655"/>
      <c r="H17" s="457">
        <v>2004</v>
      </c>
      <c r="I17" s="458">
        <v>2408</v>
      </c>
      <c r="L17" s="457">
        <v>2004</v>
      </c>
      <c r="M17" s="458">
        <v>147</v>
      </c>
      <c r="O17" s="457">
        <v>2004</v>
      </c>
      <c r="P17" s="458">
        <v>12</v>
      </c>
      <c r="Q17" s="458">
        <v>12</v>
      </c>
      <c r="T17" s="244"/>
      <c r="V17" s="244"/>
      <c r="W17" s="244"/>
      <c r="X17" s="244"/>
    </row>
    <row r="18" spans="1:24">
      <c r="A18" s="655"/>
      <c r="B18" s="655"/>
      <c r="C18" s="655"/>
      <c r="D18" s="655"/>
      <c r="E18" s="655"/>
      <c r="F18" s="655"/>
      <c r="H18" s="457">
        <v>2005</v>
      </c>
      <c r="I18" s="458">
        <v>2347</v>
      </c>
      <c r="L18" s="457">
        <v>2005</v>
      </c>
      <c r="M18" s="458">
        <v>196</v>
      </c>
      <c r="O18" s="457">
        <v>2005</v>
      </c>
      <c r="P18" s="458">
        <v>12</v>
      </c>
      <c r="Q18" s="458">
        <v>12</v>
      </c>
      <c r="S18" s="152"/>
      <c r="T18" s="244"/>
      <c r="V18" s="244"/>
      <c r="W18" s="244"/>
      <c r="X18" s="244"/>
    </row>
    <row r="19" spans="1:24">
      <c r="A19" s="655"/>
      <c r="B19" s="655"/>
      <c r="C19" s="655"/>
      <c r="D19" s="655"/>
      <c r="E19" s="655"/>
      <c r="F19" s="655"/>
      <c r="H19" s="457">
        <v>2006</v>
      </c>
      <c r="I19" s="458">
        <v>2289</v>
      </c>
      <c r="L19" s="457">
        <v>2006</v>
      </c>
      <c r="M19" s="458">
        <v>227</v>
      </c>
      <c r="O19" s="457">
        <v>2006</v>
      </c>
      <c r="P19" s="458">
        <v>12</v>
      </c>
      <c r="Q19" s="458">
        <v>12</v>
      </c>
      <c r="T19" s="244"/>
      <c r="V19" s="244"/>
      <c r="W19" s="244"/>
      <c r="X19" s="244"/>
    </row>
    <row r="20" spans="1:24">
      <c r="A20" s="655"/>
      <c r="B20" s="655"/>
      <c r="C20" s="655"/>
      <c r="D20" s="655"/>
      <c r="E20" s="655"/>
      <c r="F20" s="655"/>
      <c r="H20" s="457">
        <v>2007</v>
      </c>
      <c r="I20" s="458">
        <v>2237</v>
      </c>
      <c r="L20" s="457">
        <v>2007</v>
      </c>
      <c r="M20" s="458">
        <v>101</v>
      </c>
      <c r="O20" s="457">
        <v>2007</v>
      </c>
      <c r="P20" s="458">
        <v>12</v>
      </c>
      <c r="Q20" s="458">
        <v>12</v>
      </c>
      <c r="T20" s="244"/>
      <c r="V20" s="244"/>
      <c r="W20" s="244"/>
      <c r="X20" s="244"/>
    </row>
    <row r="21" spans="1:24">
      <c r="A21" s="655"/>
      <c r="B21" s="655"/>
      <c r="C21" s="655"/>
      <c r="D21" s="655"/>
      <c r="E21" s="655"/>
      <c r="F21" s="655"/>
      <c r="H21" s="457">
        <v>2008</v>
      </c>
      <c r="I21" s="458">
        <v>2432</v>
      </c>
      <c r="L21" s="457">
        <v>2008</v>
      </c>
      <c r="M21" s="458">
        <v>113</v>
      </c>
      <c r="O21" s="457">
        <v>2008</v>
      </c>
      <c r="P21" s="458">
        <v>12</v>
      </c>
      <c r="Q21" s="458">
        <v>12</v>
      </c>
      <c r="T21" s="244"/>
      <c r="V21" s="244"/>
      <c r="W21" s="244"/>
      <c r="X21" s="244"/>
    </row>
    <row r="22" spans="1:24">
      <c r="A22" s="655"/>
      <c r="B22" s="655"/>
      <c r="C22" s="655"/>
      <c r="D22" s="655"/>
      <c r="E22" s="655"/>
      <c r="F22" s="655"/>
      <c r="H22" s="457">
        <v>2009</v>
      </c>
      <c r="I22" s="458">
        <v>2451</v>
      </c>
      <c r="L22" s="457">
        <v>2009</v>
      </c>
      <c r="M22" s="458">
        <v>132</v>
      </c>
      <c r="O22" s="457">
        <v>2009</v>
      </c>
      <c r="P22" s="458">
        <v>12</v>
      </c>
      <c r="Q22" s="458">
        <v>12</v>
      </c>
      <c r="T22" s="244"/>
      <c r="V22" s="244"/>
      <c r="W22" s="244"/>
      <c r="X22" s="244"/>
    </row>
    <row r="23" spans="1:24">
      <c r="A23" s="655"/>
      <c r="B23" s="655"/>
      <c r="C23" s="655"/>
      <c r="D23" s="655"/>
      <c r="E23" s="655"/>
      <c r="F23" s="655"/>
      <c r="H23" s="457">
        <v>2010</v>
      </c>
      <c r="I23" s="458">
        <v>2737</v>
      </c>
      <c r="L23" s="457">
        <v>2010</v>
      </c>
      <c r="M23" s="458">
        <v>131</v>
      </c>
      <c r="O23" s="457">
        <v>2010</v>
      </c>
      <c r="P23" s="458">
        <v>12</v>
      </c>
      <c r="Q23" s="458">
        <v>12</v>
      </c>
      <c r="T23" s="244"/>
      <c r="V23" s="244"/>
      <c r="W23" s="244"/>
      <c r="X23" s="244"/>
    </row>
    <row r="24" spans="1:24">
      <c r="A24" s="655"/>
      <c r="B24" s="655"/>
      <c r="C24" s="655"/>
      <c r="D24" s="655"/>
      <c r="E24" s="655"/>
      <c r="F24" s="655"/>
      <c r="H24" s="457">
        <v>2011</v>
      </c>
      <c r="I24" s="458">
        <v>2132</v>
      </c>
      <c r="L24" s="457">
        <v>2011</v>
      </c>
      <c r="M24" s="458">
        <v>150</v>
      </c>
      <c r="O24" s="457">
        <v>2011</v>
      </c>
      <c r="P24" s="458">
        <v>12</v>
      </c>
      <c r="Q24" s="458">
        <v>12</v>
      </c>
      <c r="T24" s="244"/>
      <c r="V24" s="244"/>
      <c r="W24" s="244"/>
      <c r="X24" s="244"/>
    </row>
    <row r="25" spans="1:24">
      <c r="A25" s="655"/>
      <c r="B25" s="655"/>
      <c r="C25" s="655"/>
      <c r="D25" s="655"/>
      <c r="E25" s="655"/>
      <c r="F25" s="655"/>
      <c r="H25" s="457">
        <v>2012</v>
      </c>
      <c r="I25" s="458">
        <v>2468</v>
      </c>
      <c r="L25" s="457">
        <v>2012</v>
      </c>
      <c r="M25" s="458">
        <v>125</v>
      </c>
      <c r="O25" s="457">
        <v>2012</v>
      </c>
      <c r="P25" s="458">
        <v>12</v>
      </c>
      <c r="Q25" s="458">
        <v>12</v>
      </c>
      <c r="T25" s="244"/>
      <c r="V25" s="244"/>
      <c r="W25" s="244"/>
      <c r="X25" s="244"/>
    </row>
    <row r="26" spans="1:24">
      <c r="A26" s="655"/>
      <c r="B26" s="655"/>
      <c r="C26" s="655"/>
      <c r="D26" s="655"/>
      <c r="E26" s="655"/>
      <c r="F26" s="655"/>
      <c r="H26" s="457">
        <v>2013</v>
      </c>
      <c r="I26" s="458">
        <v>2532</v>
      </c>
      <c r="L26" s="457">
        <v>2013</v>
      </c>
      <c r="M26" s="458">
        <v>168</v>
      </c>
      <c r="O26" s="457">
        <v>2013</v>
      </c>
      <c r="P26" s="458">
        <v>12</v>
      </c>
      <c r="Q26" s="458">
        <v>12</v>
      </c>
      <c r="T26" s="244"/>
      <c r="V26" s="244"/>
      <c r="W26" s="244"/>
      <c r="X26" s="244"/>
    </row>
    <row r="27" spans="1:24">
      <c r="A27" s="655"/>
      <c r="B27" s="655"/>
      <c r="C27" s="655"/>
      <c r="D27" s="655"/>
      <c r="E27" s="655"/>
      <c r="F27" s="655"/>
      <c r="H27" s="457">
        <v>2014</v>
      </c>
      <c r="I27" s="458">
        <v>2096</v>
      </c>
      <c r="L27" s="457">
        <v>2014</v>
      </c>
      <c r="M27" s="458">
        <v>154</v>
      </c>
      <c r="O27" s="457">
        <v>2014</v>
      </c>
      <c r="P27" s="458">
        <v>12</v>
      </c>
      <c r="Q27" s="458">
        <v>12</v>
      </c>
      <c r="T27" s="244"/>
      <c r="V27" s="244"/>
      <c r="W27" s="244"/>
      <c r="X27" s="244"/>
    </row>
    <row r="28" spans="1:24">
      <c r="A28" s="655"/>
      <c r="B28" s="655"/>
      <c r="C28" s="655"/>
      <c r="D28" s="655"/>
      <c r="E28" s="655"/>
      <c r="F28" s="655"/>
      <c r="H28" s="457">
        <v>2015</v>
      </c>
      <c r="I28" s="458">
        <v>2206</v>
      </c>
      <c r="L28" s="457">
        <v>2015</v>
      </c>
      <c r="M28" s="458">
        <v>143</v>
      </c>
      <c r="O28" s="457">
        <v>2015</v>
      </c>
      <c r="P28" s="458">
        <v>12</v>
      </c>
      <c r="Q28" s="458">
        <v>12</v>
      </c>
      <c r="T28" s="244"/>
      <c r="V28" s="244"/>
      <c r="W28" s="244"/>
      <c r="X28" s="244"/>
    </row>
    <row r="29" spans="1:24">
      <c r="A29" s="655"/>
      <c r="B29" s="655"/>
      <c r="C29" s="655"/>
      <c r="D29" s="655"/>
      <c r="E29" s="655"/>
      <c r="F29" s="655"/>
      <c r="H29" s="457">
        <v>2016</v>
      </c>
      <c r="I29" s="458">
        <v>2423</v>
      </c>
      <c r="L29" s="457">
        <v>2016</v>
      </c>
      <c r="M29" s="458">
        <v>179</v>
      </c>
      <c r="O29" s="457">
        <v>2016</v>
      </c>
      <c r="P29" s="458">
        <v>12</v>
      </c>
      <c r="Q29" s="458">
        <v>12</v>
      </c>
      <c r="T29" s="244"/>
      <c r="V29" s="244"/>
      <c r="W29" s="244"/>
      <c r="X29" s="244"/>
    </row>
    <row r="30" spans="1:24">
      <c r="A30" s="655"/>
      <c r="B30" s="655"/>
      <c r="C30" s="655"/>
      <c r="D30" s="655"/>
      <c r="E30" s="655"/>
      <c r="F30" s="655"/>
      <c r="H30" s="457">
        <v>2017</v>
      </c>
      <c r="I30" s="458">
        <v>2247</v>
      </c>
      <c r="L30" s="457">
        <v>2017</v>
      </c>
      <c r="M30" s="458">
        <v>169</v>
      </c>
      <c r="O30" s="457">
        <v>2017</v>
      </c>
      <c r="P30" s="458">
        <v>12</v>
      </c>
      <c r="Q30" s="458">
        <v>12</v>
      </c>
      <c r="T30" s="244"/>
      <c r="V30" s="244"/>
      <c r="W30" s="244"/>
      <c r="X30" s="244"/>
    </row>
    <row r="31" spans="1:24">
      <c r="A31" s="655"/>
      <c r="B31" s="655"/>
      <c r="C31" s="655"/>
      <c r="D31" s="655"/>
      <c r="E31" s="655"/>
      <c r="F31" s="655"/>
      <c r="H31" s="457">
        <v>2018</v>
      </c>
      <c r="I31" s="458">
        <v>2265</v>
      </c>
      <c r="L31" s="457">
        <v>2018</v>
      </c>
      <c r="M31" s="458">
        <v>188</v>
      </c>
      <c r="O31" s="457">
        <v>2018</v>
      </c>
      <c r="P31" s="458">
        <v>12</v>
      </c>
      <c r="Q31" s="458">
        <v>12</v>
      </c>
      <c r="T31" s="244"/>
      <c r="V31" s="244"/>
      <c r="W31" s="244"/>
      <c r="X31" s="244"/>
    </row>
    <row r="32" spans="1:24">
      <c r="A32" s="655"/>
      <c r="B32" s="655"/>
      <c r="C32" s="655"/>
      <c r="D32" s="655"/>
      <c r="E32" s="655"/>
      <c r="F32" s="655"/>
      <c r="H32" s="457">
        <v>2019</v>
      </c>
      <c r="I32" s="458">
        <v>2270</v>
      </c>
      <c r="L32" s="457">
        <v>2019</v>
      </c>
      <c r="M32" s="458">
        <v>179</v>
      </c>
      <c r="O32" s="457">
        <v>2019</v>
      </c>
      <c r="P32" s="458">
        <v>12</v>
      </c>
      <c r="Q32" s="458">
        <v>12</v>
      </c>
      <c r="T32" s="244"/>
      <c r="V32" s="244"/>
      <c r="W32" s="244"/>
      <c r="X32" s="244"/>
    </row>
    <row r="33" spans="1:24">
      <c r="A33" s="655"/>
      <c r="B33" s="655"/>
      <c r="C33" s="655"/>
      <c r="D33" s="655"/>
      <c r="E33" s="655"/>
      <c r="F33" s="655"/>
      <c r="H33" s="457">
        <v>2020</v>
      </c>
      <c r="I33" s="458">
        <v>2107</v>
      </c>
      <c r="L33" s="457">
        <v>2020</v>
      </c>
      <c r="M33" s="458">
        <v>182</v>
      </c>
      <c r="O33" s="457">
        <v>2020</v>
      </c>
      <c r="P33" s="458">
        <v>12</v>
      </c>
      <c r="Q33" s="458">
        <v>12</v>
      </c>
      <c r="T33" s="244"/>
      <c r="V33" s="244"/>
      <c r="W33" s="244"/>
      <c r="X33" s="244"/>
    </row>
    <row r="34" spans="1:24">
      <c r="A34" s="655"/>
      <c r="B34" s="655"/>
      <c r="C34" s="655"/>
      <c r="D34" s="655"/>
      <c r="E34" s="655"/>
      <c r="F34" s="655"/>
      <c r="H34" s="457">
        <v>2021</v>
      </c>
      <c r="I34" s="458">
        <v>2397</v>
      </c>
      <c r="L34" s="457">
        <v>2021</v>
      </c>
      <c r="M34" s="458">
        <v>133</v>
      </c>
      <c r="O34" s="457">
        <v>2021</v>
      </c>
      <c r="P34" s="458">
        <v>12</v>
      </c>
      <c r="Q34" s="458">
        <v>12</v>
      </c>
      <c r="T34" s="244"/>
      <c r="V34" s="244"/>
      <c r="W34" s="244"/>
      <c r="X34" s="244"/>
    </row>
    <row r="35" spans="1:24">
      <c r="A35" s="655"/>
      <c r="B35" s="655"/>
      <c r="C35" s="655"/>
      <c r="D35" s="655"/>
      <c r="E35" s="655"/>
      <c r="F35" s="655"/>
      <c r="H35" s="457">
        <v>2022</v>
      </c>
      <c r="I35" s="458">
        <v>2087</v>
      </c>
      <c r="L35" s="457">
        <v>2022</v>
      </c>
      <c r="M35" s="458">
        <v>264</v>
      </c>
      <c r="O35" s="457">
        <v>2022</v>
      </c>
      <c r="P35" s="458">
        <v>12</v>
      </c>
      <c r="Q35" s="458">
        <v>12</v>
      </c>
      <c r="T35" s="244"/>
      <c r="V35" s="244"/>
      <c r="W35" s="244"/>
      <c r="X35" s="244"/>
    </row>
    <row r="36" spans="1:24">
      <c r="A36" s="655"/>
      <c r="B36" s="655"/>
      <c r="C36" s="655"/>
      <c r="D36" s="655"/>
      <c r="E36" s="655"/>
      <c r="F36" s="655"/>
      <c r="H36" s="457">
        <v>2023</v>
      </c>
      <c r="I36" s="458">
        <v>2027</v>
      </c>
      <c r="L36" s="457">
        <v>2023</v>
      </c>
      <c r="M36" s="458">
        <v>230</v>
      </c>
      <c r="O36" s="457">
        <v>2023</v>
      </c>
      <c r="P36" s="458">
        <v>12</v>
      </c>
      <c r="Q36" s="458">
        <v>12</v>
      </c>
      <c r="T36" s="244"/>
      <c r="V36" s="244"/>
      <c r="W36" s="244"/>
      <c r="X36" s="244"/>
    </row>
    <row r="37" spans="1:24">
      <c r="A37" s="655"/>
      <c r="B37" s="655"/>
      <c r="C37" s="655"/>
      <c r="D37" s="655"/>
      <c r="E37" s="655"/>
      <c r="F37" s="655"/>
      <c r="H37" s="457">
        <v>2024</v>
      </c>
      <c r="I37" s="458">
        <v>2164</v>
      </c>
      <c r="L37" s="457">
        <v>2024</v>
      </c>
      <c r="M37" s="458">
        <v>134</v>
      </c>
      <c r="O37" s="457">
        <v>2024</v>
      </c>
      <c r="P37" s="458">
        <v>12</v>
      </c>
      <c r="Q37" s="458">
        <v>12</v>
      </c>
      <c r="T37" s="244"/>
      <c r="V37" s="244"/>
      <c r="W37" s="244"/>
      <c r="X37" s="244"/>
    </row>
    <row r="38" spans="1:24">
      <c r="A38" s="655"/>
      <c r="B38" s="655"/>
      <c r="C38" s="655"/>
      <c r="D38" s="655"/>
      <c r="E38" s="655"/>
      <c r="F38" s="655"/>
      <c r="H38" s="457">
        <v>2025</v>
      </c>
      <c r="I38" s="458">
        <v>2155</v>
      </c>
      <c r="L38" s="457">
        <v>2025</v>
      </c>
      <c r="M38" s="458">
        <v>226</v>
      </c>
      <c r="O38" s="457">
        <v>2025</v>
      </c>
      <c r="P38" s="458">
        <v>12</v>
      </c>
      <c r="Q38" s="458">
        <v>12</v>
      </c>
      <c r="T38" s="244"/>
      <c r="V38" s="244"/>
      <c r="W38" s="244"/>
      <c r="X38" s="244"/>
    </row>
    <row r="39" spans="1:24">
      <c r="A39" s="655"/>
      <c r="B39" s="655"/>
      <c r="C39" s="655"/>
      <c r="D39" s="655"/>
      <c r="E39" s="655"/>
      <c r="F39" s="655"/>
      <c r="H39" s="459">
        <v>1</v>
      </c>
      <c r="I39" s="458">
        <v>392</v>
      </c>
      <c r="L39" s="459">
        <v>1</v>
      </c>
      <c r="M39" s="458">
        <v>0</v>
      </c>
      <c r="O39" s="457" t="s">
        <v>76</v>
      </c>
      <c r="P39" s="458"/>
      <c r="Q39" s="458"/>
      <c r="T39" s="244"/>
      <c r="V39" s="244"/>
      <c r="W39" s="244"/>
      <c r="X39" s="244"/>
    </row>
    <row r="40" spans="1:24">
      <c r="A40" s="655"/>
      <c r="B40" s="655"/>
      <c r="C40" s="655"/>
      <c r="D40" s="655"/>
      <c r="E40" s="655"/>
      <c r="F40" s="655"/>
      <c r="H40" s="459">
        <v>2</v>
      </c>
      <c r="I40" s="458">
        <v>310</v>
      </c>
      <c r="J40" s="437"/>
      <c r="L40" s="459">
        <v>2</v>
      </c>
      <c r="M40" s="458">
        <v>0</v>
      </c>
      <c r="O40" s="457">
        <v>2026</v>
      </c>
      <c r="P40" s="458">
        <v>5</v>
      </c>
      <c r="Q40" s="458">
        <v>5</v>
      </c>
      <c r="T40" s="244"/>
      <c r="V40" s="244"/>
      <c r="W40" s="244"/>
      <c r="X40" s="244"/>
    </row>
    <row r="41" spans="1:24">
      <c r="A41" s="655"/>
      <c r="B41" s="655"/>
      <c r="C41" s="655"/>
      <c r="D41" s="655"/>
      <c r="E41" s="655"/>
      <c r="F41" s="655"/>
      <c r="H41" s="459">
        <v>3</v>
      </c>
      <c r="I41" s="458">
        <v>269</v>
      </c>
      <c r="J41" s="437"/>
      <c r="L41" s="459">
        <v>3</v>
      </c>
      <c r="M41" s="458">
        <v>0</v>
      </c>
      <c r="T41" s="244"/>
      <c r="V41" s="244"/>
      <c r="W41" s="244"/>
      <c r="X41" s="244"/>
    </row>
    <row r="42" spans="1:24">
      <c r="A42" s="655"/>
      <c r="B42" s="655"/>
      <c r="C42" s="655"/>
      <c r="D42" s="655"/>
      <c r="E42" s="655"/>
      <c r="F42" s="655"/>
      <c r="H42" s="459">
        <v>4</v>
      </c>
      <c r="I42" s="458">
        <v>173</v>
      </c>
      <c r="J42" s="437"/>
      <c r="L42" s="459">
        <v>4</v>
      </c>
      <c r="M42" s="458">
        <v>7</v>
      </c>
      <c r="T42" s="244"/>
      <c r="V42" s="244"/>
      <c r="W42" s="244"/>
      <c r="X42" s="244"/>
    </row>
    <row r="43" spans="1:24">
      <c r="A43" s="655"/>
      <c r="B43" s="655"/>
      <c r="C43" s="655"/>
      <c r="D43" s="655"/>
      <c r="E43" s="655"/>
      <c r="F43" s="655"/>
      <c r="H43" s="459">
        <v>5</v>
      </c>
      <c r="I43" s="458">
        <v>120</v>
      </c>
      <c r="J43" s="437"/>
      <c r="L43" s="459">
        <v>5</v>
      </c>
      <c r="M43" s="458">
        <v>12</v>
      </c>
      <c r="T43" s="244"/>
      <c r="V43" s="244"/>
      <c r="W43" s="244"/>
      <c r="X43" s="244"/>
    </row>
    <row r="44" spans="1:24">
      <c r="A44" s="655"/>
      <c r="B44" s="655"/>
      <c r="C44" s="655"/>
      <c r="D44" s="655"/>
      <c r="E44" s="655"/>
      <c r="F44" s="655"/>
      <c r="H44" s="459">
        <v>6</v>
      </c>
      <c r="I44" s="458">
        <v>57</v>
      </c>
      <c r="J44" s="437"/>
      <c r="L44" s="459">
        <v>6</v>
      </c>
      <c r="M44" s="458">
        <v>65</v>
      </c>
      <c r="T44" s="244"/>
      <c r="V44" s="244"/>
      <c r="W44" s="244"/>
      <c r="X44" s="244"/>
    </row>
    <row r="45" spans="1:24">
      <c r="A45" s="655"/>
      <c r="B45" s="655"/>
      <c r="C45" s="655"/>
      <c r="D45" s="655"/>
      <c r="E45" s="655"/>
      <c r="F45" s="655"/>
      <c r="H45" s="459">
        <v>7</v>
      </c>
      <c r="I45" s="458">
        <v>33</v>
      </c>
      <c r="J45" s="437"/>
      <c r="L45" s="459">
        <v>7</v>
      </c>
      <c r="M45" s="458">
        <v>51</v>
      </c>
      <c r="T45" s="244"/>
      <c r="V45" s="244"/>
      <c r="W45" s="244"/>
      <c r="X45" s="244"/>
    </row>
    <row r="46" spans="1:24">
      <c r="A46" s="655"/>
      <c r="B46" s="655"/>
      <c r="C46" s="655"/>
      <c r="D46" s="655"/>
      <c r="E46" s="655"/>
      <c r="F46" s="655"/>
      <c r="H46" s="459">
        <v>8</v>
      </c>
      <c r="I46" s="458">
        <v>32</v>
      </c>
      <c r="J46" s="437"/>
      <c r="L46" s="459">
        <v>8</v>
      </c>
      <c r="M46" s="458">
        <v>67</v>
      </c>
      <c r="T46" s="244"/>
      <c r="V46" s="244"/>
      <c r="W46" s="244"/>
      <c r="X46" s="244"/>
    </row>
    <row r="47" spans="1:24">
      <c r="A47" s="655"/>
      <c r="B47" s="655"/>
      <c r="C47" s="655"/>
      <c r="D47" s="655"/>
      <c r="E47" s="655"/>
      <c r="F47" s="655"/>
      <c r="H47" s="459">
        <v>9</v>
      </c>
      <c r="I47" s="458">
        <v>81</v>
      </c>
      <c r="J47" s="437"/>
      <c r="L47" s="459">
        <v>9</v>
      </c>
      <c r="M47" s="458">
        <v>22</v>
      </c>
      <c r="T47" s="244"/>
      <c r="V47" s="244"/>
      <c r="W47" s="244"/>
      <c r="X47" s="244"/>
    </row>
    <row r="48" spans="1:24">
      <c r="A48" s="655"/>
      <c r="B48" s="655"/>
      <c r="C48" s="655"/>
      <c r="D48" s="655"/>
      <c r="E48" s="655"/>
      <c r="F48" s="655"/>
      <c r="H48" s="459">
        <v>10</v>
      </c>
      <c r="I48" s="458">
        <v>148</v>
      </c>
      <c r="J48" s="437"/>
      <c r="L48" s="459">
        <v>10</v>
      </c>
      <c r="M48" s="458">
        <v>2</v>
      </c>
      <c r="T48" s="244"/>
      <c r="V48" s="244"/>
      <c r="W48" s="244"/>
      <c r="X48" s="244"/>
    </row>
    <row r="49" spans="1:24">
      <c r="A49" s="655"/>
      <c r="B49" s="655"/>
      <c r="C49" s="655"/>
      <c r="D49" s="655"/>
      <c r="E49" s="655"/>
      <c r="F49" s="655"/>
      <c r="H49" s="459">
        <v>11</v>
      </c>
      <c r="I49" s="458">
        <v>216</v>
      </c>
      <c r="J49" s="437"/>
      <c r="L49" s="459">
        <v>11</v>
      </c>
      <c r="M49" s="458">
        <v>0</v>
      </c>
      <c r="T49" s="244"/>
      <c r="V49" s="244"/>
      <c r="W49" s="244"/>
      <c r="X49" s="244"/>
    </row>
    <row r="50" spans="1:24">
      <c r="A50" s="655"/>
      <c r="B50" s="655"/>
      <c r="C50" s="655"/>
      <c r="D50" s="655"/>
      <c r="E50" s="655"/>
      <c r="F50" s="655"/>
      <c r="H50" s="459">
        <v>12</v>
      </c>
      <c r="I50" s="458">
        <v>324</v>
      </c>
      <c r="J50" s="437"/>
      <c r="L50" s="459">
        <v>12</v>
      </c>
      <c r="M50" s="458">
        <v>0</v>
      </c>
      <c r="T50" s="244"/>
      <c r="V50" s="244"/>
      <c r="W50" s="244"/>
      <c r="X50" s="244"/>
    </row>
    <row r="51" spans="1:24">
      <c r="A51" s="655"/>
      <c r="B51" s="655"/>
      <c r="C51" s="655"/>
      <c r="D51" s="655"/>
      <c r="E51" s="655"/>
      <c r="F51" s="655"/>
      <c r="H51" s="457" t="s">
        <v>76</v>
      </c>
      <c r="I51" s="458"/>
      <c r="J51" s="437"/>
      <c r="L51" s="457" t="s">
        <v>76</v>
      </c>
      <c r="M51" s="458"/>
      <c r="T51" s="244"/>
      <c r="V51" s="244"/>
      <c r="W51" s="244"/>
      <c r="X51" s="244"/>
    </row>
    <row r="52" spans="1:24">
      <c r="A52" s="655"/>
      <c r="B52" s="655"/>
      <c r="C52" s="655"/>
      <c r="D52" s="655"/>
      <c r="E52" s="655"/>
      <c r="F52" s="655"/>
      <c r="H52" s="459" t="s">
        <v>76</v>
      </c>
      <c r="I52" s="458"/>
      <c r="L52" s="457">
        <v>2026</v>
      </c>
      <c r="M52" s="458">
        <v>61</v>
      </c>
      <c r="T52" s="244"/>
      <c r="V52" s="244"/>
      <c r="W52" s="244"/>
      <c r="X52" s="244"/>
    </row>
    <row r="53" spans="1:24">
      <c r="A53" s="655"/>
      <c r="B53" s="655"/>
      <c r="C53" s="655"/>
      <c r="D53" s="655"/>
      <c r="E53" s="655"/>
      <c r="F53" s="655"/>
      <c r="H53" s="460" t="s">
        <v>76</v>
      </c>
      <c r="I53" s="458"/>
      <c r="L53" s="457" t="s">
        <v>86</v>
      </c>
      <c r="M53" s="458">
        <v>4252</v>
      </c>
      <c r="T53" s="244"/>
      <c r="V53" s="244"/>
      <c r="W53" s="244"/>
      <c r="X53" s="244"/>
    </row>
    <row r="54" spans="1:24">
      <c r="A54" s="655"/>
      <c r="B54" s="655"/>
      <c r="C54" s="655"/>
      <c r="D54" s="655"/>
      <c r="E54" s="655"/>
      <c r="F54" s="655"/>
      <c r="H54" s="457">
        <v>2026</v>
      </c>
      <c r="I54" s="458">
        <v>1089</v>
      </c>
      <c r="T54" s="244"/>
      <c r="V54" s="244"/>
      <c r="W54" s="244"/>
      <c r="X54" s="244"/>
    </row>
    <row r="55" spans="1:24">
      <c r="A55" s="655"/>
      <c r="B55" s="655"/>
      <c r="C55" s="655"/>
      <c r="D55" s="655"/>
      <c r="E55" s="655"/>
      <c r="F55" s="655"/>
      <c r="H55" s="459">
        <v>1</v>
      </c>
      <c r="I55" s="458">
        <v>340</v>
      </c>
      <c r="T55" s="244"/>
      <c r="V55" s="244"/>
      <c r="W55" s="244"/>
      <c r="X55" s="244"/>
    </row>
    <row r="56" spans="1:24">
      <c r="A56" s="655"/>
      <c r="B56" s="655"/>
      <c r="C56" s="655"/>
      <c r="D56" s="655"/>
      <c r="E56" s="655"/>
      <c r="F56" s="655"/>
      <c r="H56" s="459">
        <v>2</v>
      </c>
      <c r="I56" s="458">
        <v>227</v>
      </c>
      <c r="T56" s="244"/>
      <c r="V56" s="244"/>
      <c r="W56" s="244"/>
      <c r="X56" s="244"/>
    </row>
    <row r="57" spans="1:24">
      <c r="A57" s="655"/>
      <c r="B57" s="655"/>
      <c r="C57" s="655"/>
      <c r="D57" s="655"/>
      <c r="E57" s="655"/>
      <c r="F57" s="655"/>
      <c r="H57" s="459">
        <v>3</v>
      </c>
      <c r="I57" s="458">
        <v>243</v>
      </c>
      <c r="T57" s="244"/>
      <c r="V57" s="244"/>
      <c r="W57" s="244"/>
      <c r="X57" s="244"/>
    </row>
    <row r="58" spans="1:24">
      <c r="A58" s="655"/>
      <c r="B58" s="655"/>
      <c r="C58" s="655"/>
      <c r="D58" s="655"/>
      <c r="E58" s="655"/>
      <c r="F58" s="655"/>
      <c r="H58" s="459">
        <v>4</v>
      </c>
      <c r="I58" s="458">
        <v>163</v>
      </c>
      <c r="T58" s="244"/>
      <c r="V58" s="244"/>
      <c r="W58" s="244"/>
      <c r="X58" s="244"/>
    </row>
    <row r="59" spans="1:24">
      <c r="A59" s="655"/>
      <c r="B59" s="655"/>
      <c r="C59" s="655"/>
      <c r="D59" s="655"/>
      <c r="E59" s="655"/>
      <c r="F59" s="655"/>
      <c r="H59" s="459">
        <v>5</v>
      </c>
      <c r="I59" s="458">
        <v>116</v>
      </c>
      <c r="T59" s="244"/>
      <c r="V59" s="244"/>
      <c r="W59" s="244"/>
      <c r="X59" s="244"/>
    </row>
    <row r="60" spans="1:24">
      <c r="A60" s="655"/>
      <c r="B60" s="655"/>
      <c r="C60" s="655"/>
      <c r="D60" s="655"/>
      <c r="E60" s="655"/>
      <c r="F60" s="655"/>
      <c r="H60" s="457" t="s">
        <v>86</v>
      </c>
      <c r="I60" s="458">
        <v>58477</v>
      </c>
      <c r="T60" s="244"/>
      <c r="V60" s="244"/>
      <c r="W60" s="244"/>
      <c r="X60" s="244"/>
    </row>
    <row r="61" spans="1:24">
      <c r="A61" s="655"/>
      <c r="B61" s="655"/>
      <c r="C61" s="655"/>
      <c r="D61" s="655"/>
      <c r="E61" s="655"/>
      <c r="F61" s="655"/>
      <c r="H61"/>
      <c r="I61"/>
      <c r="T61" s="244"/>
      <c r="V61" s="244"/>
      <c r="W61" s="244"/>
      <c r="X61" s="244"/>
    </row>
    <row r="62" spans="1:24">
      <c r="A62" s="655"/>
      <c r="B62" s="655"/>
      <c r="C62" s="655"/>
      <c r="D62" s="655"/>
      <c r="E62" s="655"/>
      <c r="F62" s="655"/>
      <c r="H62"/>
      <c r="I62"/>
      <c r="T62" s="244"/>
      <c r="V62" s="244"/>
      <c r="W62" s="244"/>
      <c r="X62" s="244"/>
    </row>
    <row r="63" spans="1:24">
      <c r="A63" s="655"/>
      <c r="B63" s="655"/>
      <c r="C63" s="655"/>
      <c r="D63" s="655"/>
      <c r="E63" s="655"/>
      <c r="F63" s="655"/>
      <c r="H63"/>
      <c r="I63"/>
      <c r="T63" s="244"/>
      <c r="V63" s="244"/>
      <c r="W63" s="244"/>
      <c r="X63" s="244"/>
    </row>
    <row r="64" spans="1:24">
      <c r="A64" s="655"/>
      <c r="B64" s="655"/>
      <c r="C64" s="655"/>
      <c r="D64" s="655"/>
      <c r="E64" s="655"/>
      <c r="F64" s="655"/>
      <c r="H64"/>
      <c r="I64"/>
      <c r="T64" s="244"/>
      <c r="V64" s="244"/>
      <c r="W64" s="244"/>
      <c r="X64" s="244"/>
    </row>
    <row r="65" spans="1:24">
      <c r="A65" s="655"/>
      <c r="B65" s="655"/>
      <c r="C65" s="655"/>
      <c r="D65" s="655"/>
      <c r="E65" s="655"/>
      <c r="F65" s="655"/>
      <c r="H65"/>
      <c r="I65"/>
      <c r="T65" s="244"/>
      <c r="V65" s="244"/>
      <c r="W65" s="244"/>
      <c r="X65" s="244"/>
    </row>
    <row r="66" spans="1:24">
      <c r="A66" s="655"/>
      <c r="B66" s="655"/>
      <c r="C66" s="655"/>
      <c r="D66" s="655"/>
      <c r="E66" s="655"/>
      <c r="F66" s="655"/>
      <c r="H66"/>
      <c r="I66"/>
      <c r="T66" s="244"/>
      <c r="V66" s="244"/>
      <c r="W66" s="244"/>
      <c r="X66" s="244"/>
    </row>
    <row r="67" spans="1:24">
      <c r="A67" s="655"/>
      <c r="B67" s="655"/>
      <c r="C67" s="655"/>
      <c r="D67" s="655"/>
      <c r="E67" s="655"/>
      <c r="F67" s="655"/>
      <c r="H67"/>
      <c r="I67"/>
      <c r="T67" s="244"/>
      <c r="V67" s="244"/>
      <c r="W67" s="244"/>
      <c r="X67" s="244"/>
    </row>
    <row r="68" spans="1:24">
      <c r="A68" s="655"/>
      <c r="B68" s="655"/>
      <c r="C68" s="655"/>
      <c r="D68" s="655"/>
      <c r="E68" s="655"/>
      <c r="F68" s="655"/>
      <c r="H68"/>
      <c r="I68"/>
      <c r="T68" s="244"/>
      <c r="V68" s="244"/>
      <c r="W68" s="244"/>
      <c r="X68" s="244"/>
    </row>
    <row r="69" spans="1:24">
      <c r="A69" s="655"/>
      <c r="B69" s="655"/>
      <c r="C69" s="655"/>
      <c r="D69" s="655"/>
      <c r="E69" s="655"/>
      <c r="F69" s="655"/>
      <c r="H69"/>
      <c r="I69"/>
      <c r="T69" s="244"/>
      <c r="V69" s="244"/>
      <c r="W69" s="244"/>
      <c r="X69" s="244"/>
    </row>
    <row r="70" spans="1:24">
      <c r="A70" s="655"/>
      <c r="B70" s="655"/>
      <c r="C70" s="655"/>
      <c r="D70" s="655"/>
      <c r="E70" s="655"/>
      <c r="F70" s="655"/>
      <c r="H70"/>
      <c r="I70"/>
      <c r="T70" s="244"/>
      <c r="V70" s="244"/>
      <c r="W70" s="244"/>
      <c r="X70" s="244"/>
    </row>
    <row r="71" spans="1:24">
      <c r="A71" s="655"/>
      <c r="B71" s="655"/>
      <c r="C71" s="655"/>
      <c r="D71" s="655"/>
      <c r="E71" s="655"/>
      <c r="F71" s="655"/>
      <c r="H71"/>
      <c r="I71"/>
      <c r="T71" s="244"/>
      <c r="V71" s="244"/>
      <c r="W71" s="244"/>
      <c r="X71" s="244"/>
    </row>
    <row r="72" spans="1:24">
      <c r="A72" s="655"/>
      <c r="B72" s="655"/>
      <c r="C72" s="655"/>
      <c r="D72" s="655"/>
      <c r="E72" s="655"/>
      <c r="F72" s="655"/>
      <c r="H72"/>
      <c r="I72"/>
      <c r="T72" s="244"/>
      <c r="V72" s="244"/>
      <c r="W72" s="244"/>
      <c r="X72" s="244"/>
    </row>
    <row r="73" spans="1:24">
      <c r="A73" s="655"/>
      <c r="B73" s="655"/>
      <c r="C73" s="655"/>
      <c r="D73" s="655"/>
      <c r="E73" s="655"/>
      <c r="F73" s="655"/>
      <c r="H73"/>
      <c r="I73"/>
      <c r="T73" s="244"/>
      <c r="V73" s="244"/>
      <c r="W73" s="244"/>
      <c r="X73" s="244"/>
    </row>
    <row r="74" spans="1:24">
      <c r="A74" s="655"/>
      <c r="B74" s="655"/>
      <c r="C74" s="655"/>
      <c r="D74" s="655"/>
      <c r="E74" s="655"/>
      <c r="F74" s="655"/>
      <c r="H74"/>
      <c r="I74"/>
      <c r="T74" s="244"/>
      <c r="V74" s="244"/>
      <c r="W74" s="244"/>
      <c r="X74" s="244"/>
    </row>
    <row r="75" spans="1:24">
      <c r="A75" s="655"/>
      <c r="B75" s="655"/>
      <c r="C75" s="655"/>
      <c r="D75" s="655"/>
      <c r="E75" s="655"/>
      <c r="F75" s="655"/>
      <c r="H75"/>
      <c r="I75"/>
      <c r="T75" s="244"/>
      <c r="V75" s="244"/>
      <c r="W75" s="244"/>
      <c r="X75" s="244"/>
    </row>
    <row r="76" spans="1:24">
      <c r="A76" s="655"/>
      <c r="B76" s="655"/>
      <c r="C76" s="655"/>
      <c r="D76" s="655"/>
      <c r="E76" s="655"/>
      <c r="F76" s="655"/>
      <c r="H76"/>
      <c r="I76"/>
      <c r="T76" s="244"/>
      <c r="V76" s="244"/>
      <c r="W76" s="244"/>
      <c r="X76" s="244"/>
    </row>
    <row r="77" spans="1:24">
      <c r="A77" s="655"/>
      <c r="B77" s="655"/>
      <c r="C77" s="655"/>
      <c r="D77" s="655"/>
      <c r="E77" s="655"/>
      <c r="F77" s="655"/>
      <c r="H77"/>
      <c r="I77"/>
      <c r="T77" s="244"/>
      <c r="V77" s="244"/>
      <c r="W77" s="244"/>
      <c r="X77" s="244"/>
    </row>
    <row r="78" spans="1:24">
      <c r="A78" s="655"/>
      <c r="B78" s="655"/>
      <c r="C78" s="655"/>
      <c r="D78" s="655"/>
      <c r="E78" s="655"/>
      <c r="F78" s="655"/>
      <c r="H78"/>
      <c r="I78"/>
      <c r="T78" s="244"/>
      <c r="V78" s="244"/>
      <c r="W78" s="244"/>
      <c r="X78" s="244"/>
    </row>
    <row r="79" spans="1:24">
      <c r="A79" s="655"/>
      <c r="B79" s="655"/>
      <c r="C79" s="655"/>
      <c r="D79" s="655"/>
      <c r="E79" s="655"/>
      <c r="F79" s="655"/>
      <c r="H79"/>
      <c r="I79"/>
      <c r="T79" s="244"/>
      <c r="V79" s="244"/>
      <c r="W79" s="244"/>
      <c r="X79" s="244"/>
    </row>
    <row r="80" spans="1:24">
      <c r="A80" s="655"/>
      <c r="B80" s="655"/>
      <c r="C80" s="655"/>
      <c r="D80" s="655"/>
      <c r="E80" s="655"/>
      <c r="F80" s="655"/>
      <c r="H80"/>
      <c r="I80"/>
      <c r="T80" s="244"/>
      <c r="V80" s="244"/>
      <c r="W80" s="244"/>
      <c r="X80" s="244"/>
    </row>
    <row r="81" spans="1:24">
      <c r="A81" s="655"/>
      <c r="B81" s="655"/>
      <c r="C81" s="655"/>
      <c r="D81" s="655"/>
      <c r="E81" s="655"/>
      <c r="F81" s="655"/>
      <c r="H81"/>
      <c r="I81"/>
      <c r="T81" s="244"/>
      <c r="V81" s="244"/>
      <c r="W81" s="244"/>
      <c r="X81" s="244"/>
    </row>
    <row r="82" spans="1:24">
      <c r="A82" s="655"/>
      <c r="B82" s="655"/>
      <c r="C82" s="655"/>
      <c r="D82" s="655"/>
      <c r="E82" s="655"/>
      <c r="F82" s="655"/>
      <c r="H82"/>
      <c r="I82"/>
      <c r="T82" s="244"/>
      <c r="V82" s="244"/>
      <c r="W82" s="244"/>
      <c r="X82" s="244"/>
    </row>
    <row r="83" spans="1:24">
      <c r="A83" s="655"/>
      <c r="B83" s="655"/>
      <c r="C83" s="655"/>
      <c r="D83" s="655"/>
      <c r="E83" s="655"/>
      <c r="F83" s="655"/>
      <c r="H83"/>
      <c r="I83"/>
      <c r="T83" s="244"/>
      <c r="V83" s="244"/>
      <c r="W83" s="244"/>
      <c r="X83" s="244"/>
    </row>
    <row r="84" spans="1:24">
      <c r="A84" s="655"/>
      <c r="B84" s="655"/>
      <c r="C84" s="655"/>
      <c r="D84" s="655"/>
      <c r="E84" s="655"/>
      <c r="F84" s="655"/>
      <c r="H84"/>
      <c r="I84"/>
      <c r="T84" s="244"/>
      <c r="V84" s="244"/>
      <c r="W84" s="244"/>
      <c r="X84" s="244"/>
    </row>
    <row r="85" spans="1:24">
      <c r="A85" s="655"/>
      <c r="B85" s="655"/>
      <c r="C85" s="655"/>
      <c r="D85" s="655"/>
      <c r="E85" s="655"/>
      <c r="F85" s="655"/>
      <c r="H85"/>
      <c r="I85"/>
      <c r="T85" s="244"/>
      <c r="V85" s="244"/>
      <c r="W85" s="244"/>
      <c r="X85" s="244"/>
    </row>
    <row r="86" spans="1:24">
      <c r="A86" s="655"/>
      <c r="B86" s="655"/>
      <c r="C86" s="655"/>
      <c r="D86" s="655"/>
      <c r="E86" s="655"/>
      <c r="F86" s="655"/>
      <c r="H86"/>
      <c r="I86"/>
      <c r="T86" s="244"/>
      <c r="V86" s="244"/>
      <c r="W86" s="244"/>
      <c r="X86" s="244"/>
    </row>
    <row r="87" spans="1:24">
      <c r="A87" s="655"/>
      <c r="B87" s="655"/>
      <c r="C87" s="655"/>
      <c r="D87" s="655"/>
      <c r="E87" s="655"/>
      <c r="F87" s="655"/>
      <c r="H87"/>
      <c r="I87"/>
      <c r="T87" s="244"/>
      <c r="V87" s="244"/>
      <c r="W87" s="244"/>
      <c r="X87" s="244"/>
    </row>
    <row r="88" spans="1:24">
      <c r="A88" s="655"/>
      <c r="B88" s="655"/>
      <c r="C88" s="655"/>
      <c r="D88" s="655"/>
      <c r="E88" s="655"/>
      <c r="F88" s="655"/>
      <c r="H88"/>
      <c r="I88"/>
      <c r="T88" s="244"/>
      <c r="V88" s="244"/>
      <c r="W88" s="244"/>
      <c r="X88" s="244"/>
    </row>
    <row r="89" spans="1:24">
      <c r="A89" s="655"/>
      <c r="B89" s="655"/>
      <c r="C89" s="655"/>
      <c r="D89" s="655"/>
      <c r="E89" s="655"/>
      <c r="F89" s="655"/>
      <c r="H89"/>
      <c r="I89"/>
      <c r="T89" s="244"/>
      <c r="V89" s="244"/>
      <c r="W89" s="244"/>
      <c r="X89" s="244"/>
    </row>
    <row r="90" spans="1:24">
      <c r="A90" s="655"/>
      <c r="B90" s="655"/>
      <c r="C90" s="655"/>
      <c r="D90" s="655"/>
      <c r="E90" s="655"/>
      <c r="F90" s="655"/>
      <c r="H90"/>
      <c r="I90"/>
      <c r="T90" s="244"/>
      <c r="V90" s="244"/>
      <c r="W90" s="244"/>
      <c r="X90" s="244"/>
    </row>
    <row r="91" spans="1:24">
      <c r="A91" s="655"/>
      <c r="B91" s="655"/>
      <c r="C91" s="655"/>
      <c r="D91" s="655"/>
      <c r="E91" s="655"/>
      <c r="F91" s="655"/>
      <c r="H91"/>
      <c r="I91"/>
      <c r="T91" s="244"/>
      <c r="V91" s="244"/>
      <c r="W91" s="244"/>
      <c r="X91" s="244"/>
    </row>
    <row r="92" spans="1:24">
      <c r="A92" s="655"/>
      <c r="B92" s="655"/>
      <c r="C92" s="655"/>
      <c r="D92" s="655"/>
      <c r="E92" s="655"/>
      <c r="F92" s="655"/>
      <c r="H92"/>
      <c r="I92"/>
      <c r="T92" s="244"/>
      <c r="V92" s="244"/>
      <c r="W92" s="244"/>
      <c r="X92" s="244"/>
    </row>
    <row r="93" spans="1:24">
      <c r="A93" s="655"/>
      <c r="B93" s="655"/>
      <c r="C93" s="655"/>
      <c r="D93" s="655"/>
      <c r="E93" s="655"/>
      <c r="F93" s="655"/>
      <c r="T93" s="244"/>
      <c r="V93" s="244"/>
      <c r="W93" s="244"/>
      <c r="X93" s="244"/>
    </row>
    <row r="94" spans="1:24">
      <c r="A94" s="655"/>
      <c r="B94" s="655"/>
      <c r="C94" s="655"/>
      <c r="D94" s="655"/>
      <c r="E94" s="655"/>
      <c r="F94" s="655"/>
      <c r="T94" s="244"/>
      <c r="V94" s="244"/>
      <c r="W94" s="244"/>
      <c r="X94" s="244"/>
    </row>
    <row r="95" spans="1:24">
      <c r="A95" s="655"/>
      <c r="B95" s="655"/>
      <c r="C95" s="655"/>
      <c r="D95" s="655"/>
      <c r="E95" s="655"/>
      <c r="F95" s="655"/>
      <c r="T95" s="244"/>
      <c r="V95" s="244"/>
      <c r="W95" s="244"/>
      <c r="X95" s="244"/>
    </row>
    <row r="96" spans="1:24">
      <c r="A96" s="655"/>
      <c r="B96" s="655"/>
      <c r="C96" s="655"/>
      <c r="D96" s="655"/>
      <c r="E96" s="655"/>
      <c r="F96" s="655"/>
      <c r="T96" s="244"/>
      <c r="V96" s="244"/>
      <c r="W96" s="244"/>
      <c r="X96" s="244"/>
    </row>
    <row r="97" spans="1:24">
      <c r="A97" s="655"/>
      <c r="B97" s="655"/>
      <c r="C97" s="655"/>
      <c r="D97" s="655"/>
      <c r="E97" s="655"/>
      <c r="F97" s="655"/>
      <c r="T97" s="244"/>
      <c r="V97" s="244"/>
      <c r="W97" s="244"/>
      <c r="X97" s="244"/>
    </row>
    <row r="98" spans="1:24">
      <c r="A98" s="655"/>
      <c r="B98" s="655"/>
      <c r="C98" s="655"/>
      <c r="D98" s="655"/>
      <c r="E98" s="655"/>
      <c r="F98" s="655"/>
      <c r="T98" s="244"/>
      <c r="V98" s="244"/>
      <c r="W98" s="244"/>
      <c r="X98" s="244"/>
    </row>
    <row r="99" spans="1:24">
      <c r="A99" s="655"/>
      <c r="B99" s="655"/>
      <c r="C99" s="655"/>
      <c r="D99" s="655"/>
      <c r="E99" s="655"/>
      <c r="F99" s="655"/>
      <c r="T99" s="244"/>
      <c r="V99" s="244"/>
      <c r="W99" s="244"/>
      <c r="X99" s="244"/>
    </row>
    <row r="100" spans="1:24">
      <c r="A100" s="655"/>
      <c r="B100" s="655"/>
      <c r="C100" s="655"/>
      <c r="D100" s="655"/>
      <c r="E100" s="655"/>
      <c r="F100" s="655"/>
      <c r="T100" s="244"/>
      <c r="V100" s="244"/>
      <c r="W100" s="244"/>
      <c r="X100" s="244"/>
    </row>
    <row r="101" spans="1:24">
      <c r="A101" s="655"/>
      <c r="B101" s="655"/>
      <c r="C101" s="655"/>
      <c r="D101" s="655"/>
      <c r="E101" s="655"/>
      <c r="F101" s="655"/>
      <c r="T101" s="244"/>
      <c r="V101" s="244"/>
      <c r="W101" s="244"/>
      <c r="X101" s="244"/>
    </row>
    <row r="102" spans="1:24">
      <c r="A102" s="655"/>
      <c r="B102" s="655"/>
      <c r="C102" s="655"/>
      <c r="D102" s="655"/>
      <c r="E102" s="655"/>
      <c r="F102" s="655"/>
      <c r="T102" s="244"/>
      <c r="V102" s="244"/>
      <c r="W102" s="244"/>
      <c r="X102" s="244"/>
    </row>
    <row r="103" spans="1:24">
      <c r="A103" s="655"/>
      <c r="B103" s="655"/>
      <c r="C103" s="655"/>
      <c r="D103" s="655"/>
      <c r="E103" s="655"/>
      <c r="F103" s="655"/>
      <c r="T103" s="244"/>
      <c r="V103" s="244"/>
      <c r="W103" s="244"/>
      <c r="X103" s="244"/>
    </row>
    <row r="104" spans="1:24">
      <c r="A104" s="655"/>
      <c r="B104" s="655"/>
      <c r="C104" s="655"/>
      <c r="D104" s="655"/>
      <c r="E104" s="655"/>
      <c r="F104" s="655"/>
      <c r="T104" s="244"/>
      <c r="V104" s="244"/>
      <c r="W104" s="244"/>
      <c r="X104" s="244"/>
    </row>
    <row r="105" spans="1:24">
      <c r="A105" s="655"/>
      <c r="B105" s="655"/>
      <c r="C105" s="655"/>
      <c r="D105" s="655"/>
      <c r="E105" s="655"/>
      <c r="F105" s="655"/>
      <c r="T105" s="244"/>
      <c r="V105" s="244"/>
      <c r="W105" s="244"/>
      <c r="X105" s="244"/>
    </row>
    <row r="106" spans="1:24">
      <c r="A106" s="655"/>
      <c r="B106" s="655"/>
      <c r="C106" s="655"/>
      <c r="D106" s="655"/>
      <c r="E106" s="655"/>
      <c r="F106" s="655"/>
      <c r="T106" s="244"/>
      <c r="V106" s="244"/>
      <c r="W106" s="244"/>
      <c r="X106" s="244"/>
    </row>
    <row r="107" spans="1:24">
      <c r="A107" s="655"/>
      <c r="B107" s="655"/>
      <c r="C107" s="655"/>
      <c r="D107" s="655"/>
      <c r="E107" s="655"/>
      <c r="F107" s="655"/>
      <c r="T107" s="244"/>
      <c r="V107" s="244"/>
      <c r="W107" s="244"/>
      <c r="X107" s="244"/>
    </row>
    <row r="108" spans="1:24">
      <c r="A108" s="655"/>
      <c r="B108" s="655"/>
      <c r="C108" s="655"/>
      <c r="D108" s="655"/>
      <c r="E108" s="655"/>
      <c r="F108" s="655"/>
      <c r="T108" s="244"/>
      <c r="V108" s="244"/>
      <c r="W108" s="244"/>
      <c r="X108" s="244"/>
    </row>
    <row r="109" spans="1:24">
      <c r="A109" s="655"/>
      <c r="B109" s="655"/>
      <c r="C109" s="655"/>
      <c r="D109" s="655"/>
      <c r="E109" s="655"/>
      <c r="F109" s="655"/>
      <c r="T109" s="244"/>
      <c r="V109" s="244"/>
      <c r="W109" s="244"/>
      <c r="X109" s="244"/>
    </row>
    <row r="110" spans="1:24">
      <c r="A110" s="655"/>
      <c r="B110" s="655"/>
      <c r="C110" s="655"/>
      <c r="D110" s="655"/>
      <c r="E110" s="655"/>
      <c r="F110" s="655"/>
      <c r="T110" s="244"/>
      <c r="V110" s="244"/>
      <c r="W110" s="244"/>
      <c r="X110" s="244"/>
    </row>
    <row r="111" spans="1:24">
      <c r="A111" s="655"/>
      <c r="B111" s="655"/>
      <c r="C111" s="655"/>
      <c r="D111" s="655"/>
      <c r="E111" s="655"/>
      <c r="F111" s="655"/>
      <c r="T111" s="244"/>
      <c r="V111" s="244"/>
      <c r="W111" s="244"/>
      <c r="X111" s="244"/>
    </row>
    <row r="112" spans="1:24">
      <c r="A112" s="655"/>
      <c r="B112" s="655"/>
      <c r="C112" s="655"/>
      <c r="D112" s="655"/>
      <c r="E112" s="655"/>
      <c r="F112" s="655"/>
      <c r="T112" s="244"/>
      <c r="V112" s="244"/>
      <c r="W112" s="244"/>
      <c r="X112" s="244"/>
    </row>
    <row r="113" spans="1:24">
      <c r="A113" s="655"/>
      <c r="B113" s="655"/>
      <c r="C113" s="655"/>
      <c r="D113" s="655"/>
      <c r="E113" s="655"/>
      <c r="F113" s="655"/>
      <c r="T113" s="244"/>
      <c r="V113" s="244"/>
      <c r="W113" s="244"/>
      <c r="X113" s="244"/>
    </row>
    <row r="114" spans="1:24">
      <c r="A114" s="655"/>
      <c r="B114" s="655"/>
      <c r="C114" s="655"/>
      <c r="D114" s="655"/>
      <c r="E114" s="655"/>
      <c r="F114" s="655"/>
      <c r="T114" s="244"/>
      <c r="V114" s="244"/>
      <c r="W114" s="244"/>
      <c r="X114" s="244"/>
    </row>
    <row r="115" spans="1:24">
      <c r="A115" s="655"/>
      <c r="B115" s="655"/>
      <c r="C115" s="655"/>
      <c r="D115" s="655"/>
      <c r="E115" s="655"/>
      <c r="F115" s="655"/>
      <c r="T115" s="244"/>
      <c r="V115" s="244"/>
      <c r="W115" s="244"/>
      <c r="X115" s="244"/>
    </row>
    <row r="116" spans="1:24">
      <c r="A116" s="655"/>
      <c r="B116" s="655"/>
      <c r="C116" s="655"/>
      <c r="D116" s="655"/>
      <c r="E116" s="655"/>
      <c r="F116" s="655"/>
      <c r="T116" s="244"/>
      <c r="V116" s="244"/>
      <c r="W116" s="244"/>
      <c r="X116" s="244"/>
    </row>
    <row r="117" spans="1:24">
      <c r="A117" s="655"/>
      <c r="B117" s="655"/>
      <c r="C117" s="655"/>
      <c r="D117" s="655"/>
      <c r="E117" s="655"/>
      <c r="F117" s="655"/>
      <c r="T117" s="244"/>
      <c r="V117" s="244"/>
      <c r="W117" s="244"/>
      <c r="X117" s="244"/>
    </row>
    <row r="118" spans="1:24">
      <c r="A118" s="655"/>
      <c r="B118" s="655"/>
      <c r="C118" s="655"/>
      <c r="D118" s="655"/>
      <c r="E118" s="655"/>
      <c r="F118" s="655"/>
      <c r="T118" s="244"/>
      <c r="V118" s="244"/>
      <c r="W118" s="244"/>
      <c r="X118" s="244"/>
    </row>
    <row r="119" spans="1:24">
      <c r="A119" s="655"/>
      <c r="B119" s="655"/>
      <c r="C119" s="655"/>
      <c r="D119" s="655"/>
      <c r="E119" s="655"/>
      <c r="F119" s="655"/>
      <c r="T119" s="244"/>
      <c r="V119" s="244"/>
      <c r="W119" s="244"/>
      <c r="X119" s="244"/>
    </row>
    <row r="120" spans="1:24">
      <c r="A120" s="655"/>
      <c r="B120" s="655"/>
      <c r="C120" s="655"/>
      <c r="D120" s="655"/>
      <c r="E120" s="655"/>
      <c r="F120" s="655"/>
      <c r="T120" s="244"/>
      <c r="V120" s="244"/>
      <c r="W120" s="244"/>
      <c r="X120" s="244"/>
    </row>
    <row r="121" spans="1:24">
      <c r="A121" s="655"/>
      <c r="B121" s="655"/>
      <c r="C121" s="655"/>
      <c r="D121" s="655"/>
      <c r="E121" s="655"/>
      <c r="F121" s="655"/>
      <c r="T121" s="244"/>
      <c r="V121" s="244"/>
      <c r="W121" s="244"/>
      <c r="X121" s="244"/>
    </row>
    <row r="122" spans="1:24">
      <c r="A122" s="655"/>
      <c r="B122" s="655"/>
      <c r="C122" s="655"/>
      <c r="D122" s="655"/>
      <c r="E122" s="655"/>
      <c r="F122" s="655"/>
      <c r="T122" s="244"/>
      <c r="V122" s="244"/>
      <c r="W122" s="244"/>
      <c r="X122" s="244"/>
    </row>
    <row r="123" spans="1:24">
      <c r="A123" s="655"/>
      <c r="B123" s="655"/>
      <c r="C123" s="655"/>
      <c r="D123" s="655"/>
      <c r="E123" s="655"/>
      <c r="F123" s="655"/>
      <c r="T123" s="244"/>
      <c r="V123" s="244"/>
      <c r="W123" s="244"/>
      <c r="X123" s="244"/>
    </row>
    <row r="124" spans="1:24">
      <c r="A124" s="655"/>
      <c r="B124" s="655"/>
      <c r="C124" s="655"/>
      <c r="D124" s="655"/>
      <c r="E124" s="655"/>
      <c r="F124" s="655"/>
      <c r="T124" s="244"/>
      <c r="V124" s="244"/>
      <c r="W124" s="244"/>
      <c r="X124" s="244"/>
    </row>
    <row r="125" spans="1:24">
      <c r="A125" s="655"/>
      <c r="B125" s="655"/>
      <c r="C125" s="655"/>
      <c r="D125" s="655"/>
      <c r="E125" s="655"/>
      <c r="F125" s="655"/>
      <c r="T125" s="244"/>
      <c r="V125" s="244"/>
      <c r="W125" s="244"/>
      <c r="X125" s="244"/>
    </row>
    <row r="126" spans="1:24">
      <c r="A126" s="655"/>
      <c r="B126" s="655"/>
      <c r="C126" s="655"/>
      <c r="D126" s="655"/>
      <c r="E126" s="655"/>
      <c r="F126" s="655"/>
      <c r="T126" s="244"/>
      <c r="V126" s="244"/>
      <c r="W126" s="244"/>
      <c r="X126" s="244"/>
    </row>
    <row r="127" spans="1:24">
      <c r="A127" s="655"/>
      <c r="B127" s="655"/>
      <c r="C127" s="655"/>
      <c r="D127" s="655"/>
      <c r="E127" s="655"/>
      <c r="F127" s="655"/>
      <c r="T127" s="244"/>
      <c r="V127" s="244"/>
      <c r="W127" s="244"/>
      <c r="X127" s="244"/>
    </row>
    <row r="128" spans="1:24">
      <c r="A128" s="655"/>
      <c r="B128" s="655"/>
      <c r="C128" s="655"/>
      <c r="D128" s="655"/>
      <c r="E128" s="655"/>
      <c r="F128" s="655"/>
      <c r="T128" s="244"/>
      <c r="V128" s="244"/>
      <c r="W128" s="244"/>
      <c r="X128" s="244"/>
    </row>
    <row r="129" spans="1:24">
      <c r="A129" s="655"/>
      <c r="B129" s="655"/>
      <c r="C129" s="655"/>
      <c r="D129" s="655"/>
      <c r="E129" s="655"/>
      <c r="F129" s="655"/>
      <c r="T129" s="244"/>
      <c r="V129" s="244"/>
      <c r="W129" s="244"/>
      <c r="X129" s="244"/>
    </row>
    <row r="130" spans="1:24">
      <c r="A130" s="655"/>
      <c r="B130" s="655"/>
      <c r="C130" s="655"/>
      <c r="D130" s="655"/>
      <c r="E130" s="655"/>
      <c r="F130" s="655"/>
      <c r="T130" s="244"/>
      <c r="V130" s="244"/>
      <c r="W130" s="244"/>
      <c r="X130" s="244"/>
    </row>
    <row r="131" spans="1:24">
      <c r="A131" s="655"/>
      <c r="B131" s="655"/>
      <c r="C131" s="655"/>
      <c r="D131" s="655"/>
      <c r="E131" s="655"/>
      <c r="F131" s="655"/>
      <c r="T131" s="244"/>
      <c r="V131" s="244"/>
      <c r="W131" s="244"/>
      <c r="X131" s="244"/>
    </row>
    <row r="132" spans="1:24">
      <c r="A132" s="655"/>
      <c r="B132" s="655"/>
      <c r="C132" s="655"/>
      <c r="D132" s="655"/>
      <c r="E132" s="655"/>
      <c r="F132" s="655"/>
      <c r="T132" s="244"/>
      <c r="V132" s="244"/>
      <c r="W132" s="244"/>
      <c r="X132" s="244"/>
    </row>
    <row r="133" spans="1:24">
      <c r="A133" s="655"/>
      <c r="B133" s="655"/>
      <c r="C133" s="655"/>
      <c r="D133" s="655"/>
      <c r="E133" s="655"/>
      <c r="F133" s="655"/>
      <c r="T133" s="244"/>
      <c r="V133" s="244"/>
      <c r="W133" s="244"/>
      <c r="X133" s="244"/>
    </row>
    <row r="134" spans="1:24">
      <c r="A134" s="655"/>
      <c r="B134" s="655"/>
      <c r="C134" s="655"/>
      <c r="D134" s="655"/>
      <c r="E134" s="655"/>
      <c r="F134" s="655"/>
      <c r="T134" s="244"/>
      <c r="V134" s="244"/>
      <c r="W134" s="244"/>
      <c r="X134" s="244"/>
    </row>
    <row r="135" spans="1:24">
      <c r="A135" s="655"/>
      <c r="B135" s="655"/>
      <c r="C135" s="655"/>
      <c r="D135" s="655"/>
      <c r="E135" s="655"/>
      <c r="F135" s="655"/>
      <c r="T135" s="244"/>
      <c r="V135" s="244"/>
      <c r="W135" s="244"/>
      <c r="X135" s="244"/>
    </row>
    <row r="136" spans="1:24">
      <c r="A136" s="655"/>
      <c r="B136" s="655"/>
      <c r="C136" s="655"/>
      <c r="D136" s="655"/>
      <c r="E136" s="655"/>
      <c r="F136" s="655"/>
      <c r="T136" s="244"/>
      <c r="V136" s="244"/>
      <c r="W136" s="244"/>
      <c r="X136" s="244"/>
    </row>
    <row r="137" spans="1:24">
      <c r="A137" s="655"/>
      <c r="B137" s="655"/>
      <c r="C137" s="655"/>
      <c r="D137" s="655"/>
      <c r="E137" s="655"/>
      <c r="F137" s="655"/>
      <c r="T137" s="244"/>
      <c r="V137" s="244"/>
      <c r="W137" s="244"/>
      <c r="X137" s="244"/>
    </row>
    <row r="138" spans="1:24">
      <c r="A138" s="655"/>
      <c r="B138" s="655"/>
      <c r="C138" s="655"/>
      <c r="D138" s="655"/>
      <c r="E138" s="655"/>
      <c r="F138" s="655"/>
      <c r="T138" s="244"/>
      <c r="V138" s="244"/>
      <c r="W138" s="244"/>
      <c r="X138" s="244"/>
    </row>
    <row r="139" spans="1:24">
      <c r="A139" s="655"/>
      <c r="B139" s="655"/>
      <c r="C139" s="655"/>
      <c r="D139" s="655"/>
      <c r="E139" s="655"/>
      <c r="F139" s="655"/>
      <c r="T139" s="244"/>
      <c r="V139" s="244"/>
      <c r="W139" s="244"/>
      <c r="X139" s="244"/>
    </row>
    <row r="140" spans="1:24">
      <c r="A140" s="655"/>
      <c r="B140" s="655"/>
      <c r="C140" s="655"/>
      <c r="D140" s="655"/>
      <c r="E140" s="655"/>
      <c r="F140" s="655"/>
      <c r="T140" s="244"/>
      <c r="V140" s="244"/>
      <c r="W140" s="244"/>
      <c r="X140" s="244"/>
    </row>
    <row r="141" spans="1:24">
      <c r="A141" s="655"/>
      <c r="B141" s="655"/>
      <c r="C141" s="655"/>
      <c r="D141" s="655"/>
      <c r="E141" s="655"/>
      <c r="F141" s="655"/>
      <c r="T141" s="244"/>
      <c r="V141" s="244"/>
      <c r="W141" s="244"/>
      <c r="X141" s="244"/>
    </row>
    <row r="142" spans="1:24">
      <c r="A142" s="655"/>
      <c r="B142" s="655"/>
      <c r="C142" s="655"/>
      <c r="D142" s="655"/>
      <c r="E142" s="655"/>
      <c r="F142" s="655"/>
      <c r="T142" s="244"/>
      <c r="V142" s="244"/>
      <c r="W142" s="244"/>
      <c r="X142" s="244"/>
    </row>
    <row r="143" spans="1:24">
      <c r="A143" s="655"/>
      <c r="B143" s="655"/>
      <c r="C143" s="655"/>
      <c r="D143" s="655"/>
      <c r="E143" s="655"/>
      <c r="F143" s="655"/>
      <c r="T143" s="244"/>
      <c r="V143" s="244"/>
      <c r="W143" s="244"/>
      <c r="X143" s="244"/>
    </row>
    <row r="144" spans="1:24">
      <c r="A144" s="655"/>
      <c r="B144" s="655"/>
      <c r="C144" s="655"/>
      <c r="D144" s="655"/>
      <c r="E144" s="655"/>
      <c r="F144" s="655"/>
      <c r="T144" s="244"/>
      <c r="V144" s="244"/>
      <c r="W144" s="244"/>
      <c r="X144" s="244"/>
    </row>
    <row r="145" spans="1:24">
      <c r="A145" s="655"/>
      <c r="B145" s="655"/>
      <c r="C145" s="655"/>
      <c r="D145" s="655"/>
      <c r="E145" s="655"/>
      <c r="F145" s="655"/>
      <c r="T145" s="244"/>
      <c r="V145" s="244"/>
      <c r="W145" s="244"/>
      <c r="X145" s="244"/>
    </row>
    <row r="146" spans="1:24">
      <c r="A146" s="655"/>
      <c r="B146" s="655"/>
      <c r="C146" s="655"/>
      <c r="D146" s="655"/>
      <c r="E146" s="655"/>
      <c r="F146" s="655"/>
      <c r="T146" s="244"/>
      <c r="V146" s="244"/>
      <c r="W146" s="244"/>
      <c r="X146" s="244"/>
    </row>
    <row r="147" spans="1:24">
      <c r="A147" s="655"/>
      <c r="B147" s="655"/>
      <c r="C147" s="655"/>
      <c r="D147" s="655"/>
      <c r="E147" s="655"/>
      <c r="F147" s="655"/>
      <c r="T147" s="244"/>
      <c r="V147" s="244"/>
      <c r="W147" s="244"/>
      <c r="X147" s="244"/>
    </row>
    <row r="148" spans="1:24">
      <c r="A148" s="655"/>
      <c r="B148" s="655"/>
      <c r="C148" s="655"/>
      <c r="D148" s="655"/>
      <c r="E148" s="655"/>
      <c r="F148" s="655"/>
      <c r="T148" s="244"/>
      <c r="V148" s="244"/>
      <c r="W148" s="244"/>
      <c r="X148" s="244"/>
    </row>
    <row r="149" spans="1:24">
      <c r="A149" s="655"/>
      <c r="B149" s="655"/>
      <c r="C149" s="655"/>
      <c r="D149" s="655"/>
      <c r="E149" s="655"/>
      <c r="F149" s="655"/>
      <c r="T149" s="244"/>
      <c r="V149" s="244"/>
      <c r="W149" s="244"/>
      <c r="X149" s="244"/>
    </row>
    <row r="150" spans="1:24">
      <c r="A150" s="655"/>
      <c r="B150" s="655"/>
      <c r="C150" s="655"/>
      <c r="D150" s="655"/>
      <c r="E150" s="655"/>
      <c r="F150" s="655"/>
      <c r="T150" s="244"/>
      <c r="V150" s="244"/>
      <c r="W150" s="244"/>
      <c r="X150" s="244"/>
    </row>
    <row r="151" spans="1:24">
      <c r="A151" s="655"/>
      <c r="B151" s="655"/>
      <c r="C151" s="655"/>
      <c r="D151" s="655"/>
      <c r="E151" s="655"/>
      <c r="F151" s="655"/>
      <c r="T151" s="244"/>
      <c r="V151" s="244"/>
      <c r="W151" s="244"/>
      <c r="X151" s="244"/>
    </row>
    <row r="152" spans="1:24">
      <c r="A152" s="655"/>
      <c r="B152" s="655"/>
      <c r="C152" s="655"/>
      <c r="D152" s="655"/>
      <c r="E152" s="655"/>
      <c r="F152" s="655"/>
      <c r="T152" s="244"/>
      <c r="V152" s="244"/>
      <c r="W152" s="244"/>
      <c r="X152" s="244"/>
    </row>
    <row r="153" spans="1:24">
      <c r="A153" s="655"/>
      <c r="B153" s="655"/>
      <c r="C153" s="655"/>
      <c r="D153" s="655"/>
      <c r="E153" s="655"/>
      <c r="F153" s="655"/>
      <c r="T153" s="244"/>
      <c r="V153" s="244"/>
      <c r="W153" s="244"/>
      <c r="X153" s="244"/>
    </row>
    <row r="154" spans="1:24">
      <c r="A154" s="655"/>
      <c r="B154" s="655"/>
      <c r="C154" s="655"/>
      <c r="D154" s="655"/>
      <c r="E154" s="655"/>
      <c r="F154" s="655"/>
      <c r="T154" s="244"/>
      <c r="V154" s="244"/>
      <c r="W154" s="244"/>
      <c r="X154" s="244"/>
    </row>
    <row r="155" spans="1:24">
      <c r="A155" s="655"/>
      <c r="B155" s="655"/>
      <c r="C155" s="655"/>
      <c r="D155" s="655"/>
      <c r="E155" s="655"/>
      <c r="F155" s="655"/>
      <c r="T155" s="244"/>
      <c r="V155" s="244"/>
      <c r="W155" s="244"/>
      <c r="X155" s="244"/>
    </row>
    <row r="156" spans="1:24">
      <c r="A156" s="655"/>
      <c r="B156" s="655"/>
      <c r="C156" s="655"/>
      <c r="D156" s="655"/>
      <c r="E156" s="655"/>
      <c r="F156" s="655"/>
      <c r="T156" s="244"/>
      <c r="V156" s="244"/>
      <c r="W156" s="244"/>
      <c r="X156" s="244"/>
    </row>
    <row r="157" spans="1:24">
      <c r="A157" s="655"/>
      <c r="B157" s="655"/>
      <c r="C157" s="655"/>
      <c r="D157" s="655"/>
      <c r="E157" s="655"/>
      <c r="F157" s="655"/>
      <c r="T157" s="244"/>
      <c r="V157" s="244"/>
      <c r="W157" s="244"/>
      <c r="X157" s="244"/>
    </row>
    <row r="158" spans="1:24">
      <c r="A158" s="655"/>
      <c r="B158" s="655"/>
      <c r="C158" s="655"/>
      <c r="D158" s="655"/>
      <c r="E158" s="655"/>
      <c r="F158" s="655"/>
      <c r="T158" s="244"/>
      <c r="V158" s="244"/>
      <c r="W158" s="244"/>
      <c r="X158" s="244"/>
    </row>
    <row r="159" spans="1:24">
      <c r="A159" s="655"/>
      <c r="B159" s="655"/>
      <c r="C159" s="655"/>
      <c r="D159" s="655"/>
      <c r="E159" s="655"/>
      <c r="F159" s="655"/>
      <c r="T159" s="244"/>
      <c r="V159" s="244"/>
      <c r="W159" s="244"/>
      <c r="X159" s="244"/>
    </row>
    <row r="160" spans="1:24">
      <c r="A160" s="655"/>
      <c r="B160" s="655"/>
      <c r="C160" s="655"/>
      <c r="D160" s="655"/>
      <c r="E160" s="655"/>
      <c r="F160" s="655"/>
      <c r="T160" s="244"/>
      <c r="V160" s="244"/>
      <c r="W160" s="244"/>
      <c r="X160" s="244"/>
    </row>
    <row r="161" spans="1:24">
      <c r="A161" s="655"/>
      <c r="B161" s="655"/>
      <c r="C161" s="655"/>
      <c r="D161" s="655"/>
      <c r="E161" s="655"/>
      <c r="F161" s="655"/>
      <c r="T161" s="244"/>
      <c r="V161" s="244"/>
      <c r="W161" s="244"/>
      <c r="X161" s="244"/>
    </row>
    <row r="162" spans="1:24">
      <c r="A162" s="655"/>
      <c r="B162" s="655"/>
      <c r="C162" s="655"/>
      <c r="D162" s="655"/>
      <c r="E162" s="655"/>
      <c r="F162" s="655"/>
      <c r="T162" s="244"/>
      <c r="V162" s="244"/>
      <c r="W162" s="244"/>
      <c r="X162" s="244"/>
    </row>
    <row r="163" spans="1:24">
      <c r="A163" s="655"/>
      <c r="B163" s="655"/>
      <c r="C163" s="655"/>
      <c r="D163" s="655"/>
      <c r="E163" s="655"/>
      <c r="F163" s="655"/>
      <c r="T163" s="244"/>
      <c r="V163" s="244"/>
      <c r="W163" s="244"/>
      <c r="X163" s="244"/>
    </row>
    <row r="164" spans="1:24">
      <c r="A164" s="655"/>
      <c r="B164" s="655"/>
      <c r="C164" s="655"/>
      <c r="D164" s="655"/>
      <c r="E164" s="655"/>
      <c r="F164" s="655"/>
      <c r="T164" s="244"/>
      <c r="V164" s="244"/>
      <c r="W164" s="244"/>
      <c r="X164" s="244"/>
    </row>
    <row r="165" spans="1:24">
      <c r="A165" s="655"/>
      <c r="B165" s="655"/>
      <c r="C165" s="655"/>
      <c r="D165" s="655"/>
      <c r="E165" s="655"/>
      <c r="F165" s="655"/>
      <c r="T165" s="244"/>
      <c r="V165" s="244"/>
      <c r="W165" s="244"/>
      <c r="X165" s="244"/>
    </row>
    <row r="166" spans="1:24">
      <c r="A166" s="655"/>
      <c r="B166" s="655"/>
      <c r="C166" s="655"/>
      <c r="D166" s="655"/>
      <c r="E166" s="655"/>
      <c r="F166" s="655"/>
      <c r="T166" s="244"/>
      <c r="V166" s="244"/>
      <c r="W166" s="244"/>
      <c r="X166" s="244"/>
    </row>
    <row r="167" spans="1:24">
      <c r="A167" s="655"/>
      <c r="B167" s="655"/>
      <c r="C167" s="655"/>
      <c r="D167" s="655"/>
      <c r="E167" s="655"/>
      <c r="F167" s="655"/>
      <c r="T167" s="244"/>
      <c r="V167" s="244"/>
      <c r="W167" s="244"/>
      <c r="X167" s="244"/>
    </row>
    <row r="168" spans="1:24">
      <c r="A168" s="655"/>
      <c r="B168" s="655"/>
      <c r="C168" s="655"/>
      <c r="D168" s="655"/>
      <c r="E168" s="655"/>
      <c r="F168" s="655"/>
      <c r="T168" s="244"/>
      <c r="V168" s="244"/>
      <c r="W168" s="244"/>
      <c r="X168" s="244"/>
    </row>
    <row r="169" spans="1:24">
      <c r="A169" s="655"/>
      <c r="B169" s="655"/>
      <c r="C169" s="655"/>
      <c r="D169" s="655"/>
      <c r="E169" s="655"/>
      <c r="F169" s="655"/>
      <c r="T169" s="244"/>
      <c r="V169" s="244"/>
      <c r="W169" s="244"/>
      <c r="X169" s="244"/>
    </row>
    <row r="170" spans="1:24">
      <c r="A170" s="655"/>
      <c r="B170" s="655"/>
      <c r="C170" s="655"/>
      <c r="D170" s="655"/>
      <c r="E170" s="655"/>
      <c r="F170" s="655"/>
      <c r="T170" s="244"/>
      <c r="V170" s="244"/>
      <c r="W170" s="244"/>
      <c r="X170" s="244"/>
    </row>
    <row r="171" spans="1:24">
      <c r="A171" s="655"/>
      <c r="B171" s="655"/>
      <c r="C171" s="655"/>
      <c r="D171" s="655"/>
      <c r="E171" s="655"/>
      <c r="F171" s="655"/>
      <c r="T171" s="244"/>
      <c r="V171" s="244"/>
      <c r="W171" s="244"/>
      <c r="X171" s="244"/>
    </row>
    <row r="172" spans="1:24">
      <c r="A172" s="655"/>
      <c r="B172" s="655"/>
      <c r="C172" s="655"/>
      <c r="D172" s="655"/>
      <c r="E172" s="655"/>
      <c r="F172" s="655"/>
      <c r="T172" s="244"/>
      <c r="V172" s="244"/>
      <c r="W172" s="244"/>
      <c r="X172" s="244"/>
    </row>
    <row r="173" spans="1:24">
      <c r="A173" s="655"/>
      <c r="B173" s="655"/>
      <c r="C173" s="655"/>
      <c r="D173" s="655"/>
      <c r="E173" s="655"/>
      <c r="F173" s="655"/>
      <c r="T173" s="244"/>
      <c r="V173" s="244"/>
      <c r="W173" s="244"/>
      <c r="X173" s="244"/>
    </row>
    <row r="174" spans="1:24">
      <c r="A174" s="655"/>
      <c r="B174" s="655"/>
      <c r="C174" s="655"/>
      <c r="D174" s="655"/>
      <c r="E174" s="655"/>
      <c r="F174" s="655"/>
      <c r="T174" s="244"/>
      <c r="V174" s="244"/>
      <c r="W174" s="244"/>
      <c r="X174" s="244"/>
    </row>
    <row r="175" spans="1:24">
      <c r="A175" s="655"/>
      <c r="B175" s="655"/>
      <c r="C175" s="655"/>
      <c r="D175" s="655"/>
      <c r="E175" s="655"/>
      <c r="F175" s="655"/>
      <c r="T175" s="244"/>
      <c r="V175" s="244"/>
      <c r="W175" s="244"/>
      <c r="X175" s="244"/>
    </row>
    <row r="176" spans="1:24">
      <c r="A176" s="655"/>
      <c r="B176" s="655"/>
      <c r="C176" s="655"/>
      <c r="D176" s="655"/>
      <c r="E176" s="655"/>
      <c r="F176" s="655"/>
      <c r="T176" s="244"/>
      <c r="V176" s="244"/>
      <c r="W176" s="244"/>
      <c r="X176" s="244"/>
    </row>
    <row r="177" spans="1:24">
      <c r="A177" s="655"/>
      <c r="B177" s="655"/>
      <c r="C177" s="655"/>
      <c r="D177" s="655"/>
      <c r="E177" s="655"/>
      <c r="F177" s="655"/>
      <c r="T177" s="244"/>
      <c r="V177" s="244"/>
      <c r="W177" s="244"/>
      <c r="X177" s="244"/>
    </row>
    <row r="178" spans="1:24">
      <c r="A178" s="655"/>
      <c r="B178" s="655"/>
      <c r="C178" s="655"/>
      <c r="D178" s="655"/>
      <c r="E178" s="655"/>
      <c r="F178" s="655"/>
      <c r="T178" s="244"/>
      <c r="V178" s="244"/>
      <c r="W178" s="244"/>
      <c r="X178" s="244"/>
    </row>
    <row r="179" spans="1:24">
      <c r="A179" s="655"/>
      <c r="B179" s="655"/>
      <c r="C179" s="655"/>
      <c r="D179" s="655"/>
      <c r="E179" s="655"/>
      <c r="F179" s="655"/>
      <c r="T179" s="244"/>
      <c r="V179" s="244"/>
      <c r="W179" s="244"/>
      <c r="X179" s="244"/>
    </row>
    <row r="180" spans="1:24">
      <c r="A180" s="655"/>
      <c r="B180" s="655"/>
      <c r="C180" s="655"/>
      <c r="D180" s="655"/>
      <c r="E180" s="655"/>
      <c r="F180" s="655"/>
      <c r="T180" s="244"/>
      <c r="V180" s="244"/>
      <c r="W180" s="244"/>
      <c r="X180" s="244"/>
    </row>
    <row r="181" spans="1:24">
      <c r="A181" s="655"/>
      <c r="B181" s="655"/>
      <c r="C181" s="655"/>
      <c r="D181" s="655"/>
      <c r="E181" s="655"/>
      <c r="F181" s="655"/>
      <c r="T181" s="244"/>
      <c r="V181" s="244"/>
      <c r="W181" s="244"/>
      <c r="X181" s="244"/>
    </row>
    <row r="182" spans="1:24">
      <c r="A182" s="655"/>
      <c r="B182" s="655"/>
      <c r="C182" s="655"/>
      <c r="D182" s="655"/>
      <c r="E182" s="655"/>
      <c r="F182" s="655"/>
      <c r="T182" s="244"/>
      <c r="V182" s="244"/>
      <c r="W182" s="244"/>
      <c r="X182" s="244"/>
    </row>
    <row r="183" spans="1:24">
      <c r="A183" s="655"/>
      <c r="B183" s="655"/>
      <c r="C183" s="655"/>
      <c r="D183" s="655"/>
      <c r="E183" s="655"/>
      <c r="F183" s="655"/>
      <c r="T183" s="244"/>
      <c r="V183" s="244"/>
      <c r="W183" s="244"/>
      <c r="X183" s="244"/>
    </row>
    <row r="184" spans="1:24">
      <c r="A184" s="655"/>
      <c r="B184" s="655"/>
      <c r="C184" s="655"/>
      <c r="D184" s="655"/>
      <c r="E184" s="655"/>
      <c r="F184" s="655"/>
      <c r="T184" s="244"/>
      <c r="V184" s="244"/>
      <c r="W184" s="244"/>
      <c r="X184" s="244"/>
    </row>
    <row r="185" spans="1:24">
      <c r="A185" s="655"/>
      <c r="B185" s="655"/>
      <c r="C185" s="655"/>
      <c r="D185" s="655"/>
      <c r="E185" s="655"/>
      <c r="F185" s="655"/>
      <c r="T185" s="244"/>
      <c r="V185" s="244"/>
      <c r="W185" s="244"/>
      <c r="X185" s="244"/>
    </row>
    <row r="186" spans="1:24">
      <c r="A186" s="655"/>
      <c r="B186" s="655"/>
      <c r="C186" s="655"/>
      <c r="D186" s="655"/>
      <c r="E186" s="655"/>
      <c r="F186" s="655"/>
      <c r="T186" s="244"/>
      <c r="V186" s="244"/>
      <c r="W186" s="244"/>
      <c r="X186" s="244"/>
    </row>
    <row r="187" spans="1:24">
      <c r="A187" s="655"/>
      <c r="B187" s="655"/>
      <c r="C187" s="655"/>
      <c r="D187" s="655"/>
      <c r="E187" s="655"/>
      <c r="F187" s="655"/>
      <c r="T187" s="244"/>
      <c r="V187" s="244"/>
      <c r="W187" s="244"/>
      <c r="X187" s="244"/>
    </row>
    <row r="188" spans="1:24">
      <c r="A188" s="655"/>
      <c r="B188" s="655"/>
      <c r="C188" s="655"/>
      <c r="D188" s="655"/>
      <c r="E188" s="655"/>
      <c r="F188" s="655"/>
      <c r="T188" s="244"/>
      <c r="V188" s="244"/>
      <c r="W188" s="244"/>
      <c r="X188" s="244"/>
    </row>
    <row r="189" spans="1:24">
      <c r="A189" s="655"/>
      <c r="B189" s="655"/>
      <c r="C189" s="655"/>
      <c r="D189" s="655"/>
      <c r="E189" s="655"/>
      <c r="F189" s="655"/>
      <c r="T189" s="244"/>
      <c r="V189" s="244"/>
      <c r="W189" s="244"/>
      <c r="X189" s="244"/>
    </row>
    <row r="190" spans="1:24">
      <c r="A190" s="655"/>
      <c r="B190" s="655"/>
      <c r="C190" s="655"/>
      <c r="D190" s="655"/>
      <c r="E190" s="655"/>
      <c r="F190" s="655"/>
      <c r="T190" s="244"/>
      <c r="V190" s="244"/>
      <c r="W190" s="244"/>
      <c r="X190" s="244"/>
    </row>
    <row r="191" spans="1:24">
      <c r="A191" s="655"/>
      <c r="B191" s="655"/>
      <c r="C191" s="655"/>
      <c r="D191" s="655"/>
      <c r="E191" s="655"/>
      <c r="F191" s="655"/>
      <c r="T191" s="244"/>
      <c r="V191" s="244"/>
      <c r="W191" s="244"/>
      <c r="X191" s="244"/>
    </row>
    <row r="192" spans="1:24">
      <c r="A192" s="655"/>
      <c r="B192" s="655"/>
      <c r="C192" s="655"/>
      <c r="D192" s="655"/>
      <c r="E192" s="655"/>
      <c r="F192" s="655"/>
      <c r="T192" s="244"/>
      <c r="V192" s="244"/>
      <c r="W192" s="244"/>
      <c r="X192" s="244"/>
    </row>
    <row r="193" spans="1:24">
      <c r="A193" s="655"/>
      <c r="B193" s="655"/>
      <c r="C193" s="655"/>
      <c r="D193" s="655"/>
      <c r="E193" s="655"/>
      <c r="F193" s="655"/>
      <c r="T193" s="244"/>
      <c r="V193" s="244"/>
      <c r="W193" s="244"/>
      <c r="X193" s="244"/>
    </row>
    <row r="194" spans="1:24">
      <c r="A194" s="655"/>
      <c r="B194" s="655"/>
      <c r="C194" s="655"/>
      <c r="D194" s="655"/>
      <c r="E194" s="655"/>
      <c r="F194" s="655"/>
      <c r="T194" s="244"/>
      <c r="V194" s="244"/>
      <c r="W194" s="244"/>
      <c r="X194" s="244"/>
    </row>
    <row r="195" spans="1:24">
      <c r="A195" s="655"/>
      <c r="B195" s="655"/>
      <c r="C195" s="655"/>
      <c r="D195" s="655"/>
      <c r="E195" s="655"/>
      <c r="F195" s="655"/>
      <c r="T195" s="244"/>
      <c r="V195" s="244"/>
      <c r="W195" s="244"/>
      <c r="X195" s="244"/>
    </row>
    <row r="196" spans="1:24">
      <c r="A196" s="655"/>
      <c r="B196" s="655"/>
      <c r="C196" s="655"/>
      <c r="D196" s="655"/>
      <c r="E196" s="655"/>
      <c r="F196" s="655"/>
      <c r="T196" s="244"/>
      <c r="V196" s="244"/>
      <c r="W196" s="244"/>
      <c r="X196" s="244"/>
    </row>
    <row r="197" spans="1:24">
      <c r="A197" s="655"/>
      <c r="B197" s="655"/>
      <c r="C197" s="655"/>
      <c r="D197" s="655"/>
      <c r="E197" s="655"/>
      <c r="F197" s="655"/>
      <c r="T197" s="244"/>
      <c r="V197" s="244"/>
      <c r="W197" s="244"/>
      <c r="X197" s="244"/>
    </row>
    <row r="198" spans="1:24">
      <c r="A198" s="655"/>
      <c r="B198" s="655"/>
      <c r="C198" s="655"/>
      <c r="D198" s="655"/>
      <c r="E198" s="655"/>
      <c r="F198" s="655"/>
      <c r="T198" s="244"/>
      <c r="V198" s="244"/>
      <c r="W198" s="244"/>
      <c r="X198" s="244"/>
    </row>
    <row r="199" spans="1:24">
      <c r="A199" s="655"/>
      <c r="B199" s="655"/>
      <c r="C199" s="655"/>
      <c r="D199" s="655"/>
      <c r="E199" s="655"/>
      <c r="F199" s="655"/>
      <c r="T199" s="244"/>
      <c r="V199" s="244"/>
      <c r="W199" s="244"/>
      <c r="X199" s="244"/>
    </row>
    <row r="200" spans="1:24">
      <c r="A200" s="655"/>
      <c r="B200" s="655"/>
      <c r="C200" s="655"/>
      <c r="D200" s="655"/>
      <c r="E200" s="655"/>
      <c r="F200" s="655"/>
      <c r="T200" s="244"/>
      <c r="V200" s="244"/>
      <c r="W200" s="244"/>
      <c r="X200" s="244"/>
    </row>
    <row r="201" spans="1:24">
      <c r="A201" s="655"/>
      <c r="B201" s="655"/>
      <c r="C201" s="655"/>
      <c r="D201" s="655"/>
      <c r="E201" s="655"/>
      <c r="F201" s="655"/>
      <c r="T201" s="244"/>
      <c r="V201" s="244"/>
      <c r="W201" s="244"/>
      <c r="X201" s="244"/>
    </row>
    <row r="202" spans="1:24">
      <c r="A202" s="655"/>
      <c r="B202" s="655"/>
      <c r="C202" s="655"/>
      <c r="D202" s="655"/>
      <c r="E202" s="655"/>
      <c r="F202" s="655"/>
      <c r="T202" s="244"/>
      <c r="V202" s="244"/>
      <c r="W202" s="244"/>
      <c r="X202" s="244"/>
    </row>
    <row r="203" spans="1:24">
      <c r="A203" s="655"/>
      <c r="B203" s="655"/>
      <c r="C203" s="655"/>
      <c r="D203" s="655"/>
      <c r="E203" s="655"/>
      <c r="F203" s="655"/>
      <c r="T203" s="244"/>
      <c r="V203" s="244"/>
      <c r="W203" s="244"/>
      <c r="X203" s="244"/>
    </row>
    <row r="204" spans="1:24">
      <c r="A204" s="655"/>
      <c r="B204" s="655"/>
      <c r="C204" s="655"/>
      <c r="D204" s="655"/>
      <c r="E204" s="655"/>
      <c r="F204" s="655"/>
      <c r="T204" s="244"/>
      <c r="V204" s="244"/>
      <c r="W204" s="244"/>
      <c r="X204" s="244"/>
    </row>
    <row r="205" spans="1:24">
      <c r="A205" s="655"/>
      <c r="B205" s="655"/>
      <c r="C205" s="655"/>
      <c r="D205" s="655"/>
      <c r="E205" s="655"/>
      <c r="F205" s="655"/>
      <c r="T205" s="244"/>
      <c r="V205" s="244"/>
      <c r="W205" s="244"/>
      <c r="X205" s="244"/>
    </row>
    <row r="206" spans="1:24">
      <c r="A206" s="655"/>
      <c r="B206" s="655"/>
      <c r="C206" s="655"/>
      <c r="D206" s="655"/>
      <c r="E206" s="655"/>
      <c r="F206" s="655"/>
      <c r="T206" s="244"/>
      <c r="V206" s="244"/>
      <c r="W206" s="244"/>
      <c r="X206" s="244"/>
    </row>
    <row r="207" spans="1:24">
      <c r="A207" s="655"/>
      <c r="B207" s="655"/>
      <c r="C207" s="655"/>
      <c r="D207" s="655"/>
      <c r="E207" s="655"/>
      <c r="F207" s="655"/>
      <c r="T207" s="244"/>
      <c r="V207" s="244"/>
      <c r="W207" s="244"/>
      <c r="X207" s="244"/>
    </row>
    <row r="208" spans="1:24">
      <c r="A208" s="655"/>
      <c r="B208" s="655"/>
      <c r="C208" s="655"/>
      <c r="D208" s="655"/>
      <c r="E208" s="655"/>
      <c r="F208" s="655"/>
      <c r="T208" s="244"/>
      <c r="V208" s="244"/>
      <c r="W208" s="244"/>
      <c r="X208" s="244"/>
    </row>
    <row r="209" spans="1:24">
      <c r="A209" s="655"/>
      <c r="B209" s="655"/>
      <c r="C209" s="655"/>
      <c r="D209" s="655"/>
      <c r="E209" s="655"/>
      <c r="F209" s="655"/>
      <c r="T209" s="244"/>
      <c r="V209" s="244"/>
      <c r="W209" s="244"/>
      <c r="X209" s="244"/>
    </row>
    <row r="210" spans="1:24">
      <c r="A210" s="655"/>
      <c r="B210" s="655"/>
      <c r="C210" s="655"/>
      <c r="D210" s="655"/>
      <c r="E210" s="655"/>
      <c r="F210" s="655"/>
      <c r="T210" s="244"/>
      <c r="V210" s="244"/>
      <c r="W210" s="244"/>
      <c r="X210" s="244"/>
    </row>
    <row r="211" spans="1:24">
      <c r="A211" s="655"/>
      <c r="B211" s="655"/>
      <c r="C211" s="655"/>
      <c r="D211" s="655"/>
      <c r="E211" s="655"/>
      <c r="F211" s="655"/>
      <c r="T211" s="244"/>
      <c r="V211" s="244"/>
      <c r="W211" s="244"/>
      <c r="X211" s="244"/>
    </row>
    <row r="212" spans="1:24">
      <c r="A212" s="655"/>
      <c r="B212" s="655"/>
      <c r="C212" s="655"/>
      <c r="D212" s="655"/>
      <c r="E212" s="655"/>
      <c r="F212" s="655"/>
      <c r="T212" s="244"/>
      <c r="V212" s="244"/>
      <c r="W212" s="244"/>
      <c r="X212" s="244"/>
    </row>
    <row r="213" spans="1:24">
      <c r="A213" s="655"/>
      <c r="B213" s="655"/>
      <c r="C213" s="655"/>
      <c r="D213" s="655"/>
      <c r="E213" s="655"/>
      <c r="F213" s="655"/>
      <c r="T213" s="244"/>
      <c r="V213" s="244"/>
      <c r="W213" s="244"/>
      <c r="X213" s="244"/>
    </row>
    <row r="214" spans="1:24">
      <c r="A214" s="655"/>
      <c r="B214" s="655"/>
      <c r="C214" s="655"/>
      <c r="D214" s="655"/>
      <c r="E214" s="655"/>
      <c r="F214" s="655"/>
      <c r="T214" s="244"/>
      <c r="V214" s="244"/>
      <c r="W214" s="244"/>
      <c r="X214" s="244"/>
    </row>
    <row r="215" spans="1:24">
      <c r="A215" s="655"/>
      <c r="B215" s="655"/>
      <c r="C215" s="655"/>
      <c r="D215" s="655"/>
      <c r="E215" s="655"/>
      <c r="F215" s="655"/>
      <c r="T215" s="244"/>
      <c r="V215" s="244"/>
      <c r="W215" s="244"/>
      <c r="X215" s="244"/>
    </row>
    <row r="216" spans="1:24">
      <c r="A216" s="655"/>
      <c r="B216" s="655"/>
      <c r="C216" s="655"/>
      <c r="D216" s="655"/>
      <c r="E216" s="655"/>
      <c r="F216" s="655"/>
      <c r="T216" s="244"/>
      <c r="V216" s="244"/>
      <c r="W216" s="244"/>
      <c r="X216" s="244"/>
    </row>
    <row r="217" spans="1:24">
      <c r="A217" s="655"/>
      <c r="B217" s="655"/>
      <c r="C217" s="655"/>
      <c r="D217" s="655"/>
      <c r="E217" s="655"/>
      <c r="F217" s="655"/>
      <c r="T217" s="244"/>
      <c r="V217" s="244"/>
      <c r="W217" s="244"/>
      <c r="X217" s="244"/>
    </row>
    <row r="218" spans="1:24">
      <c r="A218" s="655"/>
      <c r="B218" s="655"/>
      <c r="C218" s="655"/>
      <c r="D218" s="655"/>
      <c r="E218" s="655"/>
      <c r="F218" s="655"/>
      <c r="T218" s="244"/>
      <c r="V218" s="244"/>
      <c r="W218" s="244"/>
      <c r="X218" s="244"/>
    </row>
    <row r="219" spans="1:24">
      <c r="A219" s="655"/>
      <c r="B219" s="655"/>
      <c r="C219" s="655"/>
      <c r="D219" s="655"/>
      <c r="E219" s="655"/>
      <c r="F219" s="655"/>
      <c r="T219" s="244"/>
      <c r="V219" s="244"/>
      <c r="W219" s="244"/>
      <c r="X219" s="244"/>
    </row>
    <row r="220" spans="1:24">
      <c r="A220" s="655"/>
      <c r="B220" s="655"/>
      <c r="C220" s="655"/>
      <c r="D220" s="655"/>
      <c r="E220" s="655"/>
      <c r="F220" s="655"/>
      <c r="T220" s="244"/>
      <c r="V220" s="244"/>
      <c r="W220" s="244"/>
      <c r="X220" s="244"/>
    </row>
    <row r="221" spans="1:24">
      <c r="A221" s="655"/>
      <c r="B221" s="655"/>
      <c r="C221" s="655"/>
      <c r="D221" s="655"/>
      <c r="E221" s="655"/>
      <c r="F221" s="655"/>
      <c r="T221" s="244"/>
      <c r="V221" s="244"/>
      <c r="W221" s="244"/>
      <c r="X221" s="244"/>
    </row>
    <row r="222" spans="1:24">
      <c r="A222" s="655"/>
      <c r="B222" s="655"/>
      <c r="C222" s="655"/>
      <c r="D222" s="655"/>
      <c r="E222" s="655"/>
      <c r="F222" s="655"/>
      <c r="T222" s="244"/>
      <c r="V222" s="244"/>
      <c r="W222" s="244"/>
      <c r="X222" s="244"/>
    </row>
    <row r="223" spans="1:24">
      <c r="A223" s="655"/>
      <c r="B223" s="655"/>
      <c r="C223" s="655"/>
      <c r="D223" s="655"/>
      <c r="E223" s="655"/>
      <c r="F223" s="655"/>
      <c r="T223" s="244"/>
      <c r="V223" s="244"/>
      <c r="W223" s="244"/>
      <c r="X223" s="244"/>
    </row>
    <row r="224" spans="1:24">
      <c r="A224" s="655"/>
      <c r="B224" s="655"/>
      <c r="C224" s="655"/>
      <c r="D224" s="655"/>
      <c r="E224" s="655"/>
      <c r="F224" s="655"/>
      <c r="T224" s="244"/>
      <c r="V224" s="244"/>
      <c r="W224" s="244"/>
      <c r="X224" s="244"/>
    </row>
    <row r="225" spans="1:24">
      <c r="A225" s="655"/>
      <c r="B225" s="655"/>
      <c r="C225" s="655"/>
      <c r="D225" s="655"/>
      <c r="E225" s="655"/>
      <c r="F225" s="655"/>
      <c r="T225" s="244"/>
      <c r="V225" s="244"/>
      <c r="W225" s="244"/>
      <c r="X225" s="244"/>
    </row>
    <row r="226" spans="1:24">
      <c r="A226" s="655"/>
      <c r="B226" s="655"/>
      <c r="C226" s="655"/>
      <c r="D226" s="655"/>
      <c r="E226" s="655"/>
      <c r="F226" s="655"/>
      <c r="T226" s="244"/>
      <c r="V226" s="244"/>
      <c r="W226" s="244"/>
      <c r="X226" s="244"/>
    </row>
    <row r="227" spans="1:24">
      <c r="A227" s="655"/>
      <c r="B227" s="655"/>
      <c r="C227" s="655"/>
      <c r="D227" s="655"/>
      <c r="E227" s="655"/>
      <c r="F227" s="655"/>
      <c r="T227" s="244"/>
      <c r="V227" s="244"/>
      <c r="W227" s="244"/>
      <c r="X227" s="244"/>
    </row>
    <row r="228" spans="1:24">
      <c r="A228" s="655"/>
      <c r="B228" s="655"/>
      <c r="C228" s="655"/>
      <c r="D228" s="655"/>
      <c r="E228" s="655"/>
      <c r="F228" s="655"/>
      <c r="T228" s="244"/>
      <c r="V228" s="244"/>
      <c r="W228" s="244"/>
      <c r="X228" s="244"/>
    </row>
    <row r="229" spans="1:24">
      <c r="A229" s="655"/>
      <c r="B229" s="655"/>
      <c r="C229" s="655"/>
      <c r="D229" s="655"/>
      <c r="E229" s="655"/>
      <c r="F229" s="655"/>
      <c r="T229" s="244"/>
      <c r="V229" s="244"/>
      <c r="W229" s="244"/>
      <c r="X229" s="244"/>
    </row>
    <row r="230" spans="1:24">
      <c r="A230" s="655"/>
      <c r="B230" s="655"/>
      <c r="C230" s="655"/>
      <c r="D230" s="655"/>
      <c r="E230" s="655"/>
      <c r="F230" s="655"/>
      <c r="T230" s="244"/>
      <c r="V230" s="244"/>
      <c r="W230" s="244"/>
      <c r="X230" s="244"/>
    </row>
    <row r="231" spans="1:24">
      <c r="A231" s="655"/>
      <c r="B231" s="655"/>
      <c r="C231" s="655"/>
      <c r="D231" s="655"/>
      <c r="E231" s="655"/>
      <c r="F231" s="655"/>
      <c r="T231" s="244"/>
      <c r="V231" s="244"/>
      <c r="W231" s="244"/>
      <c r="X231" s="244"/>
    </row>
    <row r="232" spans="1:24">
      <c r="A232" s="655"/>
      <c r="B232" s="655"/>
      <c r="C232" s="655"/>
      <c r="D232" s="655"/>
      <c r="E232" s="655"/>
      <c r="F232" s="655"/>
      <c r="T232" s="244"/>
      <c r="V232" s="244"/>
      <c r="W232" s="244"/>
      <c r="X232" s="244"/>
    </row>
    <row r="233" spans="1:24">
      <c r="A233" s="655"/>
      <c r="B233" s="655"/>
      <c r="C233" s="655"/>
      <c r="D233" s="655"/>
      <c r="E233" s="655"/>
      <c r="F233" s="655"/>
      <c r="T233" s="244"/>
      <c r="V233" s="244"/>
      <c r="W233" s="244"/>
      <c r="X233" s="244"/>
    </row>
    <row r="234" spans="1:24">
      <c r="A234" s="655"/>
      <c r="B234" s="655"/>
      <c r="C234" s="655"/>
      <c r="D234" s="655"/>
      <c r="E234" s="655"/>
      <c r="F234" s="655"/>
      <c r="T234" s="244"/>
      <c r="V234" s="244"/>
      <c r="W234" s="244"/>
      <c r="X234" s="244"/>
    </row>
    <row r="235" spans="1:24">
      <c r="A235" s="655"/>
      <c r="B235" s="655"/>
      <c r="C235" s="655"/>
      <c r="D235" s="655"/>
      <c r="E235" s="655"/>
      <c r="F235" s="655"/>
      <c r="T235" s="244"/>
      <c r="V235" s="244"/>
      <c r="W235" s="244"/>
      <c r="X235" s="244"/>
    </row>
    <row r="236" spans="1:24">
      <c r="A236" s="655"/>
      <c r="B236" s="655"/>
      <c r="C236" s="655"/>
      <c r="D236" s="655"/>
      <c r="E236" s="655"/>
      <c r="F236" s="655"/>
      <c r="T236" s="244"/>
      <c r="V236" s="244"/>
      <c r="W236" s="244"/>
      <c r="X236" s="244"/>
    </row>
    <row r="237" spans="1:24">
      <c r="A237" s="655"/>
      <c r="B237" s="655"/>
      <c r="C237" s="655"/>
      <c r="D237" s="655"/>
      <c r="E237" s="655"/>
      <c r="F237" s="655"/>
      <c r="T237" s="244"/>
      <c r="V237" s="244"/>
      <c r="W237" s="244"/>
      <c r="X237" s="244"/>
    </row>
    <row r="238" spans="1:24">
      <c r="A238" s="655"/>
      <c r="B238" s="655"/>
      <c r="C238" s="655"/>
      <c r="D238" s="655"/>
      <c r="E238" s="655"/>
      <c r="F238" s="655"/>
      <c r="T238" s="244"/>
      <c r="V238" s="244"/>
      <c r="W238" s="244"/>
      <c r="X238" s="244"/>
    </row>
    <row r="239" spans="1:24">
      <c r="A239" s="655"/>
      <c r="B239" s="655"/>
      <c r="C239" s="655"/>
      <c r="D239" s="655"/>
      <c r="E239" s="655"/>
      <c r="F239" s="655"/>
      <c r="T239" s="244"/>
      <c r="V239" s="244"/>
      <c r="W239" s="244"/>
      <c r="X239" s="244"/>
    </row>
    <row r="240" spans="1:24">
      <c r="A240" s="655"/>
      <c r="B240" s="655"/>
      <c r="C240" s="655"/>
      <c r="D240" s="655"/>
      <c r="E240" s="655"/>
      <c r="F240" s="655"/>
      <c r="T240" s="244"/>
      <c r="V240" s="244"/>
      <c r="W240" s="244"/>
      <c r="X240" s="244"/>
    </row>
    <row r="241" spans="1:24">
      <c r="A241" s="655"/>
      <c r="B241" s="655"/>
      <c r="C241" s="655"/>
      <c r="D241" s="655"/>
      <c r="E241" s="655"/>
      <c r="F241" s="655"/>
      <c r="T241" s="244"/>
      <c r="V241" s="244"/>
      <c r="W241" s="244"/>
      <c r="X241" s="244"/>
    </row>
    <row r="242" spans="1:24">
      <c r="A242" s="655"/>
      <c r="B242" s="655"/>
      <c r="C242" s="655"/>
      <c r="D242" s="655"/>
      <c r="E242" s="655"/>
      <c r="F242" s="655"/>
      <c r="T242" s="244"/>
      <c r="V242" s="244"/>
      <c r="W242" s="244"/>
      <c r="X242" s="244"/>
    </row>
    <row r="243" spans="1:24">
      <c r="A243" s="655"/>
      <c r="B243" s="655"/>
      <c r="C243" s="655"/>
      <c r="D243" s="655"/>
      <c r="E243" s="655"/>
      <c r="F243" s="655"/>
      <c r="T243" s="244"/>
      <c r="V243" s="244"/>
      <c r="W243" s="244"/>
      <c r="X243" s="244"/>
    </row>
    <row r="244" spans="1:24">
      <c r="A244" s="655"/>
      <c r="B244" s="655"/>
      <c r="C244" s="655"/>
      <c r="D244" s="655"/>
      <c r="E244" s="655"/>
      <c r="F244" s="655"/>
      <c r="T244" s="244"/>
      <c r="V244" s="244"/>
      <c r="W244" s="244"/>
      <c r="X244" s="244"/>
    </row>
    <row r="245" spans="1:24">
      <c r="A245" s="655"/>
      <c r="B245" s="655"/>
      <c r="C245" s="655"/>
      <c r="D245" s="655"/>
      <c r="E245" s="655"/>
      <c r="F245" s="655"/>
      <c r="T245" s="244"/>
      <c r="V245" s="244"/>
      <c r="W245" s="244"/>
      <c r="X245" s="244"/>
    </row>
    <row r="246" spans="1:24">
      <c r="A246" s="655"/>
      <c r="B246" s="655"/>
      <c r="C246" s="655"/>
      <c r="D246" s="655"/>
      <c r="E246" s="655"/>
      <c r="F246" s="655"/>
      <c r="T246" s="244"/>
      <c r="V246" s="244"/>
      <c r="W246" s="244"/>
      <c r="X246" s="244"/>
    </row>
    <row r="247" spans="1:24">
      <c r="A247" s="655"/>
      <c r="B247" s="655"/>
      <c r="C247" s="655"/>
      <c r="D247" s="655"/>
      <c r="E247" s="655"/>
      <c r="F247" s="655"/>
      <c r="T247" s="244"/>
      <c r="V247" s="244"/>
      <c r="W247" s="244"/>
      <c r="X247" s="244"/>
    </row>
    <row r="248" spans="1:24">
      <c r="A248" s="655"/>
      <c r="B248" s="655"/>
      <c r="C248" s="655"/>
      <c r="D248" s="655"/>
      <c r="E248" s="655"/>
      <c r="F248" s="655"/>
      <c r="T248" s="244"/>
      <c r="V248" s="244"/>
      <c r="W248" s="244"/>
      <c r="X248" s="244"/>
    </row>
    <row r="249" spans="1:24">
      <c r="A249" s="655"/>
      <c r="B249" s="655"/>
      <c r="C249" s="655"/>
      <c r="D249" s="655"/>
      <c r="E249" s="655"/>
      <c r="F249" s="655"/>
      <c r="T249" s="244"/>
      <c r="V249" s="244"/>
      <c r="W249" s="244"/>
      <c r="X249" s="244"/>
    </row>
    <row r="250" spans="1:24">
      <c r="A250" s="655"/>
      <c r="B250" s="655"/>
      <c r="C250" s="655"/>
      <c r="D250" s="655"/>
      <c r="E250" s="655"/>
      <c r="F250" s="655"/>
      <c r="T250" s="244"/>
      <c r="V250" s="244"/>
      <c r="W250" s="244"/>
      <c r="X250" s="244"/>
    </row>
    <row r="251" spans="1:24">
      <c r="A251" s="655"/>
      <c r="B251" s="655"/>
      <c r="C251" s="655"/>
      <c r="D251" s="655"/>
      <c r="E251" s="655"/>
      <c r="F251" s="655"/>
      <c r="T251" s="244"/>
      <c r="V251" s="244"/>
      <c r="W251" s="244"/>
      <c r="X251" s="244"/>
    </row>
    <row r="252" spans="1:24">
      <c r="A252" s="655"/>
      <c r="B252" s="655"/>
      <c r="C252" s="655"/>
      <c r="D252" s="655"/>
      <c r="E252" s="655"/>
      <c r="F252" s="655"/>
      <c r="T252" s="244"/>
      <c r="V252" s="244"/>
      <c r="W252" s="244"/>
      <c r="X252" s="244"/>
    </row>
    <row r="253" spans="1:24">
      <c r="A253" s="655"/>
      <c r="B253" s="655"/>
      <c r="C253" s="655"/>
      <c r="D253" s="655"/>
      <c r="E253" s="655"/>
      <c r="F253" s="655"/>
      <c r="T253" s="244"/>
      <c r="V253" s="244"/>
      <c r="W253" s="244"/>
      <c r="X253" s="244"/>
    </row>
    <row r="254" spans="1:24">
      <c r="A254" s="655"/>
      <c r="B254" s="655"/>
      <c r="C254" s="655"/>
      <c r="D254" s="655"/>
      <c r="E254" s="655"/>
      <c r="F254" s="655"/>
      <c r="T254" s="244"/>
      <c r="V254" s="244"/>
      <c r="W254" s="244"/>
      <c r="X254" s="244"/>
    </row>
    <row r="255" spans="1:24">
      <c r="A255" s="655"/>
      <c r="B255" s="655"/>
      <c r="C255" s="655"/>
      <c r="D255" s="655"/>
      <c r="E255" s="655"/>
      <c r="F255" s="655"/>
      <c r="T255" s="244"/>
      <c r="V255" s="244"/>
      <c r="W255" s="244"/>
      <c r="X255" s="244"/>
    </row>
    <row r="256" spans="1:24">
      <c r="A256" s="655"/>
      <c r="B256" s="655"/>
      <c r="C256" s="655"/>
      <c r="D256" s="655"/>
      <c r="E256" s="655"/>
      <c r="F256" s="655"/>
      <c r="T256" s="244"/>
      <c r="V256" s="244"/>
      <c r="W256" s="244"/>
      <c r="X256" s="244"/>
    </row>
    <row r="257" spans="1:24">
      <c r="A257" s="655"/>
      <c r="B257" s="655"/>
      <c r="C257" s="655"/>
      <c r="D257" s="655"/>
      <c r="E257" s="655"/>
      <c r="F257" s="655"/>
      <c r="T257" s="244"/>
      <c r="V257" s="244"/>
      <c r="W257" s="244"/>
      <c r="X257" s="244"/>
    </row>
    <row r="258" spans="1:24">
      <c r="A258" s="655"/>
      <c r="B258" s="655"/>
      <c r="C258" s="655"/>
      <c r="D258" s="655"/>
      <c r="E258" s="655"/>
      <c r="F258" s="655"/>
      <c r="T258" s="244"/>
      <c r="V258" s="244"/>
      <c r="W258" s="244"/>
      <c r="X258" s="244"/>
    </row>
    <row r="259" spans="1:24">
      <c r="A259" s="655"/>
      <c r="B259" s="655"/>
      <c r="C259" s="655"/>
      <c r="D259" s="655"/>
      <c r="E259" s="655"/>
      <c r="F259" s="655"/>
      <c r="T259" s="244"/>
      <c r="V259" s="244"/>
      <c r="W259" s="244"/>
      <c r="X259" s="244"/>
    </row>
    <row r="260" spans="1:24">
      <c r="A260" s="655"/>
      <c r="B260" s="655"/>
      <c r="C260" s="655"/>
      <c r="D260" s="655"/>
      <c r="E260" s="655"/>
      <c r="F260" s="655"/>
      <c r="T260" s="244"/>
      <c r="V260" s="244"/>
      <c r="W260" s="244"/>
      <c r="X260" s="244"/>
    </row>
    <row r="261" spans="1:24">
      <c r="A261" s="655"/>
      <c r="B261" s="655"/>
      <c r="C261" s="655"/>
      <c r="D261" s="655"/>
      <c r="E261" s="655"/>
      <c r="F261" s="655"/>
      <c r="T261" s="244"/>
      <c r="V261" s="244"/>
      <c r="W261" s="244"/>
      <c r="X261" s="244"/>
    </row>
    <row r="262" spans="1:24">
      <c r="A262" s="655"/>
      <c r="B262" s="655"/>
      <c r="C262" s="655"/>
      <c r="D262" s="655"/>
      <c r="E262" s="655"/>
      <c r="F262" s="655"/>
      <c r="T262" s="244"/>
      <c r="V262" s="244"/>
      <c r="W262" s="244"/>
      <c r="X262" s="244"/>
    </row>
    <row r="263" spans="1:24">
      <c r="A263" s="655"/>
      <c r="B263" s="655"/>
      <c r="C263" s="655"/>
      <c r="D263" s="655"/>
      <c r="E263" s="655"/>
      <c r="F263" s="655"/>
      <c r="T263" s="244"/>
      <c r="V263" s="244"/>
      <c r="W263" s="244"/>
      <c r="X263" s="244"/>
    </row>
    <row r="264" spans="1:24">
      <c r="A264" s="655"/>
      <c r="B264" s="655"/>
      <c r="C264" s="655"/>
      <c r="D264" s="655"/>
      <c r="E264" s="655"/>
      <c r="F264" s="655"/>
      <c r="T264" s="244"/>
      <c r="V264" s="244"/>
      <c r="W264" s="244"/>
      <c r="X264" s="244"/>
    </row>
    <row r="265" spans="1:24">
      <c r="A265" s="655"/>
      <c r="B265" s="655"/>
      <c r="C265" s="655"/>
      <c r="D265" s="655"/>
      <c r="E265" s="655"/>
      <c r="F265" s="655"/>
      <c r="T265" s="244"/>
      <c r="V265" s="244"/>
      <c r="W265" s="244"/>
      <c r="X265" s="244"/>
    </row>
    <row r="266" spans="1:24">
      <c r="A266" s="655"/>
      <c r="B266" s="655"/>
      <c r="C266" s="655"/>
      <c r="D266" s="655"/>
      <c r="E266" s="655"/>
      <c r="F266" s="655"/>
      <c r="T266" s="244"/>
      <c r="V266" s="244"/>
      <c r="W266" s="244"/>
      <c r="X266" s="244"/>
    </row>
    <row r="267" spans="1:24">
      <c r="A267" s="655"/>
      <c r="B267" s="655"/>
      <c r="C267" s="655"/>
      <c r="D267" s="655"/>
      <c r="E267" s="655"/>
      <c r="F267" s="655"/>
      <c r="T267" s="244"/>
      <c r="V267" s="244"/>
      <c r="W267" s="244"/>
      <c r="X267" s="244"/>
    </row>
    <row r="268" spans="1:24">
      <c r="A268" s="655"/>
      <c r="B268" s="655"/>
      <c r="C268" s="655"/>
      <c r="D268" s="655"/>
      <c r="E268" s="655"/>
      <c r="F268" s="655"/>
      <c r="T268" s="244"/>
      <c r="V268" s="244"/>
      <c r="W268" s="244"/>
      <c r="X268" s="244"/>
    </row>
    <row r="269" spans="1:24">
      <c r="A269" s="655"/>
      <c r="B269" s="655"/>
      <c r="C269" s="655"/>
      <c r="D269" s="655"/>
      <c r="E269" s="655"/>
      <c r="F269" s="655"/>
      <c r="T269" s="244"/>
      <c r="V269" s="244"/>
      <c r="W269" s="244"/>
      <c r="X269" s="244"/>
    </row>
    <row r="270" spans="1:24">
      <c r="A270" s="655"/>
      <c r="B270" s="655"/>
      <c r="C270" s="655"/>
      <c r="D270" s="655"/>
      <c r="E270" s="655"/>
      <c r="F270" s="655"/>
      <c r="T270" s="244"/>
      <c r="V270" s="244"/>
      <c r="W270" s="244"/>
      <c r="X270" s="244"/>
    </row>
    <row r="271" spans="1:24">
      <c r="A271" s="655"/>
      <c r="B271" s="655"/>
      <c r="C271" s="655"/>
      <c r="D271" s="655"/>
      <c r="E271" s="655"/>
      <c r="F271" s="655"/>
      <c r="T271" s="244"/>
      <c r="V271" s="244"/>
      <c r="W271" s="244"/>
      <c r="X271" s="244"/>
    </row>
    <row r="272" spans="1:24">
      <c r="A272" s="655"/>
      <c r="B272" s="655"/>
      <c r="C272" s="655"/>
      <c r="D272" s="655"/>
      <c r="E272" s="655"/>
      <c r="F272" s="655"/>
      <c r="T272" s="244"/>
      <c r="V272" s="244"/>
      <c r="W272" s="244"/>
      <c r="X272" s="244"/>
    </row>
    <row r="273" spans="1:24">
      <c r="A273" s="655"/>
      <c r="B273" s="655"/>
      <c r="C273" s="655"/>
      <c r="D273" s="655"/>
      <c r="E273" s="655"/>
      <c r="F273" s="655"/>
      <c r="T273" s="244"/>
      <c r="V273" s="244"/>
      <c r="W273" s="244"/>
      <c r="X273" s="244"/>
    </row>
    <row r="274" spans="1:24">
      <c r="A274" s="655"/>
      <c r="B274" s="655"/>
      <c r="C274" s="655"/>
      <c r="D274" s="655"/>
      <c r="E274" s="655"/>
      <c r="F274" s="655"/>
      <c r="T274" s="244"/>
      <c r="V274" s="244"/>
      <c r="W274" s="244"/>
      <c r="X274" s="244"/>
    </row>
    <row r="275" spans="1:24">
      <c r="A275" s="655"/>
      <c r="B275" s="655"/>
      <c r="C275" s="655"/>
      <c r="D275" s="655"/>
      <c r="E275" s="655"/>
      <c r="F275" s="655"/>
      <c r="T275" s="244"/>
      <c r="V275" s="244"/>
      <c r="W275" s="244"/>
      <c r="X275" s="244"/>
    </row>
    <row r="276" spans="1:24">
      <c r="A276" s="655"/>
      <c r="B276" s="655"/>
      <c r="C276" s="655"/>
      <c r="D276" s="655"/>
      <c r="E276" s="655"/>
      <c r="F276" s="655"/>
      <c r="T276" s="244"/>
      <c r="V276" s="244"/>
      <c r="W276" s="244"/>
      <c r="X276" s="244"/>
    </row>
    <row r="277" spans="1:24">
      <c r="A277" s="655"/>
      <c r="B277" s="655"/>
      <c r="C277" s="655"/>
      <c r="D277" s="655"/>
      <c r="E277" s="655"/>
      <c r="F277" s="655"/>
      <c r="T277" s="244"/>
      <c r="V277" s="244"/>
      <c r="W277" s="244"/>
      <c r="X277" s="244"/>
    </row>
    <row r="278" spans="1:24">
      <c r="A278" s="655"/>
      <c r="B278" s="655"/>
      <c r="C278" s="655"/>
      <c r="D278" s="655"/>
      <c r="E278" s="655"/>
      <c r="F278" s="655"/>
      <c r="T278" s="244"/>
      <c r="V278" s="244"/>
      <c r="W278" s="244"/>
      <c r="X278" s="244"/>
    </row>
    <row r="279" spans="1:24">
      <c r="A279" s="655"/>
      <c r="B279" s="655"/>
      <c r="C279" s="655"/>
      <c r="D279" s="655"/>
      <c r="E279" s="655"/>
      <c r="F279" s="655"/>
      <c r="T279" s="244"/>
      <c r="V279" s="244"/>
      <c r="W279" s="244"/>
      <c r="X279" s="244"/>
    </row>
    <row r="280" spans="1:24">
      <c r="A280" s="655"/>
      <c r="B280" s="655"/>
      <c r="C280" s="655"/>
      <c r="D280" s="655"/>
      <c r="E280" s="655"/>
      <c r="F280" s="655"/>
      <c r="T280" s="244"/>
      <c r="V280" s="244"/>
      <c r="W280" s="244"/>
      <c r="X280" s="244"/>
    </row>
    <row r="281" spans="1:24">
      <c r="A281" s="655"/>
      <c r="B281" s="655"/>
      <c r="C281" s="655"/>
      <c r="D281" s="655"/>
      <c r="E281" s="655"/>
      <c r="F281" s="655"/>
      <c r="T281" s="244"/>
      <c r="V281" s="244"/>
      <c r="W281" s="244"/>
      <c r="X281" s="244"/>
    </row>
    <row r="282" spans="1:24">
      <c r="A282" s="655"/>
      <c r="B282" s="655"/>
      <c r="C282" s="655"/>
      <c r="D282" s="655"/>
      <c r="E282" s="655"/>
      <c r="F282" s="655"/>
      <c r="T282" s="244"/>
      <c r="V282" s="244"/>
      <c r="W282" s="244"/>
      <c r="X282" s="244"/>
    </row>
    <row r="283" spans="1:24">
      <c r="A283" s="655"/>
      <c r="B283" s="655"/>
      <c r="C283" s="655"/>
      <c r="D283" s="655"/>
      <c r="E283" s="655"/>
      <c r="F283" s="655"/>
      <c r="T283" s="244"/>
      <c r="V283" s="244"/>
      <c r="W283" s="244"/>
      <c r="X283" s="244"/>
    </row>
    <row r="284" spans="1:24">
      <c r="A284" s="655"/>
      <c r="B284" s="655"/>
      <c r="C284" s="655"/>
      <c r="D284" s="655"/>
      <c r="E284" s="655"/>
      <c r="F284" s="655"/>
      <c r="T284" s="244"/>
      <c r="V284" s="244"/>
      <c r="W284" s="244"/>
      <c r="X284" s="244"/>
    </row>
    <row r="285" spans="1:24">
      <c r="A285" s="655"/>
      <c r="B285" s="655"/>
      <c r="C285" s="655"/>
      <c r="D285" s="655"/>
      <c r="E285" s="655"/>
      <c r="F285" s="655"/>
      <c r="T285" s="244"/>
      <c r="V285" s="244"/>
      <c r="W285" s="244"/>
      <c r="X285" s="244"/>
    </row>
    <row r="286" spans="1:24">
      <c r="A286" s="655"/>
      <c r="B286" s="655"/>
      <c r="C286" s="655"/>
      <c r="D286" s="655"/>
      <c r="E286" s="655"/>
      <c r="F286" s="655"/>
      <c r="T286" s="244"/>
      <c r="V286" s="244"/>
      <c r="W286" s="244"/>
      <c r="X286" s="244"/>
    </row>
    <row r="287" spans="1:24">
      <c r="A287" s="655"/>
      <c r="B287" s="655"/>
      <c r="C287" s="655"/>
      <c r="D287" s="655"/>
      <c r="E287" s="655"/>
      <c r="F287" s="655"/>
      <c r="T287" s="244"/>
      <c r="V287" s="244"/>
      <c r="W287" s="244"/>
      <c r="X287" s="244"/>
    </row>
    <row r="288" spans="1:24">
      <c r="A288" s="655"/>
      <c r="B288" s="655"/>
      <c r="C288" s="655"/>
      <c r="D288" s="655"/>
      <c r="E288" s="655"/>
      <c r="F288" s="655"/>
      <c r="T288" s="244"/>
      <c r="V288" s="244"/>
      <c r="W288" s="244"/>
      <c r="X288" s="244"/>
    </row>
    <row r="289" spans="1:24">
      <c r="A289" s="655"/>
      <c r="B289" s="655"/>
      <c r="C289" s="655"/>
      <c r="D289" s="655"/>
      <c r="E289" s="655"/>
      <c r="F289" s="655"/>
      <c r="T289" s="244"/>
      <c r="V289" s="244"/>
      <c r="W289" s="244"/>
      <c r="X289" s="244"/>
    </row>
    <row r="290" spans="1:24">
      <c r="A290" s="655"/>
      <c r="B290" s="655"/>
      <c r="C290" s="655"/>
      <c r="D290" s="655"/>
      <c r="E290" s="655"/>
      <c r="F290" s="655"/>
      <c r="T290" s="244"/>
      <c r="V290" s="244"/>
      <c r="W290" s="244"/>
      <c r="X290" s="244"/>
    </row>
    <row r="291" spans="1:24">
      <c r="A291" s="655"/>
      <c r="B291" s="655"/>
      <c r="C291" s="655"/>
      <c r="D291" s="655"/>
      <c r="E291" s="655"/>
      <c r="F291" s="655"/>
      <c r="T291" s="244"/>
      <c r="V291" s="244"/>
      <c r="W291" s="244"/>
      <c r="X291" s="244"/>
    </row>
    <row r="292" spans="1:24">
      <c r="A292" s="655"/>
      <c r="B292" s="655"/>
      <c r="C292" s="655"/>
      <c r="D292" s="655"/>
      <c r="E292" s="655"/>
      <c r="F292" s="655"/>
      <c r="T292" s="244"/>
      <c r="V292" s="244"/>
      <c r="W292" s="244"/>
      <c r="X292" s="244"/>
    </row>
    <row r="293" spans="1:24">
      <c r="A293" s="655"/>
      <c r="B293" s="655"/>
      <c r="C293" s="655"/>
      <c r="D293" s="655"/>
      <c r="E293" s="655"/>
      <c r="F293" s="655"/>
      <c r="T293" s="244"/>
      <c r="V293" s="244"/>
      <c r="W293" s="244"/>
      <c r="X293" s="244"/>
    </row>
    <row r="294" spans="1:24">
      <c r="A294" s="655"/>
      <c r="B294" s="655"/>
      <c r="C294" s="655"/>
      <c r="D294" s="655"/>
      <c r="E294" s="655"/>
      <c r="F294" s="655"/>
      <c r="T294" s="244"/>
      <c r="V294" s="244"/>
      <c r="W294" s="244"/>
      <c r="X294" s="244"/>
    </row>
    <row r="295" spans="1:24">
      <c r="A295" s="655"/>
      <c r="B295" s="655"/>
      <c r="C295" s="655"/>
      <c r="D295" s="655"/>
      <c r="E295" s="655"/>
      <c r="F295" s="655"/>
      <c r="T295" s="244"/>
      <c r="V295" s="244"/>
      <c r="W295" s="244"/>
      <c r="X295" s="244"/>
    </row>
    <row r="296" spans="1:24">
      <c r="A296" s="655"/>
      <c r="B296" s="655"/>
      <c r="C296" s="655"/>
      <c r="D296" s="655"/>
      <c r="E296" s="655"/>
      <c r="F296" s="655"/>
      <c r="T296" s="244"/>
      <c r="V296" s="244"/>
      <c r="W296" s="244"/>
      <c r="X296" s="244"/>
    </row>
    <row r="297" spans="1:24">
      <c r="A297" s="655"/>
      <c r="B297" s="655"/>
      <c r="C297" s="655"/>
      <c r="D297" s="655"/>
      <c r="E297" s="655"/>
      <c r="F297" s="655"/>
      <c r="T297" s="244"/>
      <c r="V297" s="244"/>
      <c r="W297" s="244"/>
      <c r="X297" s="244"/>
    </row>
    <row r="298" spans="1:24">
      <c r="A298" s="655"/>
      <c r="B298" s="655"/>
      <c r="C298" s="655"/>
      <c r="D298" s="655"/>
      <c r="E298" s="655"/>
      <c r="F298" s="655"/>
      <c r="T298" s="244"/>
      <c r="V298" s="244"/>
      <c r="W298" s="244"/>
      <c r="X298" s="244"/>
    </row>
    <row r="299" spans="1:24">
      <c r="A299" s="655"/>
      <c r="B299" s="655"/>
      <c r="C299" s="655"/>
      <c r="D299" s="655"/>
      <c r="E299" s="655"/>
      <c r="F299" s="655"/>
      <c r="T299" s="244"/>
      <c r="V299" s="244"/>
      <c r="W299" s="244"/>
      <c r="X299" s="244"/>
    </row>
    <row r="300" spans="1:24">
      <c r="A300" s="655"/>
      <c r="B300" s="655"/>
      <c r="C300" s="655"/>
      <c r="D300" s="655"/>
      <c r="E300" s="655"/>
      <c r="F300" s="655"/>
      <c r="T300" s="244"/>
      <c r="V300" s="244"/>
      <c r="W300" s="244"/>
      <c r="X300" s="244"/>
    </row>
    <row r="301" spans="1:24">
      <c r="A301" s="655"/>
      <c r="B301" s="655"/>
      <c r="C301" s="655"/>
      <c r="D301" s="655"/>
      <c r="E301" s="655"/>
      <c r="F301" s="655"/>
      <c r="T301" s="244"/>
      <c r="V301" s="244"/>
      <c r="W301" s="244"/>
      <c r="X301" s="244"/>
    </row>
    <row r="302" spans="1:24">
      <c r="A302" s="655"/>
      <c r="B302" s="655"/>
      <c r="C302" s="655"/>
      <c r="D302" s="655"/>
      <c r="E302" s="655"/>
      <c r="F302" s="655"/>
      <c r="T302" s="244"/>
      <c r="V302" s="244"/>
      <c r="W302" s="244"/>
      <c r="X302" s="244"/>
    </row>
    <row r="303" spans="1:24">
      <c r="A303" s="655"/>
      <c r="B303" s="655"/>
      <c r="C303" s="655"/>
      <c r="D303" s="655"/>
      <c r="E303" s="655"/>
      <c r="F303" s="655"/>
      <c r="T303" s="244"/>
      <c r="V303" s="244"/>
      <c r="W303" s="244"/>
      <c r="X303" s="244"/>
    </row>
    <row r="304" spans="1:24">
      <c r="A304" s="650"/>
      <c r="B304" s="650"/>
      <c r="C304" s="650"/>
      <c r="D304" s="650"/>
      <c r="E304" s="650"/>
      <c r="F304" s="650"/>
      <c r="T304" s="244"/>
      <c r="V304" s="244"/>
      <c r="W304" s="244"/>
      <c r="X304" s="244"/>
    </row>
    <row r="305" spans="1:24">
      <c r="A305" s="650"/>
      <c r="B305" s="650"/>
      <c r="C305" s="650"/>
      <c r="D305" s="650"/>
      <c r="E305" s="650"/>
      <c r="F305" s="650"/>
      <c r="T305" s="244"/>
      <c r="V305" s="244"/>
      <c r="W305" s="244"/>
      <c r="X305" s="244"/>
    </row>
    <row r="306" spans="1:24">
      <c r="A306" s="650"/>
      <c r="B306" s="650"/>
      <c r="C306" s="650"/>
      <c r="D306" s="650"/>
      <c r="E306" s="650"/>
      <c r="F306" s="650"/>
      <c r="T306" s="244"/>
      <c r="V306" s="244"/>
      <c r="W306" s="244"/>
      <c r="X306" s="244"/>
    </row>
    <row r="307" spans="1:24">
      <c r="A307" s="416"/>
      <c r="B307" s="417"/>
      <c r="C307" s="417"/>
      <c r="D307" s="417"/>
      <c r="E307" s="417"/>
      <c r="F307" s="417"/>
      <c r="T307" s="244"/>
      <c r="V307" s="244"/>
      <c r="W307" s="244"/>
      <c r="X307" s="244"/>
    </row>
    <row r="308" spans="1:24">
      <c r="A308" s="416"/>
      <c r="B308" s="417"/>
      <c r="C308" s="417"/>
      <c r="D308" s="417"/>
      <c r="E308" s="417"/>
      <c r="F308" s="417"/>
      <c r="T308" s="244"/>
      <c r="V308" s="244"/>
      <c r="W308" s="244"/>
      <c r="X308" s="244"/>
    </row>
    <row r="309" spans="1:24">
      <c r="A309" s="416"/>
      <c r="B309" s="417"/>
      <c r="C309" s="417"/>
      <c r="D309" s="417"/>
      <c r="E309" s="417"/>
      <c r="F309" s="417"/>
      <c r="T309" s="244"/>
      <c r="V309" s="244"/>
      <c r="W309" s="244"/>
      <c r="X309" s="244"/>
    </row>
    <row r="310" spans="1:24">
      <c r="A310" s="416"/>
      <c r="B310" s="417"/>
      <c r="C310" s="417"/>
      <c r="D310" s="417"/>
      <c r="E310" s="417"/>
      <c r="F310" s="417"/>
      <c r="T310" s="244"/>
      <c r="V310" s="244"/>
      <c r="W310" s="244"/>
      <c r="X310" s="244"/>
    </row>
    <row r="311" spans="1:24">
      <c r="A311" s="416"/>
      <c r="B311" s="417"/>
      <c r="C311" s="417"/>
      <c r="D311" s="417"/>
      <c r="E311" s="417"/>
      <c r="F311" s="417"/>
      <c r="T311" s="244"/>
      <c r="V311" s="244"/>
      <c r="W311" s="244"/>
      <c r="X311" s="244"/>
    </row>
    <row r="312" spans="1:24">
      <c r="A312" s="416"/>
      <c r="B312" s="417"/>
      <c r="C312" s="417"/>
      <c r="D312" s="417"/>
      <c r="E312" s="417"/>
      <c r="F312" s="417"/>
      <c r="T312" s="244"/>
      <c r="V312" s="244"/>
      <c r="W312" s="244"/>
      <c r="X312" s="244"/>
    </row>
    <row r="313" spans="1:24">
      <c r="A313" s="416"/>
      <c r="B313" s="417"/>
      <c r="C313" s="417"/>
      <c r="D313" s="417"/>
      <c r="E313" s="417"/>
      <c r="F313" s="417"/>
      <c r="T313" s="244"/>
      <c r="V313" s="244"/>
      <c r="W313" s="244"/>
      <c r="X313" s="244"/>
    </row>
    <row r="314" spans="1:24">
      <c r="A314" s="416"/>
      <c r="B314" s="417"/>
      <c r="C314" s="417"/>
      <c r="D314" s="417"/>
      <c r="E314" s="417"/>
      <c r="F314" s="417"/>
      <c r="T314" s="244"/>
      <c r="V314" s="244"/>
      <c r="W314" s="244"/>
      <c r="X314" s="244"/>
    </row>
    <row r="315" spans="1:24">
      <c r="A315" s="416"/>
      <c r="B315" s="417"/>
      <c r="C315" s="417"/>
      <c r="D315" s="417"/>
      <c r="E315" s="417"/>
      <c r="F315" s="417"/>
      <c r="T315" s="244"/>
      <c r="V315" s="244"/>
      <c r="W315" s="244"/>
      <c r="X315" s="244"/>
    </row>
    <row r="316" spans="1:24">
      <c r="A316" s="416"/>
      <c r="B316" s="417"/>
      <c r="C316" s="417"/>
      <c r="D316" s="417"/>
      <c r="E316" s="417"/>
      <c r="F316" s="417"/>
      <c r="T316" s="244"/>
      <c r="V316" s="244"/>
      <c r="W316" s="244"/>
      <c r="X316" s="244"/>
    </row>
    <row r="317" spans="1:24">
      <c r="A317" s="416"/>
      <c r="B317" s="417"/>
      <c r="C317" s="417"/>
      <c r="D317" s="417"/>
      <c r="E317" s="417"/>
      <c r="F317" s="417"/>
      <c r="T317" s="244"/>
      <c r="V317" s="244"/>
      <c r="W317" s="244"/>
      <c r="X317" s="244"/>
    </row>
    <row r="318" spans="1:24">
      <c r="A318" s="416"/>
      <c r="B318" s="417"/>
      <c r="C318" s="417"/>
      <c r="D318" s="417"/>
      <c r="E318" s="417"/>
      <c r="F318" s="417"/>
      <c r="T318" s="244"/>
      <c r="V318" s="244"/>
      <c r="W318" s="244"/>
      <c r="X318" s="244"/>
    </row>
    <row r="319" spans="1:24">
      <c r="A319" s="416"/>
      <c r="B319" s="417"/>
      <c r="C319" s="417"/>
      <c r="D319" s="417"/>
      <c r="E319" s="417"/>
      <c r="F319" s="417"/>
      <c r="T319" s="244"/>
      <c r="V319" s="244"/>
      <c r="W319" s="244"/>
      <c r="X319" s="244"/>
    </row>
    <row r="320" spans="1:24">
      <c r="A320" s="416"/>
      <c r="B320" s="417"/>
      <c r="C320" s="417"/>
      <c r="D320" s="417"/>
      <c r="E320" s="417"/>
      <c r="F320" s="417"/>
      <c r="T320" s="244"/>
      <c r="V320" s="244"/>
      <c r="W320" s="244"/>
      <c r="X320" s="244"/>
    </row>
    <row r="321" spans="1:24">
      <c r="A321" s="416"/>
      <c r="B321" s="417"/>
      <c r="C321" s="417"/>
      <c r="D321" s="417"/>
      <c r="E321" s="417"/>
      <c r="F321" s="417"/>
      <c r="T321" s="244"/>
      <c r="V321" s="244"/>
      <c r="W321" s="244"/>
      <c r="X321" s="244"/>
    </row>
    <row r="322" spans="1:24">
      <c r="A322" s="416"/>
      <c r="B322" s="417"/>
      <c r="C322" s="417"/>
      <c r="D322" s="417"/>
      <c r="E322" s="417"/>
      <c r="F322" s="417"/>
      <c r="T322" s="244"/>
      <c r="V322" s="244"/>
      <c r="W322" s="244"/>
      <c r="X322" s="244"/>
    </row>
    <row r="323" spans="1:24">
      <c r="A323" s="416"/>
      <c r="B323" s="417"/>
      <c r="C323" s="417"/>
      <c r="D323" s="417"/>
      <c r="E323" s="417"/>
      <c r="F323" s="417"/>
      <c r="T323" s="244"/>
      <c r="V323" s="244"/>
      <c r="W323" s="244"/>
      <c r="X323" s="244"/>
    </row>
    <row r="324" spans="1:24">
      <c r="A324" s="416"/>
      <c r="B324" s="417"/>
      <c r="C324" s="417"/>
      <c r="D324" s="417"/>
      <c r="E324" s="417"/>
      <c r="F324" s="417"/>
      <c r="T324" s="244"/>
      <c r="V324" s="244"/>
      <c r="W324" s="244"/>
      <c r="X324" s="244"/>
    </row>
    <row r="325" spans="1:24">
      <c r="A325" s="416"/>
      <c r="B325" s="417"/>
      <c r="C325" s="417"/>
      <c r="D325" s="417"/>
      <c r="E325" s="417"/>
      <c r="F325" s="417"/>
      <c r="T325" s="244"/>
      <c r="V325" s="244"/>
      <c r="W325" s="244"/>
      <c r="X325" s="244"/>
    </row>
    <row r="326" spans="1:24">
      <c r="A326" s="416"/>
      <c r="B326" s="417"/>
      <c r="C326" s="417"/>
      <c r="D326" s="417"/>
      <c r="E326" s="417"/>
      <c r="F326" s="417"/>
      <c r="T326" s="244"/>
      <c r="V326" s="244"/>
      <c r="W326" s="244"/>
      <c r="X326" s="244"/>
    </row>
    <row r="327" spans="1:24">
      <c r="A327" s="416"/>
      <c r="B327" s="417"/>
      <c r="C327" s="417"/>
      <c r="D327" s="417"/>
      <c r="E327" s="417"/>
      <c r="F327" s="417"/>
      <c r="T327" s="244"/>
      <c r="V327" s="244"/>
      <c r="W327" s="244"/>
      <c r="X327" s="244"/>
    </row>
    <row r="328" spans="1:24">
      <c r="A328" s="416"/>
      <c r="B328" s="417"/>
      <c r="C328" s="417"/>
      <c r="D328" s="417"/>
      <c r="E328" s="417"/>
      <c r="F328" s="417"/>
      <c r="T328" s="244"/>
      <c r="V328" s="244"/>
      <c r="W328" s="244"/>
      <c r="X328" s="244"/>
    </row>
    <row r="329" spans="1:24">
      <c r="A329" s="416"/>
      <c r="B329" s="417"/>
      <c r="C329" s="417"/>
      <c r="D329" s="417"/>
      <c r="E329" s="417"/>
      <c r="F329" s="417"/>
      <c r="T329" s="244"/>
      <c r="V329" s="244"/>
      <c r="W329" s="244"/>
      <c r="X329" s="244"/>
    </row>
    <row r="330" spans="1:24">
      <c r="A330" s="416"/>
      <c r="B330" s="417"/>
      <c r="C330" s="417"/>
      <c r="D330" s="417"/>
      <c r="E330" s="417"/>
      <c r="F330" s="417"/>
      <c r="T330" s="244"/>
      <c r="V330" s="244"/>
      <c r="W330" s="244"/>
      <c r="X330" s="244"/>
    </row>
    <row r="331" spans="1:24">
      <c r="A331" s="416"/>
      <c r="B331" s="417"/>
      <c r="C331" s="417"/>
      <c r="D331" s="417"/>
      <c r="E331" s="417"/>
      <c r="F331" s="417"/>
      <c r="T331" s="244"/>
      <c r="V331" s="244"/>
      <c r="W331" s="244"/>
      <c r="X331" s="244"/>
    </row>
    <row r="332" spans="1:24">
      <c r="A332" s="416"/>
      <c r="B332" s="417"/>
      <c r="C332" s="417"/>
      <c r="D332" s="417"/>
      <c r="E332" s="417"/>
      <c r="F332" s="417"/>
      <c r="T332" s="244"/>
      <c r="V332" s="244"/>
      <c r="W332" s="244"/>
      <c r="X332" s="244"/>
    </row>
    <row r="333" spans="1:24">
      <c r="A333" s="416"/>
      <c r="B333" s="417"/>
      <c r="C333" s="417"/>
      <c r="D333" s="417"/>
      <c r="E333" s="417"/>
      <c r="F333" s="417"/>
      <c r="T333" s="244"/>
      <c r="V333" s="244"/>
      <c r="W333" s="244"/>
      <c r="X333" s="244"/>
    </row>
    <row r="334" spans="1:24">
      <c r="A334" s="416"/>
      <c r="B334" s="417"/>
      <c r="C334" s="417"/>
      <c r="D334" s="417"/>
      <c r="E334" s="417"/>
      <c r="F334" s="417"/>
      <c r="T334" s="244"/>
      <c r="V334" s="244"/>
      <c r="W334" s="244"/>
      <c r="X334" s="244"/>
    </row>
    <row r="335" spans="1:24">
      <c r="A335" s="416"/>
      <c r="B335" s="417"/>
      <c r="C335" s="417"/>
      <c r="D335" s="417"/>
      <c r="E335" s="417"/>
      <c r="F335" s="417"/>
      <c r="T335" s="244"/>
      <c r="V335" s="244"/>
      <c r="W335" s="244"/>
      <c r="X335" s="244"/>
    </row>
    <row r="336" spans="1:24">
      <c r="A336" s="416"/>
      <c r="B336" s="417"/>
      <c r="C336" s="417"/>
      <c r="D336" s="417"/>
      <c r="E336" s="417"/>
      <c r="F336" s="417"/>
      <c r="T336" s="244"/>
      <c r="V336" s="244"/>
      <c r="W336" s="244"/>
      <c r="X336" s="244"/>
    </row>
    <row r="337" spans="1:24">
      <c r="A337" s="416"/>
      <c r="B337" s="417"/>
      <c r="C337" s="417"/>
      <c r="D337" s="417"/>
      <c r="E337" s="417"/>
      <c r="F337" s="417"/>
      <c r="T337" s="244"/>
      <c r="V337" s="244"/>
      <c r="W337" s="244"/>
      <c r="X337" s="244"/>
    </row>
    <row r="338" spans="1:24">
      <c r="A338" s="416"/>
      <c r="B338" s="417"/>
      <c r="C338" s="417"/>
      <c r="D338" s="417"/>
      <c r="E338" s="417"/>
      <c r="F338" s="417"/>
      <c r="T338" s="244"/>
      <c r="V338" s="244"/>
      <c r="W338" s="244"/>
      <c r="X338" s="244"/>
    </row>
    <row r="339" spans="1:24">
      <c r="A339" s="416"/>
      <c r="B339" s="417"/>
      <c r="C339" s="417"/>
      <c r="D339" s="417"/>
      <c r="E339" s="417"/>
      <c r="F339" s="417"/>
      <c r="T339" s="244"/>
      <c r="V339" s="244"/>
      <c r="W339" s="244"/>
      <c r="X339" s="244"/>
    </row>
    <row r="340" spans="1:24">
      <c r="A340" s="416"/>
      <c r="B340" s="417"/>
      <c r="C340" s="417"/>
      <c r="D340" s="417"/>
      <c r="E340" s="417"/>
      <c r="F340" s="417"/>
      <c r="T340" s="244"/>
      <c r="V340" s="244"/>
      <c r="W340" s="244"/>
      <c r="X340" s="244"/>
    </row>
    <row r="341" spans="1:24">
      <c r="A341" s="416"/>
      <c r="B341" s="417"/>
      <c r="C341" s="417"/>
      <c r="D341" s="417"/>
      <c r="E341" s="417"/>
      <c r="F341" s="417"/>
      <c r="T341" s="244"/>
      <c r="V341" s="244"/>
      <c r="W341" s="244"/>
      <c r="X341" s="244"/>
    </row>
    <row r="342" spans="1:24">
      <c r="A342" s="416"/>
      <c r="B342" s="417"/>
      <c r="C342" s="417"/>
      <c r="D342" s="417"/>
      <c r="E342" s="417"/>
      <c r="F342" s="417"/>
      <c r="T342" s="244"/>
      <c r="V342" s="244"/>
      <c r="W342" s="244"/>
      <c r="X342" s="244"/>
    </row>
    <row r="343" spans="1:24">
      <c r="A343" s="416"/>
      <c r="B343" s="417"/>
      <c r="C343" s="417"/>
      <c r="D343" s="417"/>
      <c r="E343" s="417"/>
      <c r="F343" s="417"/>
      <c r="T343" s="244"/>
      <c r="V343" s="244"/>
      <c r="W343" s="244"/>
      <c r="X343" s="244"/>
    </row>
    <row r="344" spans="1:24">
      <c r="A344" s="416"/>
      <c r="B344" s="417"/>
      <c r="C344" s="417"/>
      <c r="D344" s="417"/>
      <c r="E344" s="417"/>
      <c r="F344" s="417"/>
      <c r="T344" s="244"/>
      <c r="V344" s="244"/>
      <c r="W344" s="244"/>
      <c r="X344" s="244"/>
    </row>
    <row r="345" spans="1:24">
      <c r="A345" s="416"/>
      <c r="B345" s="417"/>
      <c r="C345" s="417"/>
      <c r="D345" s="417"/>
      <c r="E345" s="417"/>
      <c r="F345" s="417"/>
      <c r="T345" s="244"/>
      <c r="V345" s="244"/>
      <c r="W345" s="244"/>
      <c r="X345" s="244"/>
    </row>
    <row r="346" spans="1:24">
      <c r="A346" s="416"/>
      <c r="B346" s="417"/>
      <c r="C346" s="417"/>
      <c r="D346" s="417"/>
      <c r="E346" s="417"/>
      <c r="F346" s="417"/>
      <c r="T346" s="244"/>
      <c r="V346" s="244"/>
      <c r="W346" s="244"/>
      <c r="X346" s="244"/>
    </row>
    <row r="347" spans="1:24">
      <c r="A347" s="416"/>
      <c r="B347" s="417"/>
      <c r="C347" s="417"/>
      <c r="D347" s="417"/>
      <c r="E347" s="417"/>
      <c r="F347" s="417"/>
      <c r="T347" s="244"/>
      <c r="V347" s="244"/>
      <c r="W347" s="244"/>
      <c r="X347" s="244"/>
    </row>
    <row r="348" spans="1:24">
      <c r="A348" s="416"/>
      <c r="B348" s="417"/>
      <c r="C348" s="417"/>
      <c r="D348" s="417"/>
      <c r="E348" s="417"/>
      <c r="F348" s="417"/>
      <c r="T348" s="244"/>
      <c r="V348" s="244"/>
      <c r="W348" s="244"/>
      <c r="X348" s="244"/>
    </row>
    <row r="349" spans="1:24">
      <c r="A349" s="416"/>
      <c r="B349" s="417"/>
      <c r="C349" s="417"/>
      <c r="D349" s="417"/>
      <c r="E349" s="417"/>
      <c r="F349" s="417"/>
      <c r="T349" s="244"/>
      <c r="V349" s="244"/>
      <c r="W349" s="244"/>
      <c r="X349" s="244"/>
    </row>
    <row r="350" spans="1:24">
      <c r="A350" s="416"/>
      <c r="B350" s="417"/>
      <c r="C350" s="417"/>
      <c r="D350" s="417"/>
      <c r="E350" s="417"/>
      <c r="F350" s="417"/>
      <c r="T350" s="244"/>
      <c r="V350" s="244"/>
      <c r="W350" s="244"/>
      <c r="X350" s="244"/>
    </row>
    <row r="351" spans="1:24">
      <c r="A351" s="416"/>
      <c r="B351" s="417"/>
      <c r="C351" s="417"/>
      <c r="D351" s="417"/>
      <c r="E351" s="417"/>
      <c r="F351" s="417"/>
      <c r="T351" s="244"/>
      <c r="V351" s="244"/>
      <c r="W351" s="244"/>
      <c r="X351" s="244"/>
    </row>
    <row r="352" spans="1:24">
      <c r="A352" s="416"/>
      <c r="B352" s="417"/>
      <c r="C352" s="417"/>
      <c r="D352" s="417"/>
      <c r="E352" s="417"/>
      <c r="F352" s="417"/>
      <c r="T352" s="244"/>
      <c r="V352" s="244"/>
      <c r="W352" s="244"/>
      <c r="X352" s="244"/>
    </row>
    <row r="353" spans="1:24">
      <c r="A353" s="416"/>
      <c r="B353" s="417"/>
      <c r="C353" s="417"/>
      <c r="D353" s="417"/>
      <c r="E353" s="417"/>
      <c r="F353" s="417"/>
      <c r="T353" s="244"/>
      <c r="V353" s="244"/>
      <c r="W353" s="244"/>
      <c r="X353" s="244"/>
    </row>
    <row r="354" spans="1:24">
      <c r="A354" s="416"/>
      <c r="B354" s="417"/>
      <c r="C354" s="417"/>
      <c r="D354" s="417"/>
      <c r="E354" s="417"/>
      <c r="F354" s="417"/>
      <c r="T354" s="244"/>
      <c r="V354" s="244"/>
      <c r="W354" s="244"/>
      <c r="X354" s="244"/>
    </row>
    <row r="355" spans="1:24">
      <c r="A355" s="416"/>
      <c r="B355" s="417"/>
      <c r="C355" s="417"/>
      <c r="D355" s="417"/>
      <c r="E355" s="417"/>
      <c r="F355" s="417"/>
      <c r="T355" s="244"/>
      <c r="V355" s="244"/>
      <c r="W355" s="244"/>
      <c r="X355" s="244"/>
    </row>
    <row r="356" spans="1:24">
      <c r="A356" s="416"/>
      <c r="B356" s="417"/>
      <c r="C356" s="417"/>
      <c r="D356" s="417"/>
      <c r="E356" s="417"/>
      <c r="F356" s="417"/>
      <c r="T356" s="244"/>
      <c r="V356" s="244"/>
      <c r="W356" s="244"/>
      <c r="X356" s="244"/>
    </row>
    <row r="357" spans="1:24">
      <c r="A357" s="416"/>
      <c r="B357" s="417"/>
      <c r="C357" s="417"/>
      <c r="D357" s="417"/>
      <c r="E357" s="417"/>
      <c r="F357" s="417"/>
      <c r="T357" s="244"/>
      <c r="V357" s="244"/>
      <c r="W357" s="244"/>
      <c r="X357" s="244"/>
    </row>
    <row r="358" spans="1:24">
      <c r="A358" s="416"/>
      <c r="B358" s="417"/>
      <c r="C358" s="417"/>
      <c r="D358" s="417"/>
      <c r="E358" s="417"/>
      <c r="F358" s="417"/>
      <c r="T358" s="244"/>
      <c r="V358" s="244"/>
      <c r="W358" s="244"/>
      <c r="X358" s="244"/>
    </row>
    <row r="359" spans="1:24">
      <c r="A359" s="416"/>
      <c r="B359" s="417"/>
      <c r="C359" s="417"/>
      <c r="D359" s="417"/>
      <c r="E359" s="417"/>
      <c r="F359" s="417"/>
      <c r="T359" s="244"/>
      <c r="V359" s="244"/>
      <c r="W359" s="244"/>
      <c r="X359" s="244"/>
    </row>
    <row r="360" spans="1:24">
      <c r="A360" s="416"/>
      <c r="B360" s="417"/>
      <c r="C360" s="417"/>
      <c r="D360" s="417"/>
      <c r="E360" s="417"/>
      <c r="F360" s="417"/>
      <c r="T360" s="244"/>
      <c r="V360" s="244"/>
      <c r="W360" s="244"/>
      <c r="X360" s="244"/>
    </row>
    <row r="361" spans="1:24">
      <c r="A361" s="416"/>
      <c r="B361" s="417"/>
      <c r="C361" s="417"/>
      <c r="D361" s="417"/>
      <c r="E361" s="417"/>
      <c r="F361" s="417"/>
      <c r="T361" s="244"/>
      <c r="V361" s="244"/>
      <c r="W361" s="244"/>
      <c r="X361" s="244"/>
    </row>
    <row r="362" spans="1:24">
      <c r="A362" s="416"/>
      <c r="B362" s="417"/>
      <c r="C362" s="417"/>
      <c r="D362" s="417"/>
      <c r="E362" s="417"/>
      <c r="F362" s="417"/>
      <c r="T362" s="244"/>
      <c r="V362" s="244"/>
      <c r="W362" s="244"/>
      <c r="X362" s="244"/>
    </row>
    <row r="363" spans="1:24">
      <c r="A363" s="416"/>
      <c r="B363" s="417"/>
      <c r="C363" s="417"/>
      <c r="D363" s="417"/>
      <c r="E363" s="417"/>
      <c r="F363" s="417"/>
      <c r="T363" s="244"/>
      <c r="V363" s="244"/>
      <c r="W363" s="244"/>
      <c r="X363" s="244"/>
    </row>
    <row r="364" spans="1:24">
      <c r="A364" s="416"/>
      <c r="B364" s="417"/>
      <c r="C364" s="417"/>
      <c r="D364" s="417"/>
      <c r="E364" s="417"/>
      <c r="F364" s="417"/>
      <c r="T364" s="244"/>
      <c r="V364" s="244"/>
      <c r="W364" s="244"/>
      <c r="X364" s="244"/>
    </row>
    <row r="365" spans="1:24">
      <c r="A365" s="416"/>
      <c r="B365" s="417"/>
      <c r="C365" s="417"/>
      <c r="D365" s="417"/>
      <c r="E365" s="417"/>
      <c r="F365" s="417"/>
      <c r="T365" s="244"/>
      <c r="V365" s="244"/>
      <c r="W365" s="244"/>
      <c r="X365" s="244"/>
    </row>
    <row r="366" spans="1:24">
      <c r="A366" s="416"/>
      <c r="B366" s="417"/>
      <c r="C366" s="417"/>
      <c r="D366" s="417"/>
      <c r="E366" s="417"/>
      <c r="F366" s="417"/>
      <c r="T366" s="244"/>
      <c r="V366" s="244"/>
      <c r="W366" s="244"/>
      <c r="X366" s="244"/>
    </row>
    <row r="367" spans="1:24">
      <c r="A367" s="416"/>
      <c r="B367" s="417"/>
      <c r="C367" s="417"/>
      <c r="D367" s="417"/>
      <c r="E367" s="417"/>
      <c r="F367" s="417"/>
      <c r="T367" s="244"/>
      <c r="V367" s="244"/>
      <c r="W367" s="244"/>
      <c r="X367" s="244"/>
    </row>
    <row r="368" spans="1:24">
      <c r="A368" s="416"/>
      <c r="B368" s="417"/>
      <c r="C368" s="417"/>
      <c r="D368" s="417"/>
      <c r="E368" s="417"/>
      <c r="F368" s="417"/>
      <c r="T368" s="244"/>
      <c r="V368" s="244"/>
      <c r="W368" s="244"/>
      <c r="X368" s="244"/>
    </row>
    <row r="369" spans="1:24">
      <c r="A369" s="416"/>
      <c r="B369" s="417"/>
      <c r="C369" s="417"/>
      <c r="D369" s="417"/>
      <c r="E369" s="417"/>
      <c r="F369" s="417"/>
      <c r="T369" s="244"/>
      <c r="V369" s="244"/>
      <c r="W369" s="244"/>
      <c r="X369" s="244"/>
    </row>
    <row r="370" spans="1:24">
      <c r="A370" s="416"/>
      <c r="B370" s="417"/>
      <c r="C370" s="417"/>
      <c r="D370" s="417"/>
      <c r="E370" s="417"/>
      <c r="F370" s="417"/>
      <c r="T370" s="244"/>
      <c r="V370" s="244"/>
      <c r="W370" s="244"/>
      <c r="X370" s="244"/>
    </row>
    <row r="371" spans="1:24">
      <c r="A371" s="416"/>
      <c r="B371" s="417"/>
      <c r="C371" s="417"/>
      <c r="D371" s="417"/>
      <c r="E371" s="417"/>
      <c r="F371" s="417"/>
      <c r="T371" s="244"/>
      <c r="V371" s="244"/>
      <c r="W371" s="244"/>
      <c r="X371" s="244"/>
    </row>
    <row r="372" spans="1:24">
      <c r="A372" s="416"/>
      <c r="B372" s="417"/>
      <c r="C372" s="417"/>
      <c r="D372" s="417"/>
      <c r="E372" s="417"/>
      <c r="F372" s="417"/>
      <c r="T372" s="244"/>
      <c r="V372" s="244"/>
      <c r="W372" s="244"/>
      <c r="X372" s="244"/>
    </row>
    <row r="373" spans="1:24">
      <c r="A373" s="416"/>
      <c r="B373" s="417"/>
      <c r="C373" s="417"/>
      <c r="D373" s="417"/>
      <c r="E373" s="417"/>
      <c r="F373" s="417"/>
      <c r="T373" s="244"/>
      <c r="V373" s="244"/>
      <c r="W373" s="244"/>
      <c r="X373" s="244"/>
    </row>
    <row r="374" spans="1:24">
      <c r="A374" s="416"/>
      <c r="B374" s="417"/>
      <c r="C374" s="417"/>
      <c r="D374" s="417"/>
      <c r="E374" s="417"/>
      <c r="F374" s="417"/>
    </row>
    <row r="375" spans="1:24">
      <c r="A375" s="416"/>
      <c r="B375" s="417"/>
      <c r="C375" s="417"/>
      <c r="D375" s="417"/>
      <c r="E375" s="417"/>
      <c r="F375" s="417"/>
    </row>
    <row r="376" spans="1:24">
      <c r="A376" s="416"/>
      <c r="B376" s="417"/>
      <c r="C376" s="417"/>
      <c r="D376" s="417"/>
      <c r="E376" s="417"/>
      <c r="F376" s="417"/>
    </row>
    <row r="377" spans="1:24">
      <c r="A377" s="416"/>
      <c r="B377" s="417"/>
      <c r="C377" s="417"/>
      <c r="D377" s="417"/>
      <c r="E377" s="417"/>
      <c r="F377" s="417"/>
    </row>
    <row r="378" spans="1:24">
      <c r="A378" s="416"/>
      <c r="B378" s="417"/>
      <c r="C378" s="417"/>
      <c r="D378" s="417"/>
      <c r="E378" s="417"/>
      <c r="F378" s="417"/>
    </row>
    <row r="379" spans="1:24">
      <c r="A379" s="416"/>
      <c r="B379" s="417"/>
      <c r="C379" s="417"/>
      <c r="D379" s="417"/>
      <c r="E379" s="417"/>
      <c r="F379" s="417"/>
    </row>
    <row r="380" spans="1:24">
      <c r="A380" s="416"/>
      <c r="B380" s="417"/>
      <c r="C380" s="417"/>
      <c r="D380" s="417"/>
      <c r="E380" s="417"/>
      <c r="F380" s="417"/>
    </row>
    <row r="381" spans="1:24">
      <c r="A381" s="416"/>
      <c r="B381" s="417"/>
      <c r="C381" s="417"/>
      <c r="D381" s="417"/>
      <c r="E381" s="417"/>
      <c r="F381" s="417"/>
    </row>
    <row r="382" spans="1:24">
      <c r="A382" s="416"/>
      <c r="B382" s="417"/>
      <c r="C382" s="417"/>
      <c r="D382" s="417"/>
      <c r="E382" s="417"/>
      <c r="F382" s="417"/>
    </row>
    <row r="383" spans="1:24">
      <c r="A383" s="416"/>
      <c r="B383" s="417"/>
      <c r="C383" s="417"/>
      <c r="D383" s="417"/>
      <c r="E383" s="417"/>
      <c r="F383" s="417"/>
    </row>
    <row r="384" spans="1:24">
      <c r="A384" s="416"/>
      <c r="B384" s="417"/>
      <c r="C384" s="417"/>
      <c r="D384" s="417"/>
      <c r="E384" s="417"/>
      <c r="F384" s="417"/>
    </row>
    <row r="385" spans="1:6">
      <c r="A385" s="416"/>
      <c r="B385" s="417"/>
      <c r="C385" s="417"/>
      <c r="D385" s="417"/>
      <c r="E385" s="417"/>
      <c r="F385" s="417"/>
    </row>
    <row r="386" spans="1:6">
      <c r="A386" s="416"/>
      <c r="B386" s="417"/>
      <c r="C386" s="417"/>
      <c r="D386" s="417"/>
      <c r="E386" s="417"/>
      <c r="F386" s="417"/>
    </row>
    <row r="387" spans="1:6">
      <c r="A387" s="416"/>
      <c r="B387" s="417"/>
      <c r="C387" s="417"/>
      <c r="D387" s="417"/>
      <c r="E387" s="417"/>
      <c r="F387" s="417"/>
    </row>
    <row r="388" spans="1:6">
      <c r="A388" s="416"/>
      <c r="B388" s="417"/>
      <c r="C388" s="417"/>
      <c r="D388" s="417"/>
      <c r="E388" s="417"/>
      <c r="F388" s="417"/>
    </row>
    <row r="389" spans="1:6">
      <c r="A389" s="416"/>
      <c r="B389" s="417"/>
      <c r="C389" s="417"/>
      <c r="D389" s="417"/>
      <c r="E389" s="417"/>
      <c r="F389" s="417"/>
    </row>
    <row r="390" spans="1:6">
      <c r="A390" s="416"/>
      <c r="B390" s="417"/>
      <c r="C390" s="417"/>
      <c r="D390" s="417"/>
      <c r="E390" s="417"/>
      <c r="F390" s="417"/>
    </row>
    <row r="391" spans="1:6">
      <c r="A391" s="416"/>
      <c r="B391" s="417"/>
      <c r="C391" s="417"/>
      <c r="D391" s="417"/>
      <c r="E391" s="417"/>
      <c r="F391" s="417"/>
    </row>
    <row r="392" spans="1:6">
      <c r="A392" s="416"/>
      <c r="B392" s="417"/>
      <c r="C392" s="417"/>
      <c r="D392" s="417"/>
      <c r="E392" s="417"/>
      <c r="F392" s="417"/>
    </row>
    <row r="393" spans="1:6">
      <c r="A393" s="416"/>
      <c r="B393" s="417"/>
      <c r="C393" s="417"/>
      <c r="D393" s="417"/>
      <c r="E393" s="417"/>
      <c r="F393" s="417"/>
    </row>
    <row r="394" spans="1:6">
      <c r="A394" s="416"/>
      <c r="B394" s="417"/>
      <c r="C394" s="417"/>
      <c r="D394" s="417"/>
      <c r="E394" s="417"/>
      <c r="F394" s="417"/>
    </row>
    <row r="395" spans="1:6">
      <c r="A395" s="416"/>
      <c r="B395" s="417"/>
      <c r="C395" s="417"/>
      <c r="D395" s="417"/>
      <c r="E395" s="417"/>
      <c r="F395" s="417"/>
    </row>
    <row r="396" spans="1:6">
      <c r="A396" s="416"/>
      <c r="B396" s="417"/>
      <c r="C396" s="417"/>
      <c r="D396" s="417"/>
      <c r="E396" s="417"/>
      <c r="F396" s="417"/>
    </row>
    <row r="397" spans="1:6">
      <c r="A397" s="416"/>
      <c r="B397" s="417"/>
      <c r="C397" s="417"/>
      <c r="D397" s="417"/>
      <c r="E397" s="417"/>
      <c r="F397" s="417"/>
    </row>
    <row r="398" spans="1:6">
      <c r="A398" s="416"/>
      <c r="B398" s="417"/>
      <c r="C398" s="417"/>
      <c r="D398" s="417"/>
      <c r="E398" s="417"/>
      <c r="F398" s="417"/>
    </row>
    <row r="399" spans="1:6">
      <c r="A399" s="416"/>
      <c r="B399" s="417"/>
      <c r="C399" s="417"/>
      <c r="D399" s="417"/>
      <c r="E399" s="417"/>
      <c r="F399" s="417"/>
    </row>
    <row r="400" spans="1:6">
      <c r="A400" s="416"/>
      <c r="B400" s="417"/>
      <c r="C400" s="417"/>
      <c r="D400" s="417"/>
      <c r="E400" s="417"/>
      <c r="F400" s="417"/>
    </row>
    <row r="401" spans="1:6">
      <c r="A401" s="416"/>
      <c r="B401" s="417"/>
      <c r="C401" s="417"/>
      <c r="D401" s="417"/>
      <c r="E401" s="417"/>
      <c r="F401" s="417"/>
    </row>
    <row r="402" spans="1:6">
      <c r="A402" s="416"/>
      <c r="B402" s="417"/>
      <c r="C402" s="417"/>
      <c r="D402" s="417"/>
      <c r="E402" s="417"/>
      <c r="F402" s="417"/>
    </row>
    <row r="403" spans="1:6">
      <c r="A403" s="416"/>
      <c r="B403" s="417"/>
      <c r="C403" s="417"/>
      <c r="D403" s="417"/>
      <c r="E403" s="417"/>
      <c r="F403" s="417"/>
    </row>
    <row r="404" spans="1:6">
      <c r="A404" s="416"/>
      <c r="B404" s="417"/>
      <c r="C404" s="417"/>
      <c r="D404" s="417"/>
      <c r="E404" s="417"/>
      <c r="F404" s="417"/>
    </row>
    <row r="405" spans="1:6">
      <c r="A405" s="416"/>
      <c r="B405" s="417"/>
      <c r="C405" s="417"/>
      <c r="D405" s="417"/>
      <c r="E405" s="417"/>
      <c r="F405" s="417"/>
    </row>
    <row r="406" spans="1:6">
      <c r="A406" s="416"/>
      <c r="B406" s="417"/>
      <c r="C406" s="417"/>
      <c r="D406" s="417"/>
      <c r="E406" s="417"/>
      <c r="F406" s="417"/>
    </row>
    <row r="407" spans="1:6">
      <c r="A407" s="416"/>
      <c r="B407" s="417"/>
      <c r="C407" s="417"/>
      <c r="D407" s="417"/>
      <c r="E407" s="417"/>
      <c r="F407" s="417"/>
    </row>
    <row r="408" spans="1:6">
      <c r="A408" s="416"/>
      <c r="B408" s="417"/>
      <c r="C408" s="417"/>
      <c r="D408" s="417"/>
      <c r="E408" s="417"/>
      <c r="F408" s="417"/>
    </row>
    <row r="409" spans="1:6">
      <c r="A409" s="416"/>
      <c r="B409" s="417"/>
      <c r="C409" s="417"/>
      <c r="D409" s="417"/>
      <c r="E409" s="417"/>
      <c r="F409" s="417"/>
    </row>
    <row r="410" spans="1:6">
      <c r="A410" s="416"/>
      <c r="B410" s="417"/>
      <c r="C410" s="417"/>
      <c r="D410" s="417"/>
      <c r="E410" s="417"/>
      <c r="F410" s="417"/>
    </row>
    <row r="411" spans="1:6">
      <c r="A411" s="416"/>
      <c r="B411" s="417"/>
      <c r="C411" s="417"/>
      <c r="D411" s="417"/>
      <c r="E411" s="417"/>
      <c r="F411" s="417"/>
    </row>
    <row r="412" spans="1:6">
      <c r="A412" s="416"/>
      <c r="B412" s="417"/>
      <c r="C412" s="417"/>
      <c r="D412" s="417"/>
      <c r="E412" s="417"/>
      <c r="F412" s="417"/>
    </row>
    <row r="413" spans="1:6">
      <c r="A413" s="416"/>
      <c r="B413" s="417"/>
      <c r="C413" s="417"/>
      <c r="D413" s="417"/>
      <c r="E413" s="417"/>
      <c r="F413" s="417"/>
    </row>
    <row r="414" spans="1:6">
      <c r="A414" s="416"/>
      <c r="B414" s="417"/>
      <c r="C414" s="417"/>
      <c r="D414" s="417"/>
      <c r="E414" s="417"/>
      <c r="F414" s="417"/>
    </row>
    <row r="415" spans="1:6">
      <c r="A415" s="416"/>
      <c r="B415" s="417"/>
      <c r="C415" s="417"/>
      <c r="D415" s="417"/>
      <c r="E415" s="417"/>
      <c r="F415" s="417"/>
    </row>
    <row r="416" spans="1:6">
      <c r="A416" s="416"/>
      <c r="B416" s="417"/>
      <c r="C416" s="417"/>
      <c r="D416" s="417"/>
      <c r="E416" s="417"/>
      <c r="F416" s="417"/>
    </row>
    <row r="417" spans="1:6">
      <c r="A417" s="416"/>
      <c r="B417" s="417"/>
      <c r="C417" s="417"/>
      <c r="D417" s="417"/>
      <c r="E417" s="417"/>
      <c r="F417" s="417"/>
    </row>
    <row r="418" spans="1:6">
      <c r="A418" s="416"/>
      <c r="B418" s="417"/>
      <c r="C418" s="417"/>
      <c r="D418" s="417"/>
      <c r="E418" s="417"/>
      <c r="F418" s="417"/>
    </row>
    <row r="419" spans="1:6">
      <c r="A419" s="416"/>
      <c r="B419" s="417"/>
      <c r="C419" s="417"/>
      <c r="D419" s="417"/>
      <c r="E419" s="417"/>
      <c r="F419" s="417"/>
    </row>
    <row r="420" spans="1:6">
      <c r="A420" s="416"/>
      <c r="B420" s="417"/>
      <c r="C420" s="417"/>
      <c r="D420" s="417"/>
      <c r="E420" s="417"/>
      <c r="F420" s="417"/>
    </row>
    <row r="421" spans="1:6">
      <c r="A421" s="416"/>
      <c r="B421" s="417"/>
      <c r="C421" s="417"/>
      <c r="D421" s="417"/>
      <c r="E421" s="417"/>
      <c r="F421" s="417"/>
    </row>
    <row r="422" spans="1:6">
      <c r="A422" s="416"/>
      <c r="B422" s="417"/>
      <c r="C422" s="417"/>
      <c r="D422" s="417"/>
      <c r="E422" s="417"/>
      <c r="F422" s="417"/>
    </row>
    <row r="423" spans="1:6">
      <c r="A423" s="416"/>
      <c r="B423" s="417"/>
      <c r="C423" s="417"/>
      <c r="D423" s="417"/>
      <c r="E423" s="417"/>
      <c r="F423" s="417"/>
    </row>
    <row r="424" spans="1:6">
      <c r="A424" s="416"/>
      <c r="B424" s="417"/>
      <c r="C424" s="417"/>
      <c r="D424" s="417"/>
      <c r="E424" s="417"/>
      <c r="F424" s="417"/>
    </row>
    <row r="425" spans="1:6">
      <c r="A425" s="416"/>
      <c r="B425" s="417"/>
      <c r="C425" s="417"/>
      <c r="D425" s="417"/>
      <c r="E425" s="417"/>
      <c r="F425" s="417"/>
    </row>
    <row r="426" spans="1:6">
      <c r="A426" s="416"/>
      <c r="B426" s="417"/>
      <c r="C426" s="417"/>
      <c r="D426" s="417"/>
      <c r="E426" s="417"/>
      <c r="F426" s="417"/>
    </row>
    <row r="427" spans="1:6">
      <c r="A427" s="416"/>
      <c r="B427" s="417"/>
      <c r="C427" s="417"/>
      <c r="D427" s="417"/>
      <c r="E427" s="417"/>
      <c r="F427" s="417"/>
    </row>
    <row r="428" spans="1:6">
      <c r="A428" s="416"/>
      <c r="B428" s="417"/>
      <c r="C428" s="417"/>
      <c r="D428" s="417"/>
      <c r="E428" s="417"/>
      <c r="F428" s="417"/>
    </row>
    <row r="429" spans="1:6">
      <c r="A429" s="416"/>
      <c r="B429" s="417"/>
      <c r="C429" s="417"/>
      <c r="D429" s="417"/>
      <c r="E429" s="417"/>
      <c r="F429" s="417"/>
    </row>
    <row r="430" spans="1:6">
      <c r="A430" s="416"/>
      <c r="B430" s="417"/>
      <c r="C430" s="417"/>
      <c r="D430" s="417"/>
      <c r="E430" s="417"/>
      <c r="F430" s="417"/>
    </row>
    <row r="431" spans="1:6">
      <c r="A431" s="416"/>
      <c r="B431" s="417"/>
      <c r="C431" s="417"/>
      <c r="D431" s="417"/>
      <c r="E431" s="417"/>
      <c r="F431" s="417"/>
    </row>
    <row r="432" spans="1:6">
      <c r="A432" s="416"/>
      <c r="B432" s="417"/>
      <c r="C432" s="417"/>
      <c r="D432" s="417"/>
      <c r="E432" s="417"/>
      <c r="F432" s="417"/>
    </row>
    <row r="433" spans="1:6">
      <c r="A433" s="416"/>
      <c r="B433" s="417"/>
      <c r="C433" s="417"/>
      <c r="D433" s="417"/>
      <c r="E433" s="417"/>
      <c r="F433" s="417"/>
    </row>
    <row r="434" spans="1:6">
      <c r="A434" s="416"/>
      <c r="B434" s="417"/>
      <c r="C434" s="417"/>
      <c r="D434" s="417"/>
      <c r="E434" s="417"/>
      <c r="F434" s="417"/>
    </row>
    <row r="435" spans="1:6">
      <c r="A435" s="416"/>
      <c r="B435" s="417"/>
      <c r="C435" s="417"/>
      <c r="D435" s="417"/>
      <c r="E435" s="417"/>
      <c r="F435" s="417"/>
    </row>
    <row r="436" spans="1:6">
      <c r="A436" s="416"/>
      <c r="B436" s="417"/>
      <c r="C436" s="417"/>
      <c r="D436" s="417"/>
      <c r="E436" s="417"/>
      <c r="F436" s="417"/>
    </row>
    <row r="437" spans="1:6">
      <c r="A437" s="416"/>
      <c r="B437" s="417"/>
      <c r="C437" s="417"/>
      <c r="D437" s="417"/>
      <c r="E437" s="417"/>
      <c r="F437" s="417"/>
    </row>
    <row r="438" spans="1:6">
      <c r="A438" s="416"/>
      <c r="B438" s="417"/>
      <c r="C438" s="417"/>
      <c r="D438" s="417"/>
      <c r="E438" s="417"/>
      <c r="F438" s="417"/>
    </row>
    <row r="439" spans="1:6">
      <c r="A439" s="416"/>
      <c r="B439" s="417"/>
      <c r="C439" s="417"/>
      <c r="D439" s="417"/>
      <c r="E439" s="417"/>
      <c r="F439" s="417"/>
    </row>
    <row r="440" spans="1:6">
      <c r="A440" s="416"/>
      <c r="B440" s="417"/>
      <c r="C440" s="417"/>
      <c r="D440" s="417"/>
      <c r="E440" s="417"/>
      <c r="F440" s="417"/>
    </row>
    <row r="441" spans="1:6">
      <c r="A441" s="416"/>
      <c r="B441" s="417"/>
      <c r="C441" s="417"/>
      <c r="D441" s="417"/>
      <c r="E441" s="417"/>
      <c r="F441" s="417"/>
    </row>
    <row r="442" spans="1:6">
      <c r="A442" s="416"/>
      <c r="B442" s="417"/>
      <c r="C442" s="417"/>
      <c r="D442" s="417"/>
      <c r="E442" s="417"/>
      <c r="F442" s="417"/>
    </row>
    <row r="443" spans="1:6">
      <c r="A443" s="416"/>
      <c r="B443" s="417"/>
      <c r="C443" s="417"/>
      <c r="D443" s="417"/>
      <c r="E443" s="417"/>
      <c r="F443" s="417"/>
    </row>
    <row r="444" spans="1:6">
      <c r="A444" s="416"/>
      <c r="B444" s="417"/>
      <c r="C444" s="417"/>
      <c r="D444" s="417"/>
      <c r="E444" s="417"/>
      <c r="F444" s="417"/>
    </row>
    <row r="445" spans="1:6">
      <c r="A445" s="416"/>
      <c r="B445" s="417"/>
      <c r="C445" s="417"/>
      <c r="D445" s="417"/>
      <c r="E445" s="417"/>
      <c r="F445" s="417"/>
    </row>
    <row r="446" spans="1:6">
      <c r="A446" s="416"/>
      <c r="B446" s="417"/>
      <c r="C446" s="417"/>
      <c r="D446" s="417"/>
      <c r="E446" s="417"/>
      <c r="F446" s="417"/>
    </row>
    <row r="447" spans="1:6">
      <c r="A447" s="416"/>
      <c r="B447" s="417"/>
      <c r="C447" s="417"/>
      <c r="D447" s="417"/>
      <c r="E447" s="417"/>
      <c r="F447" s="417"/>
    </row>
    <row r="448" spans="1:6">
      <c r="A448" s="416"/>
      <c r="B448" s="417"/>
      <c r="C448" s="417"/>
      <c r="D448" s="417"/>
      <c r="E448" s="417"/>
      <c r="F448" s="417"/>
    </row>
    <row r="449" spans="1:6">
      <c r="A449" s="416"/>
      <c r="B449" s="417"/>
      <c r="C449" s="417"/>
      <c r="D449" s="417"/>
      <c r="E449" s="417"/>
      <c r="F449" s="417"/>
    </row>
    <row r="450" spans="1:6">
      <c r="A450" s="416"/>
      <c r="B450" s="417"/>
      <c r="C450" s="417"/>
      <c r="D450" s="417"/>
      <c r="E450" s="417"/>
      <c r="F450" s="417"/>
    </row>
    <row r="451" spans="1:6">
      <c r="A451" s="416"/>
      <c r="B451" s="417"/>
      <c r="C451" s="417"/>
      <c r="D451" s="417"/>
      <c r="E451" s="417"/>
      <c r="F451" s="417"/>
    </row>
    <row r="452" spans="1:6">
      <c r="A452" s="416"/>
      <c r="B452" s="417"/>
      <c r="C452" s="417"/>
      <c r="D452" s="417"/>
      <c r="E452" s="417"/>
      <c r="F452" s="417"/>
    </row>
    <row r="453" spans="1:6">
      <c r="A453" s="416"/>
      <c r="B453" s="417"/>
      <c r="C453" s="417"/>
      <c r="D453" s="417"/>
      <c r="E453" s="417"/>
      <c r="F453" s="417"/>
    </row>
    <row r="454" spans="1:6">
      <c r="A454" s="416"/>
      <c r="B454" s="417"/>
      <c r="C454" s="417"/>
      <c r="D454" s="417"/>
      <c r="E454" s="417"/>
      <c r="F454" s="417"/>
    </row>
    <row r="455" spans="1:6">
      <c r="A455" s="416"/>
      <c r="B455" s="417"/>
      <c r="C455" s="417"/>
      <c r="D455" s="417"/>
      <c r="E455" s="417"/>
      <c r="F455" s="417"/>
    </row>
    <row r="456" spans="1:6">
      <c r="A456" s="416"/>
      <c r="B456" s="417"/>
      <c r="C456" s="417"/>
      <c r="D456" s="417"/>
      <c r="E456" s="417"/>
      <c r="F456" s="417"/>
    </row>
    <row r="457" spans="1:6">
      <c r="A457" s="416"/>
      <c r="B457" s="417"/>
      <c r="C457" s="417"/>
      <c r="D457" s="417"/>
      <c r="E457" s="417"/>
      <c r="F457" s="417"/>
    </row>
    <row r="458" spans="1:6">
      <c r="A458" s="416"/>
      <c r="B458" s="417"/>
      <c r="C458" s="417"/>
      <c r="D458" s="417"/>
      <c r="E458" s="417"/>
      <c r="F458" s="417"/>
    </row>
    <row r="459" spans="1:6">
      <c r="A459" s="416"/>
      <c r="B459" s="417"/>
      <c r="C459" s="417"/>
      <c r="D459" s="417"/>
      <c r="E459" s="417"/>
      <c r="F459" s="417"/>
    </row>
    <row r="460" spans="1:6">
      <c r="A460" s="416"/>
      <c r="B460" s="417"/>
      <c r="C460" s="417"/>
      <c r="D460" s="417"/>
      <c r="E460" s="417"/>
      <c r="F460" s="417"/>
    </row>
    <row r="461" spans="1:6">
      <c r="A461" s="416"/>
      <c r="B461" s="417"/>
      <c r="C461" s="417"/>
      <c r="D461" s="417"/>
      <c r="E461" s="417"/>
      <c r="F461" s="417"/>
    </row>
    <row r="462" spans="1:6">
      <c r="A462" s="416"/>
      <c r="B462" s="417"/>
      <c r="C462" s="417"/>
      <c r="D462" s="417"/>
      <c r="E462" s="417"/>
      <c r="F462" s="417"/>
    </row>
    <row r="463" spans="1:6">
      <c r="A463" s="416"/>
      <c r="B463" s="417"/>
      <c r="C463" s="417"/>
      <c r="D463" s="417"/>
      <c r="E463" s="417"/>
      <c r="F463" s="417"/>
    </row>
    <row r="464" spans="1:6">
      <c r="A464" s="416"/>
      <c r="B464" s="417"/>
      <c r="C464" s="417"/>
      <c r="D464" s="417"/>
      <c r="E464" s="417"/>
      <c r="F464" s="417"/>
    </row>
    <row r="465" spans="1:6">
      <c r="A465" s="416"/>
      <c r="B465" s="417"/>
      <c r="C465" s="417"/>
      <c r="D465" s="417"/>
      <c r="E465" s="417"/>
      <c r="F465" s="417"/>
    </row>
    <row r="466" spans="1:6">
      <c r="A466" s="416"/>
      <c r="B466" s="417"/>
      <c r="C466" s="417"/>
      <c r="D466" s="417"/>
      <c r="E466" s="417"/>
      <c r="F466" s="417"/>
    </row>
    <row r="467" spans="1:6">
      <c r="A467" s="416"/>
      <c r="B467" s="417"/>
      <c r="C467" s="417"/>
      <c r="D467" s="417"/>
      <c r="E467" s="417"/>
      <c r="F467" s="417"/>
    </row>
    <row r="468" spans="1:6">
      <c r="A468" s="416"/>
      <c r="B468" s="417"/>
      <c r="C468" s="417"/>
      <c r="D468" s="417"/>
      <c r="E468" s="417"/>
      <c r="F468" s="417"/>
    </row>
    <row r="469" spans="1:6">
      <c r="A469" s="416"/>
      <c r="B469" s="417"/>
      <c r="C469" s="417"/>
      <c r="D469" s="417"/>
      <c r="E469" s="417"/>
      <c r="F469" s="417"/>
    </row>
    <row r="470" spans="1:6">
      <c r="A470" s="416"/>
      <c r="B470" s="417"/>
      <c r="C470" s="417"/>
      <c r="D470" s="417"/>
      <c r="E470" s="417"/>
      <c r="F470" s="417"/>
    </row>
    <row r="471" spans="1:6">
      <c r="A471" s="416"/>
      <c r="B471" s="417"/>
      <c r="C471" s="417"/>
      <c r="D471" s="417"/>
      <c r="E471" s="417"/>
      <c r="F471" s="417"/>
    </row>
    <row r="472" spans="1:6">
      <c r="A472" s="416"/>
      <c r="B472" s="417"/>
      <c r="C472" s="417"/>
      <c r="D472" s="417"/>
      <c r="E472" s="417"/>
      <c r="F472" s="417"/>
    </row>
    <row r="473" spans="1:6">
      <c r="A473" s="416"/>
      <c r="B473" s="417"/>
      <c r="C473" s="417"/>
      <c r="D473" s="417"/>
      <c r="E473" s="417"/>
      <c r="F473" s="417"/>
    </row>
    <row r="474" spans="1:6">
      <c r="A474" s="416"/>
      <c r="B474" s="417"/>
      <c r="C474" s="417"/>
      <c r="D474" s="417"/>
      <c r="E474" s="417"/>
      <c r="F474" s="417"/>
    </row>
    <row r="475" spans="1:6">
      <c r="A475" s="416"/>
      <c r="B475" s="417"/>
      <c r="C475" s="417"/>
      <c r="D475" s="417"/>
      <c r="E475" s="417"/>
      <c r="F475" s="417"/>
    </row>
    <row r="476" spans="1:6">
      <c r="A476" s="416"/>
      <c r="B476" s="417"/>
      <c r="C476" s="417"/>
      <c r="D476" s="417"/>
      <c r="E476" s="417"/>
      <c r="F476" s="417"/>
    </row>
    <row r="477" spans="1:6">
      <c r="A477" s="416"/>
      <c r="B477" s="417"/>
      <c r="C477" s="417"/>
      <c r="D477" s="417"/>
      <c r="E477" s="417"/>
      <c r="F477" s="417"/>
    </row>
    <row r="478" spans="1:6">
      <c r="A478" s="416"/>
      <c r="B478" s="417"/>
      <c r="C478" s="417"/>
      <c r="D478" s="417"/>
      <c r="E478" s="417"/>
      <c r="F478" s="417"/>
    </row>
    <row r="479" spans="1:6">
      <c r="A479" s="416"/>
      <c r="B479" s="417"/>
      <c r="C479" s="417"/>
      <c r="D479" s="417"/>
      <c r="E479" s="417"/>
      <c r="F479" s="417"/>
    </row>
    <row r="480" spans="1:6">
      <c r="A480" s="416"/>
      <c r="B480" s="417"/>
      <c r="C480" s="417"/>
      <c r="D480" s="417"/>
      <c r="E480" s="417"/>
      <c r="F480" s="417"/>
    </row>
    <row r="481" spans="1:6">
      <c r="A481" s="416"/>
      <c r="B481" s="417"/>
      <c r="C481" s="417"/>
      <c r="D481" s="417"/>
      <c r="E481" s="417"/>
      <c r="F481" s="417"/>
    </row>
    <row r="482" spans="1:6">
      <c r="A482" s="416"/>
      <c r="B482" s="417"/>
      <c r="C482" s="417"/>
      <c r="D482" s="417"/>
      <c r="E482" s="417"/>
      <c r="F482" s="417"/>
    </row>
    <row r="483" spans="1:6">
      <c r="A483" s="416"/>
      <c r="B483" s="417"/>
      <c r="C483" s="417"/>
      <c r="D483" s="417"/>
      <c r="E483" s="417"/>
      <c r="F483" s="417"/>
    </row>
    <row r="484" spans="1:6">
      <c r="A484" s="416"/>
      <c r="B484" s="417"/>
      <c r="C484" s="417"/>
      <c r="D484" s="417"/>
      <c r="E484" s="417"/>
      <c r="F484" s="417"/>
    </row>
    <row r="485" spans="1:6">
      <c r="A485" s="416"/>
      <c r="B485" s="417"/>
      <c r="C485" s="417"/>
      <c r="D485" s="417"/>
      <c r="E485" s="417"/>
      <c r="F485" s="417"/>
    </row>
    <row r="486" spans="1:6">
      <c r="A486" s="416"/>
      <c r="B486" s="417"/>
      <c r="C486" s="417"/>
      <c r="D486" s="417"/>
      <c r="E486" s="417"/>
      <c r="F486" s="417"/>
    </row>
    <row r="487" spans="1:6">
      <c r="A487" s="416"/>
      <c r="B487" s="417"/>
      <c r="C487" s="417"/>
      <c r="D487" s="417"/>
      <c r="E487" s="417"/>
      <c r="F487" s="417"/>
    </row>
    <row r="488" spans="1:6">
      <c r="A488" s="416"/>
      <c r="B488" s="417"/>
      <c r="C488" s="417"/>
      <c r="D488" s="417"/>
      <c r="E488" s="417"/>
      <c r="F488" s="417"/>
    </row>
    <row r="489" spans="1:6">
      <c r="A489" s="416"/>
      <c r="B489" s="417"/>
      <c r="C489" s="417"/>
      <c r="D489" s="417"/>
      <c r="E489" s="417"/>
      <c r="F489" s="417"/>
    </row>
    <row r="490" spans="1:6">
      <c r="A490" s="416"/>
      <c r="B490" s="417"/>
      <c r="C490" s="417"/>
      <c r="D490" s="417"/>
      <c r="E490" s="417"/>
      <c r="F490" s="417"/>
    </row>
    <row r="491" spans="1:6">
      <c r="A491" s="416"/>
      <c r="B491" s="417"/>
      <c r="C491" s="417"/>
      <c r="D491" s="417"/>
      <c r="E491" s="417"/>
      <c r="F491" s="417"/>
    </row>
    <row r="492" spans="1:6">
      <c r="A492" s="416"/>
      <c r="B492" s="417"/>
      <c r="C492" s="417"/>
      <c r="D492" s="417"/>
      <c r="E492" s="417"/>
      <c r="F492" s="417"/>
    </row>
    <row r="493" spans="1:6">
      <c r="A493" s="416"/>
      <c r="B493" s="417"/>
      <c r="C493" s="417"/>
      <c r="D493" s="417"/>
      <c r="E493" s="417"/>
      <c r="F493" s="417"/>
    </row>
    <row r="494" spans="1:6">
      <c r="A494" s="416"/>
      <c r="B494" s="417"/>
      <c r="C494" s="417"/>
      <c r="D494" s="417"/>
      <c r="E494" s="417"/>
      <c r="F494" s="417"/>
    </row>
    <row r="495" spans="1:6">
      <c r="A495" s="416"/>
      <c r="B495" s="417"/>
      <c r="C495" s="417"/>
      <c r="D495" s="417"/>
      <c r="E495" s="417"/>
      <c r="F495" s="417"/>
    </row>
    <row r="496" spans="1:6">
      <c r="A496" s="416"/>
      <c r="B496" s="417"/>
      <c r="C496" s="417"/>
      <c r="D496" s="417"/>
      <c r="E496" s="417"/>
      <c r="F496" s="417"/>
    </row>
    <row r="497" spans="1:6">
      <c r="A497" s="416"/>
      <c r="B497" s="417"/>
      <c r="C497" s="417"/>
      <c r="D497" s="417"/>
      <c r="E497" s="417"/>
      <c r="F497" s="417"/>
    </row>
    <row r="498" spans="1:6">
      <c r="A498" s="416"/>
      <c r="B498" s="417"/>
      <c r="C498" s="417"/>
      <c r="D498" s="417"/>
      <c r="E498" s="417"/>
      <c r="F498" s="417"/>
    </row>
    <row r="499" spans="1:6">
      <c r="A499" s="416"/>
      <c r="B499" s="417"/>
      <c r="C499" s="417"/>
      <c r="D499" s="417"/>
      <c r="E499" s="417"/>
      <c r="F499" s="417"/>
    </row>
    <row r="500" spans="1:6">
      <c r="A500" s="416"/>
      <c r="B500" s="417"/>
      <c r="C500" s="417"/>
      <c r="D500" s="417"/>
      <c r="E500" s="417"/>
      <c r="F500" s="417"/>
    </row>
    <row r="501" spans="1:6">
      <c r="A501" s="416"/>
      <c r="B501" s="417"/>
      <c r="C501" s="417"/>
      <c r="D501" s="417"/>
      <c r="E501" s="417"/>
      <c r="F501" s="417"/>
    </row>
    <row r="502" spans="1:6">
      <c r="A502" s="416"/>
      <c r="B502" s="417"/>
      <c r="C502" s="417"/>
      <c r="D502" s="417"/>
      <c r="E502" s="417"/>
      <c r="F502" s="417"/>
    </row>
    <row r="503" spans="1:6">
      <c r="A503" s="416"/>
      <c r="B503" s="417"/>
      <c r="C503" s="417"/>
      <c r="D503" s="417"/>
      <c r="E503" s="417"/>
      <c r="F503" s="417"/>
    </row>
    <row r="504" spans="1:6">
      <c r="A504" s="416"/>
      <c r="B504" s="417"/>
      <c r="C504" s="417"/>
      <c r="D504" s="417"/>
      <c r="E504" s="417"/>
      <c r="F504" s="417"/>
    </row>
    <row r="505" spans="1:6">
      <c r="A505" s="416"/>
      <c r="B505" s="417"/>
      <c r="C505" s="417"/>
      <c r="D505" s="417"/>
      <c r="E505" s="417"/>
      <c r="F505" s="417"/>
    </row>
    <row r="506" spans="1:6">
      <c r="A506" s="416"/>
      <c r="B506" s="417"/>
      <c r="C506" s="417"/>
      <c r="D506" s="417"/>
      <c r="E506" s="417"/>
      <c r="F506" s="417"/>
    </row>
    <row r="507" spans="1:6">
      <c r="A507" s="416"/>
      <c r="B507" s="417"/>
      <c r="C507" s="417"/>
      <c r="D507" s="417"/>
      <c r="E507" s="417"/>
      <c r="F507" s="417"/>
    </row>
    <row r="508" spans="1:6">
      <c r="A508" s="416"/>
      <c r="B508" s="417"/>
      <c r="C508" s="417"/>
      <c r="D508" s="417"/>
      <c r="E508" s="417"/>
      <c r="F508" s="417"/>
    </row>
    <row r="509" spans="1:6">
      <c r="A509" s="416"/>
      <c r="B509" s="417"/>
      <c r="C509" s="417"/>
      <c r="D509" s="417"/>
      <c r="E509" s="417"/>
      <c r="F509" s="417"/>
    </row>
    <row r="510" spans="1:6">
      <c r="A510" s="416"/>
      <c r="B510" s="417"/>
      <c r="C510" s="417"/>
      <c r="D510" s="417"/>
      <c r="E510" s="417"/>
      <c r="F510" s="417"/>
    </row>
    <row r="511" spans="1:6">
      <c r="A511" s="416"/>
      <c r="B511" s="417"/>
      <c r="C511" s="417"/>
      <c r="D511" s="417"/>
      <c r="E511" s="417"/>
      <c r="F511" s="417"/>
    </row>
    <row r="512" spans="1:6">
      <c r="A512" s="416"/>
      <c r="B512" s="417"/>
      <c r="C512" s="417"/>
      <c r="D512" s="417"/>
      <c r="E512" s="417"/>
      <c r="F512" s="417"/>
    </row>
    <row r="513" spans="1:6">
      <c r="A513" s="416"/>
      <c r="B513" s="417"/>
      <c r="C513" s="417"/>
      <c r="D513" s="417"/>
      <c r="E513" s="417"/>
      <c r="F513" s="417"/>
    </row>
    <row r="514" spans="1:6">
      <c r="A514" s="416"/>
      <c r="B514" s="417"/>
      <c r="C514" s="417"/>
      <c r="D514" s="417"/>
      <c r="E514" s="417"/>
      <c r="F514" s="417"/>
    </row>
    <row r="515" spans="1:6">
      <c r="A515" s="416"/>
      <c r="B515" s="417"/>
      <c r="C515" s="417"/>
      <c r="D515" s="417"/>
      <c r="E515" s="417"/>
      <c r="F515" s="417"/>
    </row>
    <row r="516" spans="1:6">
      <c r="A516" s="416"/>
      <c r="B516" s="417"/>
      <c r="C516" s="417"/>
      <c r="D516" s="417"/>
      <c r="E516" s="417"/>
      <c r="F516" s="417"/>
    </row>
    <row r="517" spans="1:6">
      <c r="A517" s="416"/>
      <c r="B517" s="417"/>
      <c r="C517" s="417"/>
      <c r="D517" s="417"/>
      <c r="E517" s="417"/>
      <c r="F517" s="417"/>
    </row>
    <row r="518" spans="1:6">
      <c r="A518" s="416"/>
      <c r="B518" s="417"/>
      <c r="C518" s="417"/>
      <c r="D518" s="417"/>
      <c r="E518" s="417"/>
      <c r="F518" s="417"/>
    </row>
    <row r="519" spans="1:6">
      <c r="A519" s="416"/>
      <c r="B519" s="417"/>
      <c r="C519" s="417"/>
      <c r="D519" s="417"/>
      <c r="E519" s="417"/>
      <c r="F519" s="417"/>
    </row>
    <row r="520" spans="1:6">
      <c r="A520" s="416"/>
      <c r="B520" s="417"/>
      <c r="C520" s="417"/>
      <c r="D520" s="417"/>
      <c r="E520" s="417"/>
      <c r="F520" s="417"/>
    </row>
    <row r="521" spans="1:6">
      <c r="A521" s="416"/>
      <c r="B521" s="417"/>
      <c r="C521" s="417"/>
      <c r="D521" s="417"/>
      <c r="E521" s="417"/>
      <c r="F521" s="417"/>
    </row>
    <row r="522" spans="1:6">
      <c r="A522" s="416"/>
      <c r="B522" s="417"/>
      <c r="C522" s="417"/>
      <c r="D522" s="417"/>
      <c r="E522" s="417"/>
      <c r="F522" s="417"/>
    </row>
    <row r="523" spans="1:6">
      <c r="A523" s="416"/>
      <c r="B523" s="417"/>
      <c r="C523" s="417"/>
      <c r="D523" s="417"/>
      <c r="E523" s="417"/>
      <c r="F523" s="417"/>
    </row>
    <row r="524" spans="1:6">
      <c r="A524" s="416"/>
      <c r="B524" s="417"/>
      <c r="C524" s="417"/>
      <c r="D524" s="417"/>
      <c r="E524" s="417"/>
      <c r="F524" s="417"/>
    </row>
    <row r="525" spans="1:6">
      <c r="A525" s="416"/>
      <c r="B525" s="417"/>
      <c r="C525" s="417"/>
      <c r="D525" s="417"/>
      <c r="E525" s="417"/>
      <c r="F525" s="417"/>
    </row>
    <row r="526" spans="1:6">
      <c r="A526" s="416"/>
      <c r="B526" s="417"/>
      <c r="C526" s="417"/>
      <c r="D526" s="417"/>
      <c r="E526" s="417"/>
      <c r="F526" s="417"/>
    </row>
    <row r="527" spans="1:6">
      <c r="A527" s="416"/>
      <c r="B527" s="417"/>
      <c r="C527" s="417"/>
      <c r="D527" s="417"/>
      <c r="E527" s="417"/>
      <c r="F527" s="417"/>
    </row>
    <row r="528" spans="1:6">
      <c r="A528" s="416"/>
      <c r="B528" s="417"/>
      <c r="C528" s="417"/>
      <c r="D528" s="417"/>
      <c r="E528" s="417"/>
      <c r="F528" s="417"/>
    </row>
    <row r="529" spans="1:6">
      <c r="A529" s="416"/>
      <c r="B529" s="417"/>
      <c r="C529" s="417"/>
      <c r="D529" s="417"/>
      <c r="E529" s="417"/>
      <c r="F529" s="417"/>
    </row>
    <row r="530" spans="1:6">
      <c r="A530" s="416"/>
      <c r="B530" s="417"/>
      <c r="C530" s="417"/>
      <c r="D530" s="417"/>
      <c r="E530" s="417"/>
      <c r="F530" s="417"/>
    </row>
    <row r="531" spans="1:6">
      <c r="A531" s="416"/>
      <c r="B531" s="417"/>
      <c r="C531" s="417"/>
      <c r="D531" s="417"/>
      <c r="E531" s="417"/>
      <c r="F531" s="417"/>
    </row>
    <row r="532" spans="1:6">
      <c r="A532" s="416"/>
      <c r="B532" s="417"/>
      <c r="C532" s="417"/>
      <c r="D532" s="417"/>
      <c r="E532" s="417"/>
      <c r="F532" s="417"/>
    </row>
    <row r="533" spans="1:6">
      <c r="A533" s="416"/>
      <c r="B533" s="417"/>
      <c r="C533" s="417"/>
      <c r="D533" s="417"/>
      <c r="E533" s="417"/>
      <c r="F533" s="417"/>
    </row>
    <row r="534" spans="1:6">
      <c r="A534" s="416"/>
      <c r="B534" s="417"/>
      <c r="C534" s="417"/>
      <c r="D534" s="417"/>
      <c r="E534" s="417"/>
      <c r="F534" s="417"/>
    </row>
    <row r="535" spans="1:6">
      <c r="A535" s="416"/>
      <c r="B535" s="417"/>
      <c r="C535" s="417"/>
      <c r="D535" s="417"/>
      <c r="E535" s="417"/>
      <c r="F535" s="417"/>
    </row>
    <row r="536" spans="1:6">
      <c r="A536" s="416"/>
      <c r="B536" s="417"/>
      <c r="C536" s="417"/>
      <c r="D536" s="417"/>
      <c r="E536" s="417"/>
      <c r="F536" s="417"/>
    </row>
    <row r="537" spans="1:6">
      <c r="A537" s="416"/>
      <c r="B537" s="417"/>
      <c r="C537" s="417"/>
      <c r="D537" s="417"/>
      <c r="E537" s="417"/>
      <c r="F537" s="417"/>
    </row>
    <row r="538" spans="1:6">
      <c r="A538" s="416"/>
      <c r="B538" s="417"/>
      <c r="C538" s="417"/>
      <c r="D538" s="417"/>
      <c r="E538" s="417"/>
      <c r="F538" s="417"/>
    </row>
    <row r="539" spans="1:6">
      <c r="A539" s="416"/>
      <c r="B539" s="417"/>
      <c r="C539" s="417"/>
      <c r="D539" s="417"/>
      <c r="E539" s="417"/>
      <c r="F539" s="417"/>
    </row>
    <row r="540" spans="1:6">
      <c r="A540" s="416"/>
      <c r="B540" s="417"/>
      <c r="C540" s="417"/>
      <c r="D540" s="417"/>
      <c r="E540" s="417"/>
      <c r="F540" s="417"/>
    </row>
    <row r="541" spans="1:6">
      <c r="A541" s="416"/>
      <c r="B541" s="417"/>
      <c r="C541" s="417"/>
      <c r="D541" s="417"/>
      <c r="E541" s="417"/>
      <c r="F541" s="417"/>
    </row>
    <row r="542" spans="1:6">
      <c r="A542" s="416"/>
      <c r="B542" s="417"/>
      <c r="C542" s="417"/>
      <c r="D542" s="417"/>
      <c r="E542" s="417"/>
      <c r="F542" s="417"/>
    </row>
    <row r="543" spans="1:6">
      <c r="A543" s="416"/>
      <c r="B543" s="417"/>
      <c r="C543" s="417"/>
      <c r="D543" s="417"/>
      <c r="E543" s="417"/>
      <c r="F543" s="417"/>
    </row>
    <row r="544" spans="1:6">
      <c r="A544" s="416"/>
      <c r="B544" s="417"/>
      <c r="C544" s="417"/>
      <c r="D544" s="417"/>
      <c r="E544" s="417"/>
      <c r="F544" s="417"/>
    </row>
    <row r="545" spans="1:6">
      <c r="A545" s="416"/>
      <c r="B545" s="417"/>
      <c r="C545" s="417"/>
      <c r="D545" s="417"/>
      <c r="E545" s="417"/>
      <c r="F545" s="417"/>
    </row>
    <row r="546" spans="1:6">
      <c r="A546" s="416"/>
      <c r="B546" s="417"/>
      <c r="C546" s="417"/>
      <c r="D546" s="417"/>
      <c r="E546" s="417"/>
      <c r="F546" s="417"/>
    </row>
    <row r="547" spans="1:6">
      <c r="A547" s="416"/>
      <c r="B547" s="417"/>
      <c r="C547" s="417"/>
      <c r="D547" s="417"/>
      <c r="E547" s="417"/>
      <c r="F547" s="417"/>
    </row>
    <row r="548" spans="1:6">
      <c r="A548" s="416"/>
      <c r="B548" s="417"/>
      <c r="C548" s="417"/>
      <c r="D548" s="417"/>
      <c r="E548" s="417"/>
      <c r="F548" s="417"/>
    </row>
    <row r="549" spans="1:6">
      <c r="A549" s="416"/>
      <c r="B549" s="417"/>
      <c r="C549" s="417"/>
      <c r="D549" s="417"/>
      <c r="E549" s="417"/>
      <c r="F549" s="417"/>
    </row>
    <row r="550" spans="1:6">
      <c r="A550" s="416"/>
      <c r="B550" s="417"/>
      <c r="C550" s="417"/>
      <c r="D550" s="417"/>
      <c r="E550" s="417"/>
      <c r="F550" s="417"/>
    </row>
    <row r="551" spans="1:6">
      <c r="A551" s="416"/>
      <c r="B551" s="417"/>
      <c r="C551" s="417"/>
      <c r="D551" s="417"/>
      <c r="E551" s="417"/>
      <c r="F551" s="417"/>
    </row>
    <row r="552" spans="1:6">
      <c r="A552" s="416"/>
      <c r="B552" s="417"/>
      <c r="C552" s="417"/>
      <c r="D552" s="417"/>
      <c r="E552" s="417"/>
      <c r="F552" s="417"/>
    </row>
    <row r="553" spans="1:6">
      <c r="A553" s="416"/>
      <c r="B553" s="417"/>
      <c r="C553" s="417"/>
      <c r="D553" s="417"/>
      <c r="E553" s="417"/>
      <c r="F553" s="417"/>
    </row>
    <row r="554" spans="1:6">
      <c r="A554" s="416"/>
      <c r="B554" s="417"/>
      <c r="C554" s="417"/>
      <c r="D554" s="417"/>
      <c r="E554" s="417"/>
      <c r="F554" s="417"/>
    </row>
    <row r="555" spans="1:6">
      <c r="A555" s="416"/>
      <c r="B555" s="417"/>
      <c r="C555" s="417"/>
      <c r="D555" s="417"/>
      <c r="E555" s="417"/>
      <c r="F555" s="417"/>
    </row>
    <row r="556" spans="1:6">
      <c r="A556" s="416"/>
      <c r="B556" s="417"/>
      <c r="C556" s="417"/>
      <c r="D556" s="417"/>
      <c r="E556" s="417"/>
      <c r="F556" s="417"/>
    </row>
    <row r="557" spans="1:6">
      <c r="A557" s="416"/>
      <c r="B557" s="417"/>
      <c r="C557" s="417"/>
      <c r="D557" s="417"/>
      <c r="E557" s="417"/>
      <c r="F557" s="417"/>
    </row>
    <row r="558" spans="1:6">
      <c r="A558" s="416"/>
      <c r="B558" s="417"/>
      <c r="C558" s="417"/>
      <c r="D558" s="417"/>
      <c r="E558" s="417"/>
      <c r="F558" s="417"/>
    </row>
    <row r="559" spans="1:6">
      <c r="A559" s="416"/>
      <c r="B559" s="417"/>
      <c r="C559" s="417"/>
      <c r="D559" s="417"/>
      <c r="E559" s="417"/>
      <c r="F559" s="417"/>
    </row>
    <row r="560" spans="1:6">
      <c r="A560" s="416"/>
      <c r="B560" s="417"/>
      <c r="C560" s="417"/>
      <c r="D560" s="417"/>
      <c r="E560" s="417"/>
      <c r="F560" s="417"/>
    </row>
    <row r="561" spans="1:6">
      <c r="A561" s="416"/>
      <c r="B561" s="417"/>
      <c r="C561" s="417"/>
      <c r="D561" s="417"/>
      <c r="E561" s="417"/>
      <c r="F561" s="417"/>
    </row>
    <row r="562" spans="1:6">
      <c r="A562" s="416"/>
      <c r="B562" s="417"/>
      <c r="C562" s="417"/>
      <c r="D562" s="417"/>
      <c r="E562" s="417"/>
      <c r="F562" s="417"/>
    </row>
    <row r="563" spans="1:6">
      <c r="A563" s="416"/>
      <c r="B563" s="417"/>
      <c r="C563" s="417"/>
      <c r="D563" s="417"/>
      <c r="E563" s="417"/>
      <c r="F563" s="417"/>
    </row>
    <row r="564" spans="1:6">
      <c r="A564" s="416"/>
      <c r="B564" s="417"/>
      <c r="C564" s="417"/>
      <c r="D564" s="417"/>
      <c r="E564" s="417"/>
      <c r="F564" s="417"/>
    </row>
    <row r="565" spans="1:6">
      <c r="A565" s="416"/>
      <c r="B565" s="417"/>
      <c r="C565" s="417"/>
      <c r="D565" s="417"/>
      <c r="E565" s="417"/>
      <c r="F565" s="417"/>
    </row>
    <row r="566" spans="1:6">
      <c r="A566" s="416"/>
      <c r="B566" s="417"/>
      <c r="C566" s="417"/>
      <c r="D566" s="417"/>
      <c r="E566" s="417"/>
      <c r="F566" s="417"/>
    </row>
    <row r="567" spans="1:6">
      <c r="A567" s="416"/>
      <c r="B567" s="417"/>
      <c r="C567" s="417"/>
      <c r="D567" s="417"/>
      <c r="E567" s="417"/>
      <c r="F567" s="417"/>
    </row>
    <row r="568" spans="1:6">
      <c r="A568" s="416"/>
      <c r="B568" s="417"/>
      <c r="C568" s="417"/>
      <c r="D568" s="417"/>
      <c r="E568" s="417"/>
      <c r="F568" s="417"/>
    </row>
    <row r="569" spans="1:6">
      <c r="A569" s="416"/>
      <c r="B569" s="417"/>
      <c r="C569" s="417"/>
      <c r="D569" s="417"/>
      <c r="E569" s="417"/>
      <c r="F569" s="417"/>
    </row>
    <row r="570" spans="1:6">
      <c r="A570" s="416"/>
      <c r="B570" s="417"/>
      <c r="C570" s="417"/>
      <c r="D570" s="417"/>
      <c r="E570" s="417"/>
      <c r="F570" s="417"/>
    </row>
    <row r="571" spans="1:6">
      <c r="A571" s="416"/>
      <c r="B571" s="417"/>
      <c r="C571" s="417"/>
      <c r="D571" s="417"/>
      <c r="E571" s="417"/>
      <c r="F571" s="417"/>
    </row>
    <row r="572" spans="1:6">
      <c r="A572" s="416"/>
      <c r="B572" s="417"/>
      <c r="C572" s="417"/>
      <c r="D572" s="417"/>
      <c r="E572" s="417"/>
      <c r="F572" s="417"/>
    </row>
    <row r="573" spans="1:6">
      <c r="A573" s="416"/>
      <c r="B573" s="417"/>
      <c r="C573" s="417"/>
      <c r="D573" s="417"/>
      <c r="E573" s="417"/>
      <c r="F573" s="417"/>
    </row>
    <row r="574" spans="1:6">
      <c r="A574" s="416"/>
      <c r="B574" s="417"/>
      <c r="C574" s="417"/>
      <c r="D574" s="417"/>
      <c r="E574" s="417"/>
      <c r="F574" s="417"/>
    </row>
    <row r="575" spans="1:6">
      <c r="A575" s="416"/>
      <c r="B575" s="417"/>
      <c r="C575" s="417"/>
      <c r="D575" s="417"/>
      <c r="E575" s="417"/>
      <c r="F575" s="417"/>
    </row>
    <row r="576" spans="1:6">
      <c r="A576" s="416"/>
      <c r="B576" s="417"/>
      <c r="C576" s="417"/>
      <c r="D576" s="417"/>
      <c r="E576" s="417"/>
      <c r="F576" s="417"/>
    </row>
    <row r="577" spans="1:6">
      <c r="A577" s="416"/>
      <c r="B577" s="417"/>
      <c r="C577" s="417"/>
      <c r="D577" s="417"/>
      <c r="E577" s="417"/>
      <c r="F577" s="417"/>
    </row>
    <row r="578" spans="1:6">
      <c r="A578" s="416"/>
      <c r="B578" s="417"/>
      <c r="C578" s="417"/>
      <c r="D578" s="417"/>
      <c r="E578" s="417"/>
      <c r="F578" s="417"/>
    </row>
    <row r="579" spans="1:6">
      <c r="A579" s="416"/>
      <c r="B579" s="417"/>
      <c r="C579" s="417"/>
      <c r="D579" s="417"/>
      <c r="E579" s="417"/>
      <c r="F579" s="417"/>
    </row>
    <row r="580" spans="1:6">
      <c r="A580" s="416"/>
      <c r="B580" s="417"/>
      <c r="C580" s="417"/>
      <c r="D580" s="417"/>
      <c r="E580" s="417"/>
      <c r="F580" s="417"/>
    </row>
    <row r="581" spans="1:6">
      <c r="A581" s="416"/>
      <c r="B581" s="417"/>
      <c r="C581" s="417"/>
      <c r="D581" s="417"/>
      <c r="E581" s="417"/>
      <c r="F581" s="417"/>
    </row>
    <row r="582" spans="1:6">
      <c r="A582" s="416"/>
      <c r="B582" s="417"/>
      <c r="C582" s="417"/>
      <c r="D582" s="417"/>
      <c r="E582" s="417"/>
      <c r="F582" s="417"/>
    </row>
    <row r="583" spans="1:6">
      <c r="A583" s="416"/>
      <c r="B583" s="417"/>
      <c r="C583" s="417"/>
      <c r="D583" s="417"/>
      <c r="E583" s="417"/>
      <c r="F583" s="417"/>
    </row>
    <row r="584" spans="1:6">
      <c r="A584" s="416"/>
      <c r="B584" s="417"/>
      <c r="C584" s="417"/>
      <c r="D584" s="417"/>
      <c r="E584" s="417"/>
      <c r="F584" s="417"/>
    </row>
    <row r="585" spans="1:6">
      <c r="A585" s="416"/>
      <c r="B585" s="417"/>
      <c r="C585" s="417"/>
      <c r="D585" s="417"/>
      <c r="E585" s="417"/>
      <c r="F585" s="417"/>
    </row>
    <row r="586" spans="1:6">
      <c r="A586" s="416"/>
      <c r="B586" s="417"/>
      <c r="C586" s="417"/>
      <c r="D586" s="417"/>
      <c r="E586" s="417"/>
      <c r="F586" s="417"/>
    </row>
    <row r="587" spans="1:6">
      <c r="A587" s="416"/>
      <c r="B587" s="417"/>
      <c r="C587" s="417"/>
      <c r="D587" s="417"/>
      <c r="E587" s="417"/>
      <c r="F587" s="417"/>
    </row>
    <row r="588" spans="1:6">
      <c r="A588" s="416"/>
      <c r="B588" s="417"/>
      <c r="C588" s="417"/>
      <c r="D588" s="417"/>
      <c r="E588" s="417"/>
      <c r="F588" s="417"/>
    </row>
    <row r="589" spans="1:6">
      <c r="A589" s="416"/>
      <c r="B589" s="417"/>
      <c r="C589" s="417"/>
      <c r="D589" s="417"/>
      <c r="E589" s="417"/>
      <c r="F589" s="417"/>
    </row>
    <row r="590" spans="1:6">
      <c r="A590" s="416"/>
      <c r="B590" s="417"/>
      <c r="C590" s="417"/>
      <c r="D590" s="417"/>
      <c r="E590" s="417"/>
      <c r="F590" s="417"/>
    </row>
    <row r="591" spans="1:6">
      <c r="A591" s="416"/>
      <c r="B591" s="417"/>
      <c r="C591" s="417"/>
      <c r="D591" s="417"/>
      <c r="E591" s="417"/>
      <c r="F591" s="417"/>
    </row>
    <row r="592" spans="1:6">
      <c r="A592" s="416"/>
      <c r="B592" s="417"/>
      <c r="C592" s="417"/>
      <c r="D592" s="417"/>
      <c r="E592" s="417"/>
      <c r="F592" s="417"/>
    </row>
    <row r="593" spans="1:6">
      <c r="A593" s="416"/>
      <c r="B593" s="417"/>
      <c r="C593" s="417"/>
      <c r="D593" s="417"/>
      <c r="E593" s="417"/>
      <c r="F593" s="417"/>
    </row>
    <row r="594" spans="1:6">
      <c r="A594" s="416"/>
      <c r="B594" s="417"/>
      <c r="C594" s="417"/>
      <c r="D594" s="417"/>
      <c r="E594" s="417"/>
      <c r="F594" s="417"/>
    </row>
    <row r="595" spans="1:6">
      <c r="A595" s="416"/>
      <c r="B595" s="417"/>
      <c r="C595" s="417"/>
      <c r="D595" s="417"/>
      <c r="E595" s="417"/>
      <c r="F595" s="417"/>
    </row>
    <row r="596" spans="1:6">
      <c r="A596" s="416"/>
      <c r="B596" s="417"/>
      <c r="C596" s="417"/>
      <c r="D596" s="417"/>
      <c r="E596" s="417"/>
      <c r="F596" s="417"/>
    </row>
    <row r="597" spans="1:6">
      <c r="A597" s="416"/>
      <c r="B597" s="417"/>
      <c r="C597" s="417"/>
      <c r="D597" s="417"/>
      <c r="E597" s="417"/>
      <c r="F597" s="417"/>
    </row>
    <row r="598" spans="1:6">
      <c r="A598" s="416"/>
      <c r="B598" s="417"/>
      <c r="C598" s="417"/>
      <c r="D598" s="417"/>
      <c r="E598" s="417"/>
      <c r="F598" s="417"/>
    </row>
    <row r="599" spans="1:6">
      <c r="A599" s="416"/>
      <c r="B599" s="417"/>
      <c r="C599" s="417"/>
      <c r="D599" s="417"/>
      <c r="E599" s="417"/>
      <c r="F599" s="417"/>
    </row>
    <row r="600" spans="1:6">
      <c r="A600" s="416"/>
      <c r="B600" s="417"/>
      <c r="C600" s="417"/>
      <c r="D600" s="417"/>
      <c r="E600" s="417"/>
      <c r="F600" s="417"/>
    </row>
    <row r="601" spans="1:6">
      <c r="A601" s="416"/>
      <c r="B601" s="417"/>
      <c r="C601" s="417"/>
      <c r="D601" s="417"/>
      <c r="E601" s="417"/>
      <c r="F601" s="417"/>
    </row>
    <row r="602" spans="1:6">
      <c r="A602" s="416"/>
      <c r="B602" s="417"/>
      <c r="C602" s="417"/>
      <c r="D602" s="417"/>
      <c r="E602" s="417"/>
      <c r="F602" s="417"/>
    </row>
    <row r="603" spans="1:6">
      <c r="A603" s="416"/>
      <c r="B603" s="417"/>
      <c r="C603" s="417"/>
      <c r="D603" s="417"/>
      <c r="E603" s="417"/>
      <c r="F603" s="417"/>
    </row>
    <row r="604" spans="1:6">
      <c r="A604" s="416"/>
      <c r="B604" s="417"/>
      <c r="C604" s="417"/>
      <c r="D604" s="417"/>
      <c r="E604" s="417"/>
      <c r="F604" s="417"/>
    </row>
    <row r="605" spans="1:6">
      <c r="A605" s="416"/>
      <c r="B605" s="417"/>
      <c r="C605" s="417"/>
      <c r="D605" s="417"/>
      <c r="E605" s="417"/>
      <c r="F605" s="417"/>
    </row>
    <row r="606" spans="1:6">
      <c r="A606" s="416"/>
      <c r="B606" s="417"/>
      <c r="C606" s="417"/>
      <c r="D606" s="417"/>
      <c r="E606" s="417"/>
      <c r="F606" s="417"/>
    </row>
    <row r="607" spans="1:6">
      <c r="A607" s="416"/>
      <c r="B607" s="417"/>
      <c r="C607" s="417"/>
      <c r="D607" s="417"/>
      <c r="E607" s="417"/>
      <c r="F607" s="417"/>
    </row>
    <row r="608" spans="1:6">
      <c r="A608" s="416"/>
      <c r="B608" s="417"/>
      <c r="C608" s="417"/>
      <c r="D608" s="417"/>
      <c r="E608" s="417"/>
      <c r="F608" s="417"/>
    </row>
    <row r="609" spans="1:6">
      <c r="A609" s="416"/>
      <c r="B609" s="417"/>
      <c r="C609" s="417"/>
      <c r="D609" s="417"/>
      <c r="E609" s="417"/>
      <c r="F609" s="417"/>
    </row>
    <row r="610" spans="1:6">
      <c r="A610" s="416"/>
      <c r="B610" s="417"/>
      <c r="C610" s="417"/>
      <c r="D610" s="417"/>
      <c r="E610" s="417"/>
      <c r="F610" s="417"/>
    </row>
    <row r="611" spans="1:6">
      <c r="A611" s="416"/>
      <c r="B611" s="417"/>
      <c r="C611" s="417"/>
      <c r="D611" s="417"/>
      <c r="E611" s="417"/>
      <c r="F611" s="417"/>
    </row>
    <row r="612" spans="1:6">
      <c r="A612" s="416"/>
      <c r="B612" s="417"/>
      <c r="C612" s="417"/>
      <c r="D612" s="417"/>
      <c r="E612" s="417"/>
      <c r="F612" s="417"/>
    </row>
    <row r="613" spans="1:6">
      <c r="A613" s="416"/>
      <c r="B613" s="417"/>
      <c r="C613" s="417"/>
      <c r="D613" s="417"/>
      <c r="E613" s="417"/>
      <c r="F613" s="417"/>
    </row>
    <row r="614" spans="1:6">
      <c r="A614" s="416"/>
      <c r="B614" s="417"/>
      <c r="C614" s="417"/>
      <c r="D614" s="417"/>
      <c r="E614" s="417"/>
      <c r="F614" s="417"/>
    </row>
    <row r="615" spans="1:6">
      <c r="A615" s="416"/>
      <c r="B615" s="417"/>
      <c r="C615" s="417"/>
      <c r="D615" s="417"/>
      <c r="E615" s="417"/>
      <c r="F615" s="417"/>
    </row>
    <row r="616" spans="1:6">
      <c r="A616" s="416"/>
      <c r="B616" s="417"/>
      <c r="C616" s="417"/>
      <c r="D616" s="417"/>
      <c r="E616" s="417"/>
      <c r="F616" s="417"/>
    </row>
    <row r="617" spans="1:6">
      <c r="A617" s="416"/>
      <c r="B617" s="417"/>
      <c r="C617" s="417"/>
      <c r="D617" s="417"/>
      <c r="E617" s="417"/>
      <c r="F617" s="417"/>
    </row>
    <row r="618" spans="1:6">
      <c r="A618" s="416"/>
      <c r="B618" s="417"/>
      <c r="C618" s="417"/>
      <c r="D618" s="417"/>
      <c r="E618" s="417"/>
      <c r="F618" s="417"/>
    </row>
    <row r="619" spans="1:6">
      <c r="A619" s="416"/>
      <c r="B619" s="417"/>
      <c r="C619" s="417"/>
      <c r="D619" s="417"/>
      <c r="E619" s="417"/>
      <c r="F619" s="417"/>
    </row>
    <row r="620" spans="1:6">
      <c r="A620" s="416"/>
      <c r="B620" s="417"/>
      <c r="C620" s="417"/>
      <c r="D620" s="417"/>
      <c r="E620" s="417"/>
      <c r="F620" s="417"/>
    </row>
    <row r="621" spans="1:6">
      <c r="A621" s="416"/>
      <c r="B621" s="417"/>
      <c r="C621" s="417"/>
      <c r="D621" s="417"/>
      <c r="E621" s="417"/>
      <c r="F621" s="417"/>
    </row>
    <row r="622" spans="1:6">
      <c r="A622" s="416"/>
      <c r="B622" s="417"/>
      <c r="C622" s="417"/>
      <c r="D622" s="417"/>
      <c r="E622" s="417"/>
      <c r="F622" s="417"/>
    </row>
    <row r="623" spans="1:6">
      <c r="A623" s="416"/>
      <c r="B623" s="417"/>
      <c r="C623" s="417"/>
      <c r="D623" s="417"/>
      <c r="E623" s="417"/>
      <c r="F623" s="417"/>
    </row>
    <row r="624" spans="1:6">
      <c r="A624" s="416"/>
      <c r="B624" s="417"/>
      <c r="C624" s="417"/>
      <c r="D624" s="417"/>
      <c r="E624" s="417"/>
      <c r="F624" s="417"/>
    </row>
    <row r="625" spans="1:6">
      <c r="A625" s="416"/>
      <c r="B625" s="417"/>
      <c r="C625" s="417"/>
      <c r="D625" s="417"/>
      <c r="E625" s="417"/>
      <c r="F625" s="417"/>
    </row>
    <row r="626" spans="1:6">
      <c r="A626" s="416"/>
      <c r="B626" s="417"/>
      <c r="C626" s="417"/>
      <c r="D626" s="417"/>
      <c r="E626" s="417"/>
      <c r="F626" s="417"/>
    </row>
    <row r="627" spans="1:6">
      <c r="A627" s="416"/>
      <c r="B627" s="417"/>
      <c r="C627" s="417"/>
      <c r="D627" s="417"/>
      <c r="E627" s="417"/>
      <c r="F627" s="417"/>
    </row>
    <row r="628" spans="1:6">
      <c r="A628" s="416"/>
      <c r="B628" s="417"/>
      <c r="C628" s="417"/>
      <c r="D628" s="417"/>
      <c r="E628" s="417"/>
      <c r="F628" s="417"/>
    </row>
    <row r="629" spans="1:6">
      <c r="A629" s="416"/>
      <c r="B629" s="417"/>
      <c r="C629" s="417"/>
      <c r="D629" s="417"/>
      <c r="E629" s="417"/>
      <c r="F629" s="417"/>
    </row>
    <row r="630" spans="1:6">
      <c r="A630" s="416"/>
      <c r="B630" s="417"/>
      <c r="C630" s="417"/>
      <c r="D630" s="417"/>
      <c r="E630" s="417"/>
      <c r="F630" s="417"/>
    </row>
    <row r="631" spans="1:6">
      <c r="A631" s="416"/>
      <c r="B631" s="417"/>
      <c r="C631" s="417"/>
      <c r="D631" s="417"/>
      <c r="E631" s="417"/>
      <c r="F631" s="417"/>
    </row>
    <row r="632" spans="1:6">
      <c r="A632" s="416"/>
      <c r="B632" s="417"/>
      <c r="C632" s="417"/>
      <c r="D632" s="417"/>
      <c r="E632" s="417"/>
      <c r="F632" s="417"/>
    </row>
    <row r="633" spans="1:6">
      <c r="A633" s="416"/>
      <c r="B633" s="417"/>
      <c r="C633" s="417"/>
      <c r="D633" s="417"/>
      <c r="E633" s="417"/>
      <c r="F633" s="417"/>
    </row>
    <row r="634" spans="1:6">
      <c r="A634" s="416"/>
      <c r="B634" s="417"/>
      <c r="C634" s="417"/>
      <c r="D634" s="417"/>
      <c r="E634" s="417"/>
      <c r="F634" s="417"/>
    </row>
    <row r="635" spans="1:6">
      <c r="A635" s="416"/>
      <c r="B635" s="417"/>
      <c r="C635" s="417"/>
      <c r="D635" s="417"/>
      <c r="E635" s="417"/>
      <c r="F635" s="417"/>
    </row>
    <row r="636" spans="1:6">
      <c r="A636" s="416"/>
      <c r="B636" s="417"/>
      <c r="C636" s="417"/>
      <c r="D636" s="417"/>
      <c r="E636" s="417"/>
      <c r="F636" s="417"/>
    </row>
    <row r="637" spans="1:6">
      <c r="A637" s="416"/>
      <c r="B637" s="417"/>
      <c r="C637" s="417"/>
      <c r="D637" s="417"/>
      <c r="E637" s="417"/>
      <c r="F637" s="417"/>
    </row>
    <row r="638" spans="1:6">
      <c r="A638" s="416"/>
      <c r="B638" s="417"/>
      <c r="C638" s="417"/>
      <c r="D638" s="417"/>
      <c r="E638" s="417"/>
      <c r="F638" s="417"/>
    </row>
    <row r="639" spans="1:6">
      <c r="A639" s="416"/>
      <c r="B639" s="417"/>
      <c r="C639" s="417"/>
      <c r="D639" s="417"/>
      <c r="E639" s="417"/>
      <c r="F639" s="417"/>
    </row>
    <row r="640" spans="1:6">
      <c r="A640" s="416"/>
      <c r="B640" s="417"/>
      <c r="C640" s="417"/>
      <c r="D640" s="417"/>
      <c r="E640" s="417"/>
      <c r="F640" s="417"/>
    </row>
    <row r="641" spans="1:6">
      <c r="A641" s="416"/>
      <c r="B641" s="417"/>
      <c r="C641" s="417"/>
      <c r="D641" s="417"/>
      <c r="E641" s="417"/>
      <c r="F641" s="417"/>
    </row>
    <row r="642" spans="1:6">
      <c r="A642" s="416"/>
      <c r="B642" s="417"/>
      <c r="C642" s="417"/>
      <c r="D642" s="417"/>
      <c r="E642" s="417"/>
      <c r="F642" s="417"/>
    </row>
    <row r="643" spans="1:6">
      <c r="A643" s="416"/>
      <c r="B643" s="417"/>
      <c r="C643" s="417"/>
      <c r="D643" s="417"/>
      <c r="E643" s="417"/>
      <c r="F643" s="417"/>
    </row>
    <row r="644" spans="1:6">
      <c r="A644" s="416"/>
      <c r="B644" s="417"/>
      <c r="C644" s="417"/>
      <c r="D644" s="417"/>
      <c r="E644" s="417"/>
      <c r="F644" s="417"/>
    </row>
    <row r="645" spans="1:6">
      <c r="A645" s="416"/>
      <c r="B645" s="417"/>
      <c r="C645" s="417"/>
      <c r="D645" s="417"/>
      <c r="E645" s="417"/>
      <c r="F645" s="417"/>
    </row>
  </sheetData>
  <phoneticPr fontId="42" type="noConversion"/>
  <hyperlinks>
    <hyperlink ref="N2" r:id="rId4"/>
  </hyperlinks>
  <pageMargins left="0.7" right="0.7" top="0.75" bottom="0.75" header="0.3" footer="0.3"/>
  <pageSetup paperSize="9" orientation="portrait" r:id="rId5"/>
  <drawing r:id="rId6"/>
  <legacyDrawing r:id="rId7"/>
  <tableParts count="1">
    <tablePart r:id="rId8"/>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tabColor theme="7"/>
  </sheetPr>
  <dimension ref="A1:R82"/>
  <sheetViews>
    <sheetView topLeftCell="A40" zoomScale="85" zoomScaleNormal="85" workbookViewId="0"/>
  </sheetViews>
  <sheetFormatPr baseColWidth="10" defaultColWidth="0" defaultRowHeight="14.5" zeroHeight="1"/>
  <cols>
    <col min="1" max="1" width="2.26953125" style="36" customWidth="1"/>
    <col min="2" max="2" width="13.7265625" style="36" customWidth="1"/>
    <col min="3" max="3" width="13" style="36" customWidth="1"/>
    <col min="4" max="4" width="14.81640625" style="36" customWidth="1"/>
    <col min="5" max="5" width="11.81640625" style="36" customWidth="1"/>
    <col min="6" max="6" width="17" style="36" customWidth="1"/>
    <col min="7" max="7" width="18.36328125" style="36" customWidth="1"/>
    <col min="8" max="8" width="14.81640625" style="36" customWidth="1"/>
    <col min="9" max="9" width="13.26953125" style="36" customWidth="1"/>
    <col min="10" max="10" width="8.81640625" style="36" customWidth="1"/>
    <col min="11" max="11" width="11.36328125" style="36" customWidth="1"/>
    <col min="12" max="12" width="29.7265625" style="36" customWidth="1"/>
    <col min="13" max="13" width="7.7265625" style="36" customWidth="1"/>
    <col min="14" max="14" width="11.36328125" style="36" customWidth="1"/>
    <col min="15" max="18" width="0" style="36" hidden="1" customWidth="1"/>
    <col min="19" max="16384" width="11.36328125" style="36" hidden="1"/>
  </cols>
  <sheetData>
    <row r="1" spans="1:18" customFormat="1">
      <c r="A1" s="36"/>
      <c r="B1" s="36"/>
      <c r="C1" s="36"/>
      <c r="D1" s="36"/>
      <c r="E1" s="36"/>
      <c r="F1" s="36"/>
      <c r="G1" s="36"/>
      <c r="H1" s="36"/>
      <c r="I1" s="36"/>
      <c r="J1" s="36"/>
      <c r="K1" s="36"/>
      <c r="L1" s="36"/>
      <c r="M1" s="36"/>
      <c r="N1" s="36"/>
    </row>
    <row r="2" spans="1:18" customFormat="1" ht="15.5">
      <c r="A2" s="36"/>
      <c r="B2" s="71" t="s">
        <v>0</v>
      </c>
      <c r="C2" s="701">
        <f>Accueil!C8</f>
        <v>0</v>
      </c>
      <c r="D2" s="701"/>
      <c r="E2" s="701"/>
      <c r="F2" s="36"/>
      <c r="G2" s="36"/>
      <c r="H2" s="36"/>
      <c r="I2" s="36"/>
      <c r="J2" s="36"/>
      <c r="K2" s="36"/>
      <c r="L2" s="36"/>
      <c r="M2" s="36"/>
      <c r="N2" s="36"/>
    </row>
    <row r="3" spans="1:18" customFormat="1">
      <c r="A3" s="36"/>
      <c r="B3" s="36"/>
      <c r="C3" s="36"/>
      <c r="D3" s="36"/>
      <c r="E3" s="36"/>
      <c r="F3" s="36"/>
      <c r="G3" s="36"/>
      <c r="H3" s="36"/>
      <c r="I3" s="36"/>
      <c r="J3" s="36"/>
      <c r="K3" s="36"/>
      <c r="L3" s="36"/>
      <c r="M3" s="36"/>
      <c r="N3" s="36"/>
    </row>
    <row r="4" spans="1:18" customFormat="1">
      <c r="A4" s="36"/>
      <c r="B4" s="71" t="s">
        <v>894</v>
      </c>
      <c r="C4" s="36">
        <f>Accueil!C12</f>
        <v>0</v>
      </c>
      <c r="D4" s="177"/>
      <c r="E4" s="36"/>
      <c r="F4" s="104" t="s">
        <v>2</v>
      </c>
      <c r="G4" s="71" t="str">
        <f>LOOKUP("zz",Notes_Versions!A:A)</f>
        <v>2.0B</v>
      </c>
      <c r="I4" s="36"/>
      <c r="J4" s="36"/>
      <c r="K4" s="36"/>
      <c r="L4" s="36"/>
      <c r="M4" s="36"/>
      <c r="N4" s="36"/>
    </row>
    <row r="5" spans="1:18" customFormat="1" ht="19" thickBot="1">
      <c r="A5" s="72" t="s">
        <v>1</v>
      </c>
      <c r="B5" s="36"/>
      <c r="C5" s="36"/>
      <c r="D5" s="36"/>
      <c r="E5" s="36"/>
      <c r="F5" s="36"/>
      <c r="G5" s="36"/>
      <c r="H5" s="36"/>
      <c r="I5" s="36"/>
      <c r="J5" s="36"/>
      <c r="L5" s="36"/>
      <c r="M5" s="433"/>
      <c r="N5" s="36"/>
    </row>
    <row r="6" spans="1:18" customFormat="1" ht="15" thickBot="1">
      <c r="A6" s="36"/>
      <c r="B6" s="36"/>
      <c r="C6" s="702" t="s">
        <v>3</v>
      </c>
      <c r="D6" s="703"/>
      <c r="E6" s="704"/>
      <c r="F6" s="702" t="s">
        <v>4</v>
      </c>
      <c r="G6" s="703"/>
      <c r="H6" s="478" t="s">
        <v>5</v>
      </c>
      <c r="I6" s="705" t="s">
        <v>6</v>
      </c>
      <c r="J6" s="706"/>
      <c r="K6" s="707"/>
      <c r="L6" s="708"/>
      <c r="M6" s="462"/>
      <c r="N6" s="36"/>
      <c r="O6" s="36"/>
      <c r="P6" s="36"/>
      <c r="Q6" s="36"/>
      <c r="R6" s="36"/>
    </row>
    <row r="7" spans="1:18" customFormat="1" ht="15" thickBot="1">
      <c r="A7" s="36"/>
      <c r="B7" s="344" t="s">
        <v>7</v>
      </c>
      <c r="C7" s="68" t="s">
        <v>8</v>
      </c>
      <c r="D7" s="147" t="s">
        <v>9</v>
      </c>
      <c r="E7" s="148" t="s">
        <v>10</v>
      </c>
      <c r="F7" s="68" t="s">
        <v>11</v>
      </c>
      <c r="G7" s="69" t="s">
        <v>12</v>
      </c>
      <c r="H7" s="477" t="s">
        <v>13</v>
      </c>
      <c r="I7" s="709"/>
      <c r="J7" s="710"/>
      <c r="K7" s="711"/>
      <c r="L7" s="712"/>
      <c r="M7" s="462"/>
      <c r="N7" s="406"/>
      <c r="O7" s="37"/>
      <c r="P7" s="37"/>
      <c r="Q7" s="37"/>
      <c r="R7" s="37"/>
    </row>
    <row r="8" spans="1:18" customFormat="1" ht="15.75" customHeight="1">
      <c r="A8" s="36"/>
      <c r="B8" s="661">
        <v>2010</v>
      </c>
      <c r="C8" s="475">
        <f>SUMIFS('Surface DEET'!$F$9:$F$38,'Surface DEET'!$B$9:$B$38,"&lt;="&amp;Site!$B8,'Surface DEET'!$C$9:$C$38,"&gt;="&amp;Site!$B8)</f>
        <v>0</v>
      </c>
      <c r="D8" s="346">
        <f>SUMIFS('Surface DEET'!$F$9:$F$38,'Surface DEET'!$B$9:$B$38,"&lt;="&amp;Site!$B8,'Surface DEET'!$C$9:$C$38,"&gt;="&amp;Site!$B8,'Surface DEET'!$G$9:$G$38,"Oui")</f>
        <v>0</v>
      </c>
      <c r="E8" s="666">
        <f>SUMIFS('Surface DEET'!$F$9:$F$38,'Surface DEET'!$B$9:$B$38,"&lt;="&amp;Site!$B8,'Surface DEET'!$C$9:$C$38,"&gt;="&amp;Site!$B8,'Surface DEET'!$H$9:$H$38,"Oui")</f>
        <v>0</v>
      </c>
      <c r="F8" s="481">
        <v>0</v>
      </c>
      <c r="G8" s="481">
        <v>0</v>
      </c>
      <c r="H8" s="476" t="str">
        <f>IFERROR(SUMIFS('Surface DEET'!$X$9:$X$38,'Surface DEET'!$B$9:$B$38,"&lt;="&amp;Site!$B8,'Surface DEET'!$C$9:$C$38,"&gt;="&amp;Site!$B8)/C8,"")</f>
        <v/>
      </c>
      <c r="I8" s="713"/>
      <c r="J8" s="714"/>
      <c r="K8" s="714"/>
      <c r="L8" s="715"/>
      <c r="M8" s="463"/>
      <c r="N8" s="408"/>
      <c r="O8" s="38"/>
      <c r="P8" s="38"/>
      <c r="Q8" s="38"/>
      <c r="R8" s="38"/>
    </row>
    <row r="9" spans="1:18" customFormat="1" ht="15.75" customHeight="1">
      <c r="A9" s="36"/>
      <c r="B9" s="662">
        <v>2011</v>
      </c>
      <c r="C9" s="667">
        <f>SUMIFS('Surface DEET'!$F$9:$F$38,'Surface DEET'!$B$9:$B$38,"&lt;="&amp;Site!$B9,'Surface DEET'!$C$9:$C$38,"&gt;="&amp;Site!$B9)</f>
        <v>0</v>
      </c>
      <c r="D9" s="665">
        <f>SUMIFS('Surface DEET'!$F$9:$F$38,'Surface DEET'!$B$9:$B$38,"&lt;="&amp;Site!$B9,'Surface DEET'!$C$9:$C$38,"&gt;="&amp;Site!$B9,'Surface DEET'!$G$9:$G$38,"Oui")</f>
        <v>0</v>
      </c>
      <c r="E9" s="668">
        <f>SUMIFS('Surface DEET'!$F$9:$F$38,'Surface DEET'!$B$9:$B$38,"&lt;="&amp;Site!$B9,'Surface DEET'!$C$9:$C$38,"&gt;="&amp;Site!$B9,'Surface DEET'!$H$9:$H$38,"Oui")</f>
        <v>0</v>
      </c>
      <c r="F9" s="664">
        <f>F8</f>
        <v>0</v>
      </c>
      <c r="G9" s="480">
        <f>G8</f>
        <v>0</v>
      </c>
      <c r="H9" s="479" t="str">
        <f>IFERROR(SUMIFS('Surface DEET'!$X$9:$X$38,'Surface DEET'!$B$9:$B$38,"&lt;="&amp;Site!$B9,'Surface DEET'!$C$9:$C$38,"&gt;="&amp;Site!$B9)/C9,"")</f>
        <v/>
      </c>
      <c r="I9" s="716"/>
      <c r="J9" s="714"/>
      <c r="K9" s="714"/>
      <c r="L9" s="715"/>
      <c r="M9" s="463"/>
      <c r="N9" s="409"/>
      <c r="O9" s="38"/>
      <c r="P9" s="38"/>
      <c r="Q9" s="38"/>
      <c r="R9" s="38"/>
    </row>
    <row r="10" spans="1:18" customFormat="1" ht="15.75" customHeight="1">
      <c r="A10" s="36"/>
      <c r="B10" s="662">
        <v>2012</v>
      </c>
      <c r="C10" s="667">
        <f>SUMIFS('Surface DEET'!$F$9:$F$38,'Surface DEET'!$B$9:$B$38,"&lt;="&amp;Site!$B10,'Surface DEET'!$C$9:$C$38,"&gt;="&amp;Site!$B10)</f>
        <v>0</v>
      </c>
      <c r="D10" s="665">
        <f>SUMIFS('Surface DEET'!$F$9:$F$38,'Surface DEET'!$B$9:$B$38,"&lt;="&amp;Site!$B10,'Surface DEET'!$C$9:$C$38,"&gt;="&amp;Site!$B10,'Surface DEET'!$G$9:$G$38,"Oui")</f>
        <v>0</v>
      </c>
      <c r="E10" s="668">
        <f>SUMIFS('Surface DEET'!$F$9:$F$38,'Surface DEET'!$B$9:$B$38,"&lt;="&amp;Site!$B10,'Surface DEET'!$C$9:$C$38,"&gt;="&amp;Site!$B10,'Surface DEET'!$H$9:$H$38,"Oui")</f>
        <v>0</v>
      </c>
      <c r="F10" s="664">
        <f t="shared" ref="F10:F28" si="0">F9</f>
        <v>0</v>
      </c>
      <c r="G10" s="480">
        <f t="shared" ref="G10:G28" si="1">G9</f>
        <v>0</v>
      </c>
      <c r="H10" s="479" t="str">
        <f>IFERROR(SUMIFS('Surface DEET'!$X$9:$X$38,'Surface DEET'!$B$9:$B$38,"&lt;="&amp;Site!$B10,'Surface DEET'!$C$9:$C$38,"&gt;="&amp;Site!$B10)/C10,"")</f>
        <v/>
      </c>
      <c r="I10" s="716"/>
      <c r="J10" s="714"/>
      <c r="K10" s="714"/>
      <c r="L10" s="715"/>
      <c r="M10" s="463"/>
      <c r="N10" s="409"/>
      <c r="O10" s="38"/>
      <c r="P10" s="38"/>
      <c r="Q10" s="38"/>
      <c r="R10" s="38"/>
    </row>
    <row r="11" spans="1:18" customFormat="1" ht="15.75" customHeight="1">
      <c r="A11" s="36"/>
      <c r="B11" s="662">
        <v>2013</v>
      </c>
      <c r="C11" s="667">
        <f>SUMIFS('Surface DEET'!$F$9:$F$38,'Surface DEET'!$B$9:$B$38,"&lt;="&amp;Site!$B11,'Surface DEET'!$C$9:$C$38,"&gt;="&amp;Site!$B11)</f>
        <v>0</v>
      </c>
      <c r="D11" s="665">
        <f>SUMIFS('Surface DEET'!$F$9:$F$38,'Surface DEET'!$B$9:$B$38,"&lt;="&amp;Site!$B11,'Surface DEET'!$C$9:$C$38,"&gt;="&amp;Site!$B11,'Surface DEET'!$G$9:$G$38,"Oui")</f>
        <v>0</v>
      </c>
      <c r="E11" s="668">
        <f>SUMIFS('Surface DEET'!$F$9:$F$38,'Surface DEET'!$B$9:$B$38,"&lt;="&amp;Site!$B11,'Surface DEET'!$C$9:$C$38,"&gt;="&amp;Site!$B11,'Surface DEET'!$H$9:$H$38,"Oui")</f>
        <v>0</v>
      </c>
      <c r="F11" s="664">
        <f t="shared" si="0"/>
        <v>0</v>
      </c>
      <c r="G11" s="480">
        <f t="shared" si="1"/>
        <v>0</v>
      </c>
      <c r="H11" s="479" t="str">
        <f>IFERROR(SUMIFS('Surface DEET'!$X$9:$X$38,'Surface DEET'!$B$9:$B$38,"&lt;="&amp;Site!$B11,'Surface DEET'!$C$9:$C$38,"&gt;="&amp;Site!$B11)/C11,"")</f>
        <v/>
      </c>
      <c r="I11" s="716"/>
      <c r="J11" s="714"/>
      <c r="K11" s="714"/>
      <c r="L11" s="715"/>
      <c r="M11" s="463"/>
      <c r="N11" s="409"/>
      <c r="O11" s="36"/>
      <c r="P11" s="36"/>
      <c r="Q11" s="36"/>
      <c r="R11" s="36"/>
    </row>
    <row r="12" spans="1:18" customFormat="1" ht="15.75" customHeight="1">
      <c r="A12" s="36"/>
      <c r="B12" s="662">
        <v>2014</v>
      </c>
      <c r="C12" s="667">
        <f>SUMIFS('Surface DEET'!$F$9:$F$38,'Surface DEET'!$B$9:$B$38,"&lt;="&amp;Site!$B12,'Surface DEET'!$C$9:$C$38,"&gt;="&amp;Site!$B12)</f>
        <v>0</v>
      </c>
      <c r="D12" s="665">
        <f>SUMIFS('Surface DEET'!$F$9:$F$38,'Surface DEET'!$B$9:$B$38,"&lt;="&amp;Site!$B12,'Surface DEET'!$C$9:$C$38,"&gt;="&amp;Site!$B12,'Surface DEET'!$G$9:$G$38,"Oui")</f>
        <v>0</v>
      </c>
      <c r="E12" s="668">
        <f>SUMIFS('Surface DEET'!$F$9:$F$38,'Surface DEET'!$B$9:$B$38,"&lt;="&amp;Site!$B12,'Surface DEET'!$C$9:$C$38,"&gt;="&amp;Site!$B12,'Surface DEET'!$H$9:$H$38,"Oui")</f>
        <v>0</v>
      </c>
      <c r="F12" s="664">
        <f t="shared" si="0"/>
        <v>0</v>
      </c>
      <c r="G12" s="480">
        <f t="shared" si="1"/>
        <v>0</v>
      </c>
      <c r="H12" s="479" t="str">
        <f>IFERROR(SUMIFS('Surface DEET'!$X$9:$X$38,'Surface DEET'!$B$9:$B$38,"&lt;="&amp;Site!$B12,'Surface DEET'!$C$9:$C$38,"&gt;="&amp;Site!$B12)/C12,"")</f>
        <v/>
      </c>
      <c r="I12" s="716"/>
      <c r="J12" s="714"/>
      <c r="K12" s="714"/>
      <c r="L12" s="715"/>
      <c r="M12" s="463"/>
      <c r="N12" s="409"/>
      <c r="O12" s="36"/>
      <c r="P12" s="36"/>
      <c r="Q12" s="36"/>
      <c r="R12" s="36"/>
    </row>
    <row r="13" spans="1:18" customFormat="1" ht="15.75" customHeight="1">
      <c r="A13" s="36"/>
      <c r="B13" s="662">
        <v>2015</v>
      </c>
      <c r="C13" s="667">
        <f>SUMIFS('Surface DEET'!$F$9:$F$38,'Surface DEET'!$B$9:$B$38,"&lt;="&amp;Site!$B13,'Surface DEET'!$C$9:$C$38,"&gt;="&amp;Site!$B13)</f>
        <v>0</v>
      </c>
      <c r="D13" s="665">
        <f>SUMIFS('Surface DEET'!$F$9:$F$38,'Surface DEET'!$B$9:$B$38,"&lt;="&amp;Site!$B13,'Surface DEET'!$C$9:$C$38,"&gt;="&amp;Site!$B13,'Surface DEET'!$G$9:$G$38,"Oui")</f>
        <v>0</v>
      </c>
      <c r="E13" s="668">
        <f>SUMIFS('Surface DEET'!$F$9:$F$38,'Surface DEET'!$B$9:$B$38,"&lt;="&amp;Site!$B13,'Surface DEET'!$C$9:$C$38,"&gt;="&amp;Site!$B13,'Surface DEET'!$H$9:$H$38,"Oui")</f>
        <v>0</v>
      </c>
      <c r="F13" s="664">
        <f t="shared" si="0"/>
        <v>0</v>
      </c>
      <c r="G13" s="480">
        <f t="shared" si="1"/>
        <v>0</v>
      </c>
      <c r="H13" s="479" t="str">
        <f>IFERROR(SUMIFS('Surface DEET'!$X$9:$X$38,'Surface DEET'!$B$9:$B$38,"&lt;="&amp;Site!$B13,'Surface DEET'!$C$9:$C$38,"&gt;="&amp;Site!$B13)/C13,"")</f>
        <v/>
      </c>
      <c r="I13" s="716"/>
      <c r="J13" s="714"/>
      <c r="K13" s="714"/>
      <c r="L13" s="715"/>
      <c r="M13" s="463"/>
      <c r="N13" s="409"/>
      <c r="O13" s="36"/>
      <c r="P13" s="36"/>
      <c r="Q13" s="36"/>
      <c r="R13" s="36"/>
    </row>
    <row r="14" spans="1:18" customFormat="1" ht="15.75" customHeight="1">
      <c r="A14" s="36"/>
      <c r="B14" s="662">
        <v>2016</v>
      </c>
      <c r="C14" s="667">
        <f>SUMIFS('Surface DEET'!$F$9:$F$38,'Surface DEET'!$B$9:$B$38,"&lt;="&amp;Site!$B14,'Surface DEET'!$C$9:$C$38,"&gt;="&amp;Site!$B14)</f>
        <v>0</v>
      </c>
      <c r="D14" s="665">
        <f>SUMIFS('Surface DEET'!$F$9:$F$38,'Surface DEET'!$B$9:$B$38,"&lt;="&amp;Site!$B14,'Surface DEET'!$C$9:$C$38,"&gt;="&amp;Site!$B14,'Surface DEET'!$G$9:$G$38,"Oui")</f>
        <v>0</v>
      </c>
      <c r="E14" s="668">
        <f>SUMIFS('Surface DEET'!$F$9:$F$38,'Surface DEET'!$B$9:$B$38,"&lt;="&amp;Site!$B14,'Surface DEET'!$C$9:$C$38,"&gt;="&amp;Site!$B14,'Surface DEET'!$H$9:$H$38,"Oui")</f>
        <v>0</v>
      </c>
      <c r="F14" s="664">
        <f t="shared" si="0"/>
        <v>0</v>
      </c>
      <c r="G14" s="480">
        <f t="shared" si="1"/>
        <v>0</v>
      </c>
      <c r="H14" s="479" t="str">
        <f>IFERROR(SUMIFS('Surface DEET'!$X$9:$X$38,'Surface DEET'!$B$9:$B$38,"&lt;="&amp;Site!$B14,'Surface DEET'!$C$9:$C$38,"&gt;="&amp;Site!$B14)/C14,"")</f>
        <v/>
      </c>
      <c r="I14" s="716"/>
      <c r="J14" s="714"/>
      <c r="K14" s="714"/>
      <c r="L14" s="715"/>
      <c r="M14" s="463"/>
      <c r="N14" s="409"/>
      <c r="O14" s="36"/>
      <c r="P14" s="36"/>
      <c r="Q14" s="36"/>
      <c r="R14" s="36"/>
    </row>
    <row r="15" spans="1:18" customFormat="1" ht="15.75" customHeight="1">
      <c r="A15" s="36"/>
      <c r="B15" s="662">
        <v>2017</v>
      </c>
      <c r="C15" s="667">
        <f>SUMIFS('Surface DEET'!$F$9:$F$38,'Surface DEET'!$B$9:$B$38,"&lt;="&amp;Site!$B15,'Surface DEET'!$C$9:$C$38,"&gt;="&amp;Site!$B15)</f>
        <v>0</v>
      </c>
      <c r="D15" s="665">
        <f>SUMIFS('Surface DEET'!$F$9:$F$38,'Surface DEET'!$B$9:$B$38,"&lt;="&amp;Site!$B15,'Surface DEET'!$C$9:$C$38,"&gt;="&amp;Site!$B15,'Surface DEET'!$G$9:$G$38,"Oui")</f>
        <v>0</v>
      </c>
      <c r="E15" s="668">
        <f>SUMIFS('Surface DEET'!$F$9:$F$38,'Surface DEET'!$B$9:$B$38,"&lt;="&amp;Site!$B15,'Surface DEET'!$C$9:$C$38,"&gt;="&amp;Site!$B15,'Surface DEET'!$H$9:$H$38,"Oui")</f>
        <v>0</v>
      </c>
      <c r="F15" s="664">
        <f t="shared" si="0"/>
        <v>0</v>
      </c>
      <c r="G15" s="480">
        <f t="shared" si="1"/>
        <v>0</v>
      </c>
      <c r="H15" s="479" t="str">
        <f>IFERROR(SUMIFS('Surface DEET'!$X$9:$X$38,'Surface DEET'!$B$9:$B$38,"&lt;="&amp;Site!$B15,'Surface DEET'!$C$9:$C$38,"&gt;="&amp;Site!$B15)/C15,"")</f>
        <v/>
      </c>
      <c r="I15" s="717"/>
      <c r="J15" s="718"/>
      <c r="K15" s="719"/>
      <c r="L15" s="720"/>
      <c r="M15" s="464"/>
      <c r="N15" s="409"/>
      <c r="O15" s="36"/>
      <c r="P15" s="36"/>
      <c r="Q15" s="36"/>
      <c r="R15" s="36"/>
    </row>
    <row r="16" spans="1:18" customFormat="1" ht="15.75" customHeight="1">
      <c r="A16" s="36"/>
      <c r="B16" s="662">
        <v>2018</v>
      </c>
      <c r="C16" s="667">
        <f>SUMIFS('Surface DEET'!$F$9:$F$38,'Surface DEET'!$B$9:$B$38,"&lt;="&amp;Site!$B16,'Surface DEET'!$C$9:$C$38,"&gt;="&amp;Site!$B16)</f>
        <v>0</v>
      </c>
      <c r="D16" s="665">
        <f>SUMIFS('Surface DEET'!$F$9:$F$38,'Surface DEET'!$B$9:$B$38,"&lt;="&amp;Site!$B16,'Surface DEET'!$C$9:$C$38,"&gt;="&amp;Site!$B16,'Surface DEET'!$G$9:$G$38,"Oui")</f>
        <v>0</v>
      </c>
      <c r="E16" s="668">
        <f>SUMIFS('Surface DEET'!$F$9:$F$38,'Surface DEET'!$B$9:$B$38,"&lt;="&amp;Site!$B16,'Surface DEET'!$C$9:$C$38,"&gt;="&amp;Site!$B16,'Surface DEET'!$H$9:$H$38,"Oui")</f>
        <v>0</v>
      </c>
      <c r="F16" s="664">
        <f t="shared" si="0"/>
        <v>0</v>
      </c>
      <c r="G16" s="480">
        <f t="shared" si="1"/>
        <v>0</v>
      </c>
      <c r="H16" s="479" t="str">
        <f>IFERROR(SUMIFS('Surface DEET'!$X$9:$X$38,'Surface DEET'!$B$9:$B$38,"&lt;="&amp;Site!$B16,'Surface DEET'!$C$9:$C$38,"&gt;="&amp;Site!$B16)/C16,"")</f>
        <v/>
      </c>
      <c r="I16" s="717"/>
      <c r="J16" s="718"/>
      <c r="K16" s="719"/>
      <c r="L16" s="720"/>
      <c r="M16" s="464"/>
      <c r="N16" s="409"/>
      <c r="O16" s="36"/>
      <c r="P16" s="36"/>
      <c r="Q16" s="36"/>
      <c r="R16" s="36"/>
    </row>
    <row r="17" spans="1:18" customFormat="1" ht="15.75" customHeight="1">
      <c r="A17" s="36"/>
      <c r="B17" s="662">
        <v>2019</v>
      </c>
      <c r="C17" s="667">
        <f>SUMIFS('Surface DEET'!$F$9:$F$38,'Surface DEET'!$B$9:$B$38,"&lt;="&amp;Site!$B17,'Surface DEET'!$C$9:$C$38,"&gt;="&amp;Site!$B17)</f>
        <v>0</v>
      </c>
      <c r="D17" s="665">
        <f>SUMIFS('Surface DEET'!$F$9:$F$38,'Surface DEET'!$B$9:$B$38,"&lt;="&amp;Site!$B17,'Surface DEET'!$C$9:$C$38,"&gt;="&amp;Site!$B17,'Surface DEET'!$G$9:$G$38,"Oui")</f>
        <v>0</v>
      </c>
      <c r="E17" s="668">
        <f>SUMIFS('Surface DEET'!$F$9:$F$38,'Surface DEET'!$B$9:$B$38,"&lt;="&amp;Site!$B17,'Surface DEET'!$C$9:$C$38,"&gt;="&amp;Site!$B17,'Surface DEET'!$H$9:$H$38,"Oui")</f>
        <v>0</v>
      </c>
      <c r="F17" s="664">
        <f t="shared" si="0"/>
        <v>0</v>
      </c>
      <c r="G17" s="480">
        <f t="shared" si="1"/>
        <v>0</v>
      </c>
      <c r="H17" s="479" t="str">
        <f>IFERROR(SUMIFS('Surface DEET'!$X$9:$X$38,'Surface DEET'!$B$9:$B$38,"&lt;="&amp;Site!$B17,'Surface DEET'!$C$9:$C$38,"&gt;="&amp;Site!$B17)/C17,"")</f>
        <v/>
      </c>
      <c r="I17" s="717"/>
      <c r="J17" s="718"/>
      <c r="K17" s="719"/>
      <c r="L17" s="720"/>
      <c r="M17" s="463"/>
      <c r="N17" s="409"/>
      <c r="O17" s="36"/>
      <c r="P17" s="36"/>
      <c r="Q17" s="36"/>
      <c r="R17" s="36"/>
    </row>
    <row r="18" spans="1:18" customFormat="1" ht="15.75" customHeight="1">
      <c r="A18" s="36"/>
      <c r="B18" s="662">
        <v>2020</v>
      </c>
      <c r="C18" s="667">
        <f>SUMIFS('Surface DEET'!$F$9:$F$38,'Surface DEET'!$B$9:$B$38,"&lt;="&amp;Site!$B18,'Surface DEET'!$C$9:$C$38,"&gt;="&amp;Site!$B18)</f>
        <v>0</v>
      </c>
      <c r="D18" s="665">
        <f>SUMIFS('Surface DEET'!$F$9:$F$38,'Surface DEET'!$B$9:$B$38,"&lt;="&amp;Site!$B18,'Surface DEET'!$C$9:$C$38,"&gt;="&amp;Site!$B18,'Surface DEET'!$G$9:$G$38,"Oui")</f>
        <v>0</v>
      </c>
      <c r="E18" s="668">
        <f>SUMIFS('Surface DEET'!$F$9:$F$38,'Surface DEET'!$B$9:$B$38,"&lt;="&amp;Site!$B18,'Surface DEET'!$C$9:$C$38,"&gt;="&amp;Site!$B18,'Surface DEET'!$H$9:$H$38,"Oui")</f>
        <v>0</v>
      </c>
      <c r="F18" s="664">
        <f t="shared" si="0"/>
        <v>0</v>
      </c>
      <c r="G18" s="480">
        <f t="shared" si="1"/>
        <v>0</v>
      </c>
      <c r="H18" s="479" t="str">
        <f>IFERROR(SUMIFS('Surface DEET'!$X$9:$X$38,'Surface DEET'!$B$9:$B$38,"&lt;="&amp;Site!$B18,'Surface DEET'!$C$9:$C$38,"&gt;="&amp;Site!$B18)/C18,"")</f>
        <v/>
      </c>
      <c r="I18" s="717"/>
      <c r="J18" s="718"/>
      <c r="K18" s="719"/>
      <c r="L18" s="720"/>
      <c r="M18" s="463"/>
      <c r="N18" s="409"/>
      <c r="O18" s="36"/>
      <c r="P18" s="36"/>
      <c r="Q18" s="36"/>
      <c r="R18" s="36"/>
    </row>
    <row r="19" spans="1:18" customFormat="1" ht="15.75" customHeight="1">
      <c r="A19" s="36"/>
      <c r="B19" s="662">
        <v>2021</v>
      </c>
      <c r="C19" s="667">
        <f>SUMIFS('Surface DEET'!$F$9:$F$38,'Surface DEET'!$B$9:$B$38,"&lt;="&amp;Site!$B19,'Surface DEET'!$C$9:$C$38,"&gt;="&amp;Site!$B19)</f>
        <v>0</v>
      </c>
      <c r="D19" s="665">
        <f>SUMIFS('Surface DEET'!$F$9:$F$38,'Surface DEET'!$B$9:$B$38,"&lt;="&amp;Site!$B19,'Surface DEET'!$C$9:$C$38,"&gt;="&amp;Site!$B19,'Surface DEET'!$G$9:$G$38,"Oui")</f>
        <v>0</v>
      </c>
      <c r="E19" s="668">
        <f>SUMIFS('Surface DEET'!$F$9:$F$38,'Surface DEET'!$B$9:$B$38,"&lt;="&amp;Site!$B19,'Surface DEET'!$C$9:$C$38,"&gt;="&amp;Site!$B19,'Surface DEET'!$H$9:$H$38,"Oui")</f>
        <v>0</v>
      </c>
      <c r="F19" s="664">
        <f t="shared" si="0"/>
        <v>0</v>
      </c>
      <c r="G19" s="480">
        <f t="shared" si="1"/>
        <v>0</v>
      </c>
      <c r="H19" s="479" t="str">
        <f>IFERROR(SUMIFS('Surface DEET'!$X$9:$X$38,'Surface DEET'!$B$9:$B$38,"&lt;="&amp;Site!$B19,'Surface DEET'!$C$9:$C$38,"&gt;="&amp;Site!$B19)/C19,"")</f>
        <v/>
      </c>
      <c r="I19" s="717"/>
      <c r="J19" s="718"/>
      <c r="K19" s="719"/>
      <c r="L19" s="720"/>
      <c r="M19" s="463"/>
      <c r="N19" s="409"/>
      <c r="O19" s="36"/>
      <c r="P19" s="36"/>
      <c r="Q19" s="36"/>
      <c r="R19" s="36"/>
    </row>
    <row r="20" spans="1:18" customFormat="1" ht="39" customHeight="1">
      <c r="A20" s="36"/>
      <c r="B20" s="662">
        <v>2022</v>
      </c>
      <c r="C20" s="667">
        <f>SUMIFS('Surface DEET'!$F$9:$F$38,'Surface DEET'!$B$9:$B$38,"&lt;="&amp;Site!$B20,'Surface DEET'!$C$9:$C$38,"&gt;="&amp;Site!$B20)</f>
        <v>0</v>
      </c>
      <c r="D20" s="665">
        <f>SUMIFS('Surface DEET'!$F$9:$F$38,'Surface DEET'!$B$9:$B$38,"&lt;="&amp;Site!$B20,'Surface DEET'!$C$9:$C$38,"&gt;="&amp;Site!$B20,'Surface DEET'!$G$9:$G$38,"Oui")</f>
        <v>0</v>
      </c>
      <c r="E20" s="668">
        <f>SUMIFS('Surface DEET'!$F$9:$F$38,'Surface DEET'!$B$9:$B$38,"&lt;="&amp;Site!$B20,'Surface DEET'!$C$9:$C$38,"&gt;="&amp;Site!$B20,'Surface DEET'!$H$9:$H$38,"Oui")</f>
        <v>0</v>
      </c>
      <c r="F20" s="664">
        <f t="shared" si="0"/>
        <v>0</v>
      </c>
      <c r="G20" s="480">
        <f t="shared" si="1"/>
        <v>0</v>
      </c>
      <c r="H20" s="479" t="str">
        <f>IFERROR(SUMIFS('Surface DEET'!$X$9:$X$38,'Surface DEET'!$B$9:$B$38,"&lt;="&amp;Site!$B20,'Surface DEET'!$C$9:$C$38,"&gt;="&amp;Site!$B20)/C20,"")</f>
        <v/>
      </c>
      <c r="I20" s="717"/>
      <c r="J20" s="718"/>
      <c r="K20" s="719"/>
      <c r="L20" s="720"/>
      <c r="M20" s="463"/>
      <c r="N20" s="409"/>
      <c r="O20" s="36"/>
      <c r="P20" s="36"/>
      <c r="Q20" s="36"/>
      <c r="R20" s="36"/>
    </row>
    <row r="21" spans="1:18" customFormat="1" ht="48" customHeight="1">
      <c r="A21" s="36"/>
      <c r="B21" s="662">
        <v>2023</v>
      </c>
      <c r="C21" s="667">
        <f>SUMIFS('Surface DEET'!$F$9:$F$38,'Surface DEET'!$B$9:$B$38,"&lt;="&amp;Site!$B21,'Surface DEET'!$C$9:$C$38,"&gt;="&amp;Site!$B21)</f>
        <v>0</v>
      </c>
      <c r="D21" s="665">
        <f>SUMIFS('Surface DEET'!$F$9:$F$38,'Surface DEET'!$B$9:$B$38,"&lt;="&amp;Site!$B21,'Surface DEET'!$C$9:$C$38,"&gt;="&amp;Site!$B21,'Surface DEET'!$G$9:$G$38,"Oui")</f>
        <v>0</v>
      </c>
      <c r="E21" s="668">
        <f>SUMIFS('Surface DEET'!$F$9:$F$38,'Surface DEET'!$B$9:$B$38,"&lt;="&amp;Site!$B21,'Surface DEET'!$C$9:$C$38,"&gt;="&amp;Site!$B21,'Surface DEET'!$H$9:$H$38,"Oui")</f>
        <v>0</v>
      </c>
      <c r="F21" s="664">
        <f t="shared" si="0"/>
        <v>0</v>
      </c>
      <c r="G21" s="480">
        <f t="shared" si="1"/>
        <v>0</v>
      </c>
      <c r="H21" s="479" t="str">
        <f>IFERROR(SUMIFS('Surface DEET'!$X$9:$X$38,'Surface DEET'!$B$9:$B$38,"&lt;="&amp;Site!$B21,'Surface DEET'!$C$9:$C$38,"&gt;="&amp;Site!$B21)/C21,"")</f>
        <v/>
      </c>
      <c r="I21" s="717"/>
      <c r="J21" s="718"/>
      <c r="K21" s="719"/>
      <c r="L21" s="720"/>
      <c r="M21" s="407"/>
      <c r="N21" s="409"/>
      <c r="O21" s="36"/>
      <c r="P21" s="36"/>
      <c r="Q21" s="36"/>
      <c r="R21" s="36"/>
    </row>
    <row r="22" spans="1:18" customFormat="1" ht="67" customHeight="1">
      <c r="A22" s="36"/>
      <c r="B22" s="662">
        <v>2024</v>
      </c>
      <c r="C22" s="667">
        <f>SUMIFS('Surface DEET'!$F$9:$F$38,'Surface DEET'!$B$9:$B$38,"&lt;="&amp;Site!$B22,'Surface DEET'!$C$9:$C$38,"&gt;="&amp;Site!$B22)</f>
        <v>0</v>
      </c>
      <c r="D22" s="665">
        <f>SUMIFS('Surface DEET'!$F$9:$F$38,'Surface DEET'!$B$9:$B$38,"&lt;="&amp;Site!$B22,'Surface DEET'!$C$9:$C$38,"&gt;="&amp;Site!$B22,'Surface DEET'!$G$9:$G$38,"Oui")</f>
        <v>0</v>
      </c>
      <c r="E22" s="668">
        <f>SUMIFS('Surface DEET'!$F$9:$F$38,'Surface DEET'!$B$9:$B$38,"&lt;="&amp;Site!$B22,'Surface DEET'!$C$9:$C$38,"&gt;="&amp;Site!$B22,'Surface DEET'!$H$9:$H$38,"Oui")</f>
        <v>0</v>
      </c>
      <c r="F22" s="664">
        <f t="shared" si="0"/>
        <v>0</v>
      </c>
      <c r="G22" s="480">
        <f t="shared" si="1"/>
        <v>0</v>
      </c>
      <c r="H22" s="479" t="str">
        <f>IFERROR(SUMIFS('Surface DEET'!$X$9:$X$38,'Surface DEET'!$B$9:$B$38,"&lt;="&amp;Site!$B22,'Surface DEET'!$C$9:$C$38,"&gt;="&amp;Site!$B22)/C22,"")</f>
        <v/>
      </c>
      <c r="I22" s="717"/>
      <c r="J22" s="718"/>
      <c r="K22" s="719"/>
      <c r="L22" s="720"/>
      <c r="M22" s="407"/>
      <c r="N22" s="409"/>
    </row>
    <row r="23" spans="1:18" customFormat="1" ht="60" customHeight="1">
      <c r="A23" s="36"/>
      <c r="B23" s="662">
        <v>2025</v>
      </c>
      <c r="C23" s="667">
        <f>SUMIFS('Surface DEET'!$F$9:$F$38,'Surface DEET'!$B$9:$B$38,"&lt;="&amp;Site!$B23,'Surface DEET'!$C$9:$C$38,"&gt;="&amp;Site!$B23)</f>
        <v>0</v>
      </c>
      <c r="D23" s="665">
        <f>SUMIFS('Surface DEET'!$F$9:$F$38,'Surface DEET'!$B$9:$B$38,"&lt;="&amp;Site!$B23,'Surface DEET'!$C$9:$C$38,"&gt;="&amp;Site!$B23,'Surface DEET'!$G$9:$G$38,"Oui")</f>
        <v>0</v>
      </c>
      <c r="E23" s="668">
        <f>SUMIFS('Surface DEET'!$F$9:$F$38,'Surface DEET'!$B$9:$B$38,"&lt;="&amp;Site!$B23,'Surface DEET'!$C$9:$C$38,"&gt;="&amp;Site!$B23,'Surface DEET'!$H$9:$H$38,"Oui")</f>
        <v>0</v>
      </c>
      <c r="F23" s="664">
        <f t="shared" si="0"/>
        <v>0</v>
      </c>
      <c r="G23" s="480">
        <f t="shared" si="1"/>
        <v>0</v>
      </c>
      <c r="H23" s="479" t="str">
        <f>IFERROR(SUMIFS('Surface DEET'!$X$9:$X$38,'Surface DEET'!$B$9:$B$38,"&lt;="&amp;Site!$B23,'Surface DEET'!$C$9:$C$38,"&gt;="&amp;Site!$B23)/C23,"")</f>
        <v/>
      </c>
      <c r="I23" s="717"/>
      <c r="J23" s="718"/>
      <c r="K23" s="719"/>
      <c r="L23" s="720"/>
      <c r="M23" s="410"/>
      <c r="N23" s="409"/>
    </row>
    <row r="24" spans="1:18" s="227" customFormat="1" ht="60" customHeight="1">
      <c r="A24" s="36"/>
      <c r="B24" s="662">
        <v>2026</v>
      </c>
      <c r="C24" s="667">
        <f>SUMIFS('Surface DEET'!$F$9:$F$38,'Surface DEET'!$B$9:$B$38,"&lt;="&amp;Site!$B24,'Surface DEET'!$C$9:$C$38,"&gt;="&amp;Site!$B24)</f>
        <v>0</v>
      </c>
      <c r="D24" s="665">
        <f>SUMIFS('Surface DEET'!$F$9:$F$38,'Surface DEET'!$B$9:$B$38,"&lt;="&amp;Site!$B24,'Surface DEET'!$C$9:$C$38,"&gt;="&amp;Site!$B24,'Surface DEET'!$G$9:$G$38,"Oui")</f>
        <v>0</v>
      </c>
      <c r="E24" s="668">
        <f>SUMIFS('Surface DEET'!$F$9:$F$38,'Surface DEET'!$B$9:$B$38,"&lt;="&amp;Site!$B24,'Surface DEET'!$C$9:$C$38,"&gt;="&amp;Site!$B24,'Surface DEET'!$H$9:$H$38,"Oui")</f>
        <v>0</v>
      </c>
      <c r="F24" s="664">
        <f t="shared" si="0"/>
        <v>0</v>
      </c>
      <c r="G24" s="480">
        <f t="shared" si="1"/>
        <v>0</v>
      </c>
      <c r="H24" s="479" t="str">
        <f>IFERROR(SUMIFS('Surface DEET'!$X$9:$X$38,'Surface DEET'!$B$9:$B$38,"&lt;="&amp;Site!$B24,'Surface DEET'!$C$9:$C$38,"&gt;="&amp;Site!$B24)/C24,"")</f>
        <v/>
      </c>
      <c r="I24" s="717"/>
      <c r="J24" s="718"/>
      <c r="K24" s="719"/>
      <c r="L24" s="720"/>
      <c r="M24" s="410"/>
      <c r="N24" s="409"/>
    </row>
    <row r="25" spans="1:18" s="414" customFormat="1" ht="60" customHeight="1">
      <c r="A25" s="36"/>
      <c r="B25" s="662">
        <v>2027</v>
      </c>
      <c r="C25" s="667">
        <f>SUMIFS('Surface DEET'!$F$9:$F$38,'Surface DEET'!$B$9:$B$38,"&lt;="&amp;Site!$B25,'Surface DEET'!$C$9:$C$38,"&gt;="&amp;Site!$B25)</f>
        <v>0</v>
      </c>
      <c r="D25" s="665">
        <f>SUMIFS('Surface DEET'!$F$9:$F$38,'Surface DEET'!$B$9:$B$38,"&lt;="&amp;Site!$B25,'Surface DEET'!$C$9:$C$38,"&gt;="&amp;Site!$B25,'Surface DEET'!$G$9:$G$38,"Oui")</f>
        <v>0</v>
      </c>
      <c r="E25" s="668">
        <f>SUMIFS('Surface DEET'!$F$9:$F$38,'Surface DEET'!$B$9:$B$38,"&lt;="&amp;Site!$B25,'Surface DEET'!$C$9:$C$38,"&gt;="&amp;Site!$B25,'Surface DEET'!$H$9:$H$38,"Oui")</f>
        <v>0</v>
      </c>
      <c r="F25" s="664">
        <f t="shared" si="0"/>
        <v>0</v>
      </c>
      <c r="G25" s="480">
        <f t="shared" si="1"/>
        <v>0</v>
      </c>
      <c r="H25" s="479" t="str">
        <f>IFERROR(SUMIFS('Surface DEET'!$X$9:$X$38,'Surface DEET'!$B$9:$B$38,"&lt;="&amp;Site!$B25,'Surface DEET'!$C$9:$C$38,"&gt;="&amp;Site!$B25)/C25,"")</f>
        <v/>
      </c>
      <c r="I25" s="717"/>
      <c r="J25" s="718"/>
      <c r="K25" s="719"/>
      <c r="L25" s="720"/>
      <c r="M25" s="410"/>
      <c r="N25" s="409"/>
    </row>
    <row r="26" spans="1:18" s="414" customFormat="1" ht="60" customHeight="1">
      <c r="A26" s="36"/>
      <c r="B26" s="662">
        <v>2028</v>
      </c>
      <c r="C26" s="667">
        <f>SUMIFS('Surface DEET'!$F$9:$F$38,'Surface DEET'!$B$9:$B$38,"&lt;="&amp;Site!$B26,'Surface DEET'!$C$9:$C$38,"&gt;="&amp;Site!$B26)</f>
        <v>0</v>
      </c>
      <c r="D26" s="665">
        <f>SUMIFS('Surface DEET'!$F$9:$F$38,'Surface DEET'!$B$9:$B$38,"&lt;="&amp;Site!$B26,'Surface DEET'!$C$9:$C$38,"&gt;="&amp;Site!$B26,'Surface DEET'!$G$9:$G$38,"Oui")</f>
        <v>0</v>
      </c>
      <c r="E26" s="668">
        <f>SUMIFS('Surface DEET'!$F$9:$F$38,'Surface DEET'!$B$9:$B$38,"&lt;="&amp;Site!$B26,'Surface DEET'!$C$9:$C$38,"&gt;="&amp;Site!$B26,'Surface DEET'!$H$9:$H$38,"Oui")</f>
        <v>0</v>
      </c>
      <c r="F26" s="664">
        <f t="shared" si="0"/>
        <v>0</v>
      </c>
      <c r="G26" s="480">
        <f t="shared" si="1"/>
        <v>0</v>
      </c>
      <c r="H26" s="479" t="str">
        <f>IFERROR(SUMIFS('Surface DEET'!$X$9:$X$38,'Surface DEET'!$B$9:$B$38,"&lt;="&amp;Site!$B26,'Surface DEET'!$C$9:$C$38,"&gt;="&amp;Site!$B26)/C26,"")</f>
        <v/>
      </c>
      <c r="I26" s="717"/>
      <c r="J26" s="718"/>
      <c r="K26" s="719"/>
      <c r="L26" s="720"/>
      <c r="M26" s="410"/>
      <c r="N26" s="409"/>
    </row>
    <row r="27" spans="1:18" s="414" customFormat="1" ht="60" customHeight="1">
      <c r="A27" s="36"/>
      <c r="B27" s="662">
        <v>2029</v>
      </c>
      <c r="C27" s="667">
        <f>SUMIFS('Surface DEET'!$F$9:$F$38,'Surface DEET'!$B$9:$B$38,"&lt;="&amp;Site!$B27,'Surface DEET'!$C$9:$C$38,"&gt;="&amp;Site!$B27)</f>
        <v>0</v>
      </c>
      <c r="D27" s="665">
        <f>SUMIFS('Surface DEET'!$F$9:$F$38,'Surface DEET'!$B$9:$B$38,"&lt;="&amp;Site!$B27,'Surface DEET'!$C$9:$C$38,"&gt;="&amp;Site!$B27,'Surface DEET'!$G$9:$G$38,"Oui")</f>
        <v>0</v>
      </c>
      <c r="E27" s="668">
        <f>SUMIFS('Surface DEET'!$F$9:$F$38,'Surface DEET'!$B$9:$B$38,"&lt;="&amp;Site!$B27,'Surface DEET'!$C$9:$C$38,"&gt;="&amp;Site!$B27,'Surface DEET'!$H$9:$H$38,"Oui")</f>
        <v>0</v>
      </c>
      <c r="F27" s="664">
        <f t="shared" si="0"/>
        <v>0</v>
      </c>
      <c r="G27" s="480">
        <f t="shared" si="1"/>
        <v>0</v>
      </c>
      <c r="H27" s="479" t="str">
        <f>IFERROR(SUMIFS('Surface DEET'!$X$9:$X$38,'Surface DEET'!$B$9:$B$38,"&lt;="&amp;Site!$B27,'Surface DEET'!$C$9:$C$38,"&gt;="&amp;Site!$B27)/C27,"")</f>
        <v/>
      </c>
      <c r="I27" s="717"/>
      <c r="J27" s="718"/>
      <c r="K27" s="719"/>
      <c r="L27" s="720"/>
      <c r="M27" s="410"/>
      <c r="N27" s="409"/>
    </row>
    <row r="28" spans="1:18" s="414" customFormat="1" ht="60" customHeight="1" thickBot="1">
      <c r="A28" s="36"/>
      <c r="B28" s="663">
        <v>2030</v>
      </c>
      <c r="C28" s="669">
        <f>SUMIFS('Surface DEET'!$F$9:$F$38,'Surface DEET'!$B$9:$B$38,"&lt;="&amp;Site!$B28,'Surface DEET'!$C$9:$C$38,"&gt;="&amp;Site!$B28)</f>
        <v>0</v>
      </c>
      <c r="D28" s="670">
        <f>SUMIFS('Surface DEET'!$F$9:$F$38,'Surface DEET'!$B$9:$B$38,"&lt;="&amp;Site!$B28,'Surface DEET'!$C$9:$C$38,"&gt;="&amp;Site!$B28,'Surface DEET'!$G$9:$G$38,"Oui")</f>
        <v>0</v>
      </c>
      <c r="E28" s="671">
        <f>SUMIFS('Surface DEET'!$F$9:$F$38,'Surface DEET'!$B$9:$B$38,"&lt;="&amp;Site!$B28,'Surface DEET'!$C$9:$C$38,"&gt;="&amp;Site!$B28,'Surface DEET'!$H$9:$H$38,"Oui")</f>
        <v>0</v>
      </c>
      <c r="F28" s="664">
        <f t="shared" si="0"/>
        <v>0</v>
      </c>
      <c r="G28" s="480">
        <f t="shared" si="1"/>
        <v>0</v>
      </c>
      <c r="H28" s="479" t="str">
        <f>IFERROR(SUMIFS('Surface DEET'!$X$9:$X$38,'Surface DEET'!$B$9:$B$38,"&lt;="&amp;Site!$B28,'Surface DEET'!$C$9:$C$38,"&gt;="&amp;Site!$B28)/C28,"")</f>
        <v/>
      </c>
      <c r="I28" s="717"/>
      <c r="J28" s="718"/>
      <c r="K28" s="719"/>
      <c r="L28" s="720"/>
      <c r="M28" s="410"/>
      <c r="N28" s="409"/>
    </row>
    <row r="29" spans="1:18" customFormat="1">
      <c r="A29" s="36"/>
      <c r="B29" s="35"/>
      <c r="C29" s="35"/>
      <c r="D29" s="36"/>
      <c r="E29" s="36"/>
      <c r="F29" s="36"/>
      <c r="G29" s="36"/>
      <c r="H29" s="345"/>
      <c r="J29" s="36"/>
      <c r="K29" s="36"/>
      <c r="M29" s="36"/>
      <c r="N29" s="36"/>
    </row>
    <row r="30" spans="1:18" customFormat="1">
      <c r="A30" s="36"/>
      <c r="B30" s="36"/>
      <c r="C30" s="104" t="s">
        <v>14</v>
      </c>
      <c r="D30" s="36"/>
      <c r="E30" s="36"/>
      <c r="F30" s="104"/>
      <c r="G30" s="700"/>
      <c r="H30" s="700"/>
      <c r="I30" s="157"/>
      <c r="J30" s="117"/>
      <c r="K30" s="117"/>
      <c r="L30" s="117"/>
      <c r="M30" s="117"/>
      <c r="N30" s="117"/>
    </row>
    <row r="31" spans="1:18" customFormat="1" ht="13.5" customHeight="1">
      <c r="A31" s="36"/>
      <c r="B31" s="36"/>
      <c r="C31" s="36"/>
      <c r="D31" s="36"/>
      <c r="E31" s="36"/>
      <c r="F31" s="71"/>
      <c r="G31" s="36"/>
      <c r="H31" s="36"/>
      <c r="I31" s="36"/>
      <c r="J31" s="117"/>
      <c r="K31" s="117"/>
      <c r="L31" s="117"/>
      <c r="M31" s="117"/>
      <c r="N31" s="117"/>
    </row>
    <row r="32" spans="1:18" customFormat="1" ht="13.5" customHeight="1">
      <c r="A32" s="36"/>
      <c r="B32" s="36"/>
      <c r="C32" s="36"/>
      <c r="D32" s="36"/>
      <c r="E32" s="36"/>
      <c r="F32" s="36"/>
      <c r="G32" s="36"/>
      <c r="H32" s="36"/>
      <c r="I32" s="36"/>
      <c r="J32" s="117"/>
      <c r="K32" s="117"/>
      <c r="L32" s="117"/>
      <c r="M32" s="117"/>
      <c r="N32" s="117"/>
    </row>
    <row r="33" spans="1:14" customFormat="1" ht="13.5" customHeight="1">
      <c r="A33" s="36"/>
      <c r="C33" s="74" t="s">
        <v>15</v>
      </c>
      <c r="D33" s="115"/>
      <c r="E33" s="36"/>
      <c r="F33" s="36"/>
      <c r="G33" s="36"/>
      <c r="H33" s="104" t="s">
        <v>16</v>
      </c>
      <c r="I33" s="136"/>
      <c r="J33" s="117"/>
      <c r="K33" s="117"/>
      <c r="L33" s="117"/>
      <c r="M33" s="117"/>
      <c r="N33" s="117"/>
    </row>
    <row r="34" spans="1:14" customFormat="1" ht="13.5" customHeight="1">
      <c r="A34" s="36"/>
      <c r="B34" s="36"/>
      <c r="C34" s="36"/>
      <c r="D34" s="36"/>
      <c r="E34" s="36"/>
      <c r="F34" s="36"/>
      <c r="G34" s="36"/>
      <c r="H34" s="36"/>
      <c r="I34" s="36"/>
      <c r="J34" s="117"/>
      <c r="K34" s="117"/>
      <c r="L34" s="117"/>
      <c r="M34" s="117"/>
      <c r="N34" s="117"/>
    </row>
    <row r="35" spans="1:14" customFormat="1" ht="35.25" customHeight="1">
      <c r="A35" s="72"/>
      <c r="C35" s="36"/>
      <c r="D35" s="36"/>
      <c r="E35" s="36"/>
      <c r="F35" s="36"/>
      <c r="G35" s="36"/>
      <c r="H35" s="36"/>
      <c r="I35" s="36"/>
      <c r="J35" s="36"/>
      <c r="K35" s="36"/>
      <c r="L35" s="36"/>
      <c r="M35" s="36"/>
      <c r="N35" s="36"/>
    </row>
    <row r="36" spans="1:14" customFormat="1" ht="29.25" customHeight="1" thickBot="1">
      <c r="A36" s="72" t="s">
        <v>17</v>
      </c>
      <c r="B36" s="36"/>
      <c r="C36" s="36"/>
      <c r="D36" s="36"/>
      <c r="E36" s="36"/>
      <c r="F36" s="36"/>
      <c r="G36" s="36"/>
      <c r="H36" s="36"/>
      <c r="I36" s="36"/>
      <c r="J36" s="36"/>
      <c r="K36" s="67"/>
      <c r="L36" s="67"/>
      <c r="M36" s="67"/>
      <c r="N36" s="36"/>
    </row>
    <row r="37" spans="1:14" ht="94.5" customHeight="1" thickBot="1">
      <c r="B37" s="95" t="s">
        <v>18</v>
      </c>
      <c r="C37" s="73" t="s">
        <v>19</v>
      </c>
      <c r="D37" s="93" t="s">
        <v>20</v>
      </c>
      <c r="E37" s="94" t="s">
        <v>21</v>
      </c>
      <c r="F37" s="94" t="s">
        <v>22</v>
      </c>
      <c r="G37" s="150" t="s">
        <v>23</v>
      </c>
      <c r="H37" s="151" t="s">
        <v>24</v>
      </c>
      <c r="I37" s="660" t="s">
        <v>518</v>
      </c>
      <c r="K37" s="724" t="s">
        <v>834</v>
      </c>
      <c r="L37" s="724"/>
      <c r="M37" s="724"/>
      <c r="N37" s="724"/>
    </row>
    <row r="38" spans="1:14" s="721" customFormat="1" ht="27" customHeight="1">
      <c r="A38" s="244"/>
      <c r="B38" s="485" t="s">
        <v>25</v>
      </c>
      <c r="C38" s="396"/>
      <c r="D38" s="389"/>
      <c r="E38" s="390"/>
      <c r="F38" s="390"/>
      <c r="G38" s="391"/>
      <c r="H38" s="659"/>
      <c r="I38" s="392"/>
      <c r="J38" s="36"/>
      <c r="K38" s="103"/>
      <c r="L38" s="103"/>
    </row>
    <row r="39" spans="1:14" ht="27" customHeight="1">
      <c r="A39" s="244"/>
      <c r="B39" s="486" t="s">
        <v>30</v>
      </c>
      <c r="C39" s="397"/>
      <c r="D39" s="361"/>
      <c r="E39" s="362"/>
      <c r="F39" s="362"/>
      <c r="G39" s="197"/>
      <c r="H39" s="197"/>
      <c r="I39" s="394"/>
      <c r="K39" s="103"/>
      <c r="L39" s="103"/>
      <c r="M39" s="103"/>
      <c r="N39" s="103"/>
    </row>
    <row r="40" spans="1:14" ht="27" customHeight="1">
      <c r="A40" s="244"/>
      <c r="B40" s="486" t="s">
        <v>34</v>
      </c>
      <c r="C40" s="397"/>
      <c r="D40" s="361"/>
      <c r="E40" s="362"/>
      <c r="F40" s="362"/>
      <c r="G40" s="197"/>
      <c r="H40" s="197"/>
      <c r="I40" s="394"/>
      <c r="K40" s="103"/>
      <c r="L40" s="103"/>
      <c r="M40" s="103"/>
      <c r="N40" s="103"/>
    </row>
    <row r="41" spans="1:14" ht="27" customHeight="1">
      <c r="A41" s="244"/>
      <c r="B41" s="486" t="s">
        <v>38</v>
      </c>
      <c r="C41" s="397"/>
      <c r="D41" s="361"/>
      <c r="E41" s="362"/>
      <c r="F41" s="362"/>
      <c r="G41" s="197"/>
      <c r="H41" s="197"/>
      <c r="I41" s="394"/>
      <c r="K41" s="103"/>
      <c r="L41" s="103"/>
      <c r="M41" s="103"/>
      <c r="N41" s="103"/>
    </row>
    <row r="42" spans="1:14" ht="27" customHeight="1">
      <c r="A42" s="244"/>
      <c r="B42" s="486" t="s">
        <v>39</v>
      </c>
      <c r="C42" s="393"/>
      <c r="D42" s="361"/>
      <c r="E42" s="362"/>
      <c r="F42" s="362"/>
      <c r="G42" s="197"/>
      <c r="H42" s="197"/>
      <c r="I42" s="394"/>
      <c r="K42" s="103"/>
      <c r="L42" s="103"/>
      <c r="M42" s="721"/>
      <c r="N42" s="721"/>
    </row>
    <row r="43" spans="1:14" ht="27" customHeight="1">
      <c r="A43" s="244"/>
      <c r="B43" s="486" t="s">
        <v>40</v>
      </c>
      <c r="C43" s="393"/>
      <c r="D43" s="361"/>
      <c r="E43" s="362"/>
      <c r="F43" s="362"/>
      <c r="G43" s="197"/>
      <c r="H43" s="197"/>
      <c r="I43" s="394"/>
      <c r="K43" s="103"/>
      <c r="L43" s="103"/>
      <c r="M43" s="103"/>
      <c r="N43" s="103"/>
    </row>
    <row r="44" spans="1:14" ht="27" customHeight="1">
      <c r="A44" s="244"/>
      <c r="B44" s="486" t="s">
        <v>41</v>
      </c>
      <c r="C44" s="393"/>
      <c r="D44" s="361"/>
      <c r="E44" s="362"/>
      <c r="F44" s="362"/>
      <c r="G44" s="197"/>
      <c r="H44" s="197"/>
      <c r="I44" s="394"/>
      <c r="K44" s="103"/>
      <c r="L44" s="103"/>
      <c r="M44" s="103"/>
      <c r="N44" s="103"/>
    </row>
    <row r="45" spans="1:14" ht="27" customHeight="1" thickBot="1">
      <c r="A45" s="244"/>
      <c r="B45" s="487" t="s">
        <v>42</v>
      </c>
      <c r="C45" s="395"/>
      <c r="D45" s="363"/>
      <c r="E45" s="364"/>
      <c r="F45" s="364"/>
      <c r="G45" s="266"/>
      <c r="H45" s="266"/>
      <c r="I45" s="395"/>
      <c r="K45" s="103"/>
      <c r="L45" s="103"/>
      <c r="M45" s="103"/>
      <c r="N45" s="103"/>
    </row>
    <row r="46" spans="1:14">
      <c r="K46" s="103"/>
      <c r="L46" s="103"/>
      <c r="M46" s="103"/>
      <c r="N46" s="103"/>
    </row>
    <row r="47" spans="1:14" ht="18.5">
      <c r="A47" s="72" t="s">
        <v>43</v>
      </c>
      <c r="C47" s="104"/>
      <c r="E47"/>
    </row>
    <row r="48" spans="1:14">
      <c r="B48"/>
    </row>
    <row r="49" spans="1:14" customFormat="1">
      <c r="A49" s="36"/>
      <c r="B49" s="52" t="s">
        <v>44</v>
      </c>
      <c r="C49" s="36"/>
      <c r="D49" s="36"/>
      <c r="E49" s="36"/>
      <c r="F49" s="36"/>
      <c r="G49" s="36"/>
      <c r="H49" s="36"/>
      <c r="I49" s="36"/>
      <c r="J49" s="103"/>
      <c r="K49" s="103"/>
      <c r="L49" s="103"/>
      <c r="M49" s="103"/>
      <c r="N49" s="103"/>
    </row>
    <row r="50" spans="1:14" customFormat="1">
      <c r="A50" s="36"/>
      <c r="B50" s="36"/>
      <c r="C50" s="36"/>
      <c r="D50" s="36"/>
      <c r="E50" s="36"/>
      <c r="F50" s="36"/>
      <c r="G50" s="36"/>
      <c r="H50" s="36"/>
      <c r="I50" s="36"/>
      <c r="J50" s="103"/>
      <c r="K50" s="103"/>
      <c r="L50" s="103"/>
      <c r="M50" s="103"/>
      <c r="N50" s="103"/>
    </row>
    <row r="51" spans="1:14" customFormat="1">
      <c r="A51" s="36"/>
      <c r="B51" s="52" t="s">
        <v>520</v>
      </c>
      <c r="C51" s="352" t="str">
        <f>Liste_CABS!F30</f>
        <v>H2a</v>
      </c>
      <c r="D51" s="36"/>
      <c r="E51" s="36"/>
      <c r="F51" s="36"/>
      <c r="G51" s="36"/>
      <c r="H51" s="36"/>
      <c r="I51" s="36"/>
      <c r="J51" s="103"/>
      <c r="K51" s="103"/>
      <c r="L51" s="103"/>
      <c r="M51" s="103"/>
      <c r="N51" s="103"/>
    </row>
    <row r="52" spans="1:14" customFormat="1">
      <c r="A52" s="36"/>
      <c r="B52" s="36"/>
      <c r="C52" s="247"/>
      <c r="D52" s="36"/>
      <c r="E52" s="36"/>
      <c r="F52" s="36"/>
      <c r="G52" s="36"/>
      <c r="H52" s="36"/>
      <c r="I52" s="36"/>
      <c r="J52" s="103"/>
      <c r="K52" s="103"/>
      <c r="L52" s="103"/>
      <c r="M52" s="103"/>
      <c r="N52" s="103"/>
    </row>
    <row r="53" spans="1:14" customFormat="1">
      <c r="A53" s="36"/>
      <c r="B53" s="36"/>
      <c r="C53" s="36"/>
      <c r="D53" s="36"/>
      <c r="E53" s="36"/>
      <c r="F53" s="36"/>
      <c r="G53" s="36"/>
      <c r="H53" s="36"/>
      <c r="I53" s="36"/>
      <c r="J53" s="103"/>
      <c r="K53" s="103"/>
      <c r="L53" s="103"/>
      <c r="M53" s="103"/>
      <c r="N53" s="103"/>
    </row>
    <row r="54" spans="1:14" customFormat="1">
      <c r="A54" s="36"/>
      <c r="B54" s="36"/>
      <c r="C54" s="36"/>
      <c r="D54" s="36"/>
      <c r="E54" s="36"/>
      <c r="F54" s="36"/>
      <c r="G54" s="36"/>
      <c r="H54" s="36"/>
      <c r="I54" s="36"/>
      <c r="J54" s="103"/>
      <c r="K54" s="103"/>
      <c r="L54" s="103"/>
      <c r="M54" s="103"/>
      <c r="N54" s="103"/>
    </row>
    <row r="55" spans="1:14" customFormat="1">
      <c r="A55" s="36"/>
      <c r="B55" s="36"/>
      <c r="C55" s="36"/>
      <c r="D55" s="36"/>
      <c r="E55" s="36"/>
      <c r="F55" s="36"/>
      <c r="G55" s="36"/>
      <c r="H55" s="36"/>
      <c r="I55" s="36"/>
      <c r="J55" s="103"/>
      <c r="K55" s="103"/>
      <c r="L55" s="103"/>
      <c r="M55" s="103"/>
      <c r="N55" s="103"/>
    </row>
    <row r="56" spans="1:14" customFormat="1">
      <c r="A56" s="36"/>
      <c r="B56" s="36"/>
      <c r="D56" s="36"/>
      <c r="E56" s="36"/>
      <c r="F56" s="36"/>
      <c r="G56" s="36"/>
      <c r="H56" s="36"/>
      <c r="I56" s="36"/>
      <c r="J56" s="67"/>
      <c r="K56" s="67"/>
      <c r="L56" s="67"/>
      <c r="M56" s="67"/>
      <c r="N56" s="67"/>
    </row>
    <row r="57" spans="1:14" customFormat="1">
      <c r="A57" s="36"/>
      <c r="B57" s="36"/>
      <c r="C57" s="52"/>
      <c r="D57" s="36"/>
      <c r="E57" s="36"/>
      <c r="F57" s="36"/>
      <c r="G57" s="36"/>
      <c r="H57" s="36"/>
      <c r="I57" s="36"/>
      <c r="J57" s="67"/>
      <c r="K57" s="67"/>
      <c r="L57" s="67"/>
      <c r="M57" s="67"/>
      <c r="N57" s="67"/>
    </row>
    <row r="58" spans="1:14" customFormat="1" ht="14.25" customHeight="1">
      <c r="A58" s="36"/>
      <c r="B58" s="36"/>
      <c r="C58" s="36"/>
      <c r="D58" s="36"/>
      <c r="E58" s="36"/>
      <c r="F58" s="36"/>
      <c r="G58" s="36"/>
      <c r="H58" s="36"/>
      <c r="I58" s="36"/>
      <c r="J58" s="67"/>
      <c r="K58" s="67"/>
      <c r="L58" s="67"/>
      <c r="M58" s="67"/>
      <c r="N58" s="67"/>
    </row>
    <row r="59" spans="1:14" customFormat="1" ht="18.5">
      <c r="A59" s="72" t="s">
        <v>45</v>
      </c>
      <c r="B59" s="36"/>
      <c r="C59" s="36"/>
      <c r="D59" s="36"/>
      <c r="E59" s="36"/>
      <c r="F59" s="72" t="s">
        <v>46</v>
      </c>
      <c r="G59" s="71"/>
      <c r="H59" s="36"/>
      <c r="I59" s="36"/>
      <c r="J59" s="36"/>
      <c r="K59" s="36"/>
      <c r="L59" s="36"/>
      <c r="M59" s="36"/>
      <c r="N59" s="36"/>
    </row>
    <row r="60" spans="1:14" customFormat="1">
      <c r="A60" s="36"/>
      <c r="B60" s="36"/>
      <c r="C60" s="36"/>
      <c r="D60" s="36"/>
      <c r="E60" s="36"/>
      <c r="F60" s="142" t="s">
        <v>47</v>
      </c>
      <c r="G60" s="36"/>
      <c r="H60" s="103"/>
      <c r="I60" s="103"/>
      <c r="J60" s="103"/>
      <c r="K60" s="36"/>
      <c r="L60" s="36"/>
      <c r="M60" s="36"/>
      <c r="N60" s="36"/>
    </row>
    <row r="61" spans="1:14" customFormat="1">
      <c r="A61" s="36"/>
      <c r="C61" s="52" t="s">
        <v>48</v>
      </c>
      <c r="D61" s="36"/>
      <c r="E61" s="36"/>
      <c r="F61" s="146" t="s">
        <v>874</v>
      </c>
      <c r="G61" s="141"/>
      <c r="H61" s="103"/>
      <c r="I61" s="103"/>
      <c r="J61" s="103"/>
      <c r="K61" s="36"/>
      <c r="L61" s="36"/>
      <c r="M61" s="36"/>
      <c r="N61" s="36"/>
    </row>
    <row r="62" spans="1:14" s="482" customFormat="1">
      <c r="A62" s="36"/>
      <c r="B62" s="52"/>
      <c r="C62" s="52"/>
      <c r="D62" s="36"/>
      <c r="E62" s="36"/>
      <c r="F62" s="725" t="s">
        <v>886</v>
      </c>
      <c r="G62" s="726"/>
      <c r="H62" s="726"/>
      <c r="I62" s="726"/>
      <c r="J62" s="103"/>
      <c r="K62" s="36"/>
      <c r="L62" s="36"/>
      <c r="M62" s="36"/>
      <c r="N62" s="36"/>
    </row>
    <row r="63" spans="1:14" s="482" customFormat="1">
      <c r="A63" s="36"/>
      <c r="C63" s="52" t="s">
        <v>887</v>
      </c>
      <c r="D63" s="36" t="str">
        <f>IFERROR(INDEX('CALCUL DEET'!D54:P82,1,MATCH(MAX('CALCUL DEET'!D82:P82),'CALCUL DEET'!D82:P82,0)),"")</f>
        <v/>
      </c>
      <c r="E63" s="36"/>
      <c r="F63" s="726"/>
      <c r="G63" s="726"/>
      <c r="H63" s="726"/>
      <c r="I63" s="726"/>
      <c r="J63" s="103"/>
      <c r="K63" s="36"/>
      <c r="L63" s="36"/>
      <c r="M63" s="36"/>
      <c r="N63" s="36"/>
    </row>
    <row r="64" spans="1:14" customFormat="1" ht="20.25" customHeight="1">
      <c r="A64" s="36"/>
      <c r="B64" s="36"/>
      <c r="C64" s="36"/>
      <c r="D64" s="36"/>
      <c r="E64" s="36"/>
      <c r="F64" s="726"/>
      <c r="G64" s="726"/>
      <c r="H64" s="726"/>
      <c r="I64" s="726"/>
      <c r="J64" s="345"/>
      <c r="K64" s="345"/>
      <c r="L64" s="36"/>
      <c r="M64" s="36"/>
      <c r="N64" s="36"/>
    </row>
    <row r="65" spans="1:14" customFormat="1">
      <c r="A65" s="36"/>
      <c r="B65" s="36"/>
      <c r="C65" s="52" t="s">
        <v>49</v>
      </c>
      <c r="D65" s="36"/>
      <c r="E65" s="36"/>
      <c r="F65" s="345"/>
      <c r="G65" s="345"/>
      <c r="H65" s="345"/>
      <c r="I65" s="345"/>
      <c r="J65" s="345"/>
      <c r="K65" s="345"/>
      <c r="L65" s="36"/>
      <c r="M65" s="36"/>
      <c r="N65" s="36"/>
    </row>
    <row r="66" spans="1:14" customFormat="1" ht="20.25" customHeight="1">
      <c r="A66" s="36"/>
      <c r="B66" s="36"/>
      <c r="D66" s="36"/>
      <c r="E66" s="36"/>
      <c r="F66" s="345"/>
      <c r="G66" s="345"/>
      <c r="H66" s="345"/>
      <c r="I66" s="345"/>
      <c r="J66" s="345"/>
      <c r="K66" s="345"/>
      <c r="L66" s="36"/>
      <c r="M66" s="36"/>
      <c r="N66" s="36"/>
    </row>
    <row r="67" spans="1:14" s="439" customFormat="1" ht="20.25" customHeight="1">
      <c r="A67" s="36"/>
      <c r="B67" s="36"/>
      <c r="C67" s="433"/>
      <c r="D67" s="36"/>
      <c r="E67" s="36"/>
      <c r="F67" s="345"/>
      <c r="G67" s="345"/>
      <c r="H67" s="345"/>
      <c r="I67" s="345"/>
      <c r="J67" s="345"/>
      <c r="K67" s="345"/>
      <c r="L67" s="36"/>
      <c r="M67" s="36"/>
      <c r="N67" s="36"/>
    </row>
    <row r="68" spans="1:14" s="439" customFormat="1" ht="20.25" customHeight="1">
      <c r="A68" s="36"/>
      <c r="B68" s="36"/>
      <c r="D68" s="36"/>
      <c r="E68" s="36"/>
      <c r="F68" s="345"/>
      <c r="G68" s="345"/>
      <c r="H68" s="345"/>
      <c r="I68" s="345"/>
      <c r="J68" s="345"/>
      <c r="K68" s="345"/>
      <c r="L68" s="36"/>
      <c r="M68" s="36"/>
      <c r="N68" s="36"/>
    </row>
    <row r="69" spans="1:14" customFormat="1">
      <c r="A69" s="36"/>
      <c r="B69" s="36"/>
      <c r="C69" s="36"/>
      <c r="D69" s="36"/>
      <c r="E69" s="36"/>
      <c r="F69" s="345"/>
      <c r="G69" s="345"/>
      <c r="H69" s="345"/>
      <c r="I69" s="345"/>
      <c r="J69" s="345"/>
      <c r="K69" s="345"/>
      <c r="L69" s="36"/>
      <c r="M69" s="36"/>
      <c r="N69" s="36"/>
    </row>
    <row r="70" spans="1:14" s="418" customFormat="1" ht="20.5" customHeight="1">
      <c r="A70" s="36"/>
      <c r="B70" s="36"/>
      <c r="C70" s="36"/>
      <c r="D70" s="36"/>
      <c r="E70" s="36"/>
      <c r="F70" s="36"/>
      <c r="G70" s="36"/>
      <c r="H70" s="36"/>
      <c r="I70" s="36"/>
      <c r="J70" s="36"/>
      <c r="K70" s="345"/>
      <c r="L70" s="36"/>
      <c r="M70" s="36"/>
      <c r="N70" s="36"/>
    </row>
    <row r="71" spans="1:14" s="418" customFormat="1" ht="18.5">
      <c r="A71" s="72" t="s">
        <v>53</v>
      </c>
      <c r="B71" s="36"/>
      <c r="C71" s="36"/>
      <c r="D71" s="36"/>
      <c r="E71" s="36"/>
      <c r="F71" s="432" t="s">
        <v>875</v>
      </c>
      <c r="G71" s="431"/>
      <c r="H71" s="431"/>
      <c r="I71" s="431"/>
      <c r="J71" s="431"/>
      <c r="K71" s="345"/>
      <c r="L71" s="36"/>
      <c r="M71" s="36"/>
      <c r="N71" s="36"/>
    </row>
    <row r="72" spans="1:14" s="418" customFormat="1">
      <c r="A72" s="36"/>
      <c r="B72" s="36"/>
      <c r="C72" s="52" t="s">
        <v>54</v>
      </c>
      <c r="D72" s="36"/>
      <c r="E72" s="36"/>
      <c r="F72" s="430"/>
      <c r="G72" s="103"/>
      <c r="H72" s="103"/>
      <c r="I72" s="103"/>
      <c r="J72" s="103"/>
      <c r="K72" s="36"/>
      <c r="L72" s="36"/>
      <c r="M72" s="36"/>
      <c r="N72" s="36"/>
    </row>
    <row r="73" spans="1:14" s="418" customFormat="1" ht="14.65" customHeight="1">
      <c r="A73" s="36"/>
      <c r="B73" s="36"/>
      <c r="C73" s="36"/>
      <c r="D73" s="36"/>
      <c r="E73" s="36"/>
      <c r="F73" s="430" t="s">
        <v>50</v>
      </c>
      <c r="G73" s="103"/>
      <c r="H73" s="144">
        <v>70</v>
      </c>
      <c r="I73" s="145" t="s">
        <v>51</v>
      </c>
      <c r="K73" s="36"/>
      <c r="L73" s="36"/>
      <c r="M73" s="36"/>
      <c r="N73" s="36"/>
    </row>
    <row r="74" spans="1:14" s="418" customFormat="1" ht="27" customHeight="1">
      <c r="A74" s="36"/>
      <c r="B74" s="36"/>
      <c r="C74" s="36"/>
      <c r="D74" s="36"/>
      <c r="E74" s="36"/>
      <c r="F74" s="722" t="s">
        <v>52</v>
      </c>
      <c r="G74" s="723"/>
      <c r="H74" s="723"/>
      <c r="I74" s="103"/>
      <c r="J74" s="103"/>
      <c r="K74" s="36"/>
      <c r="L74" s="36"/>
      <c r="M74" s="36"/>
      <c r="N74" s="36"/>
    </row>
    <row r="75" spans="1:14" customFormat="1">
      <c r="A75" s="36"/>
      <c r="B75" s="36"/>
      <c r="C75" s="36"/>
      <c r="D75" s="36"/>
      <c r="E75" s="36"/>
      <c r="F75" s="36"/>
      <c r="G75" s="36"/>
      <c r="H75" s="36"/>
      <c r="I75" s="36"/>
      <c r="J75" s="36"/>
      <c r="K75" s="36"/>
      <c r="L75" s="36"/>
      <c r="M75" s="36"/>
      <c r="N75" s="36"/>
    </row>
    <row r="76" spans="1:14" customFormat="1" ht="31" customHeight="1">
      <c r="A76" s="36"/>
      <c r="B76" s="36"/>
      <c r="C76" s="36"/>
      <c r="D76" s="36"/>
      <c r="E76" s="36"/>
      <c r="F76" s="36"/>
      <c r="G76" s="36"/>
      <c r="H76" s="36"/>
      <c r="I76" s="36"/>
      <c r="J76" s="36"/>
      <c r="K76" s="36"/>
      <c r="L76" s="36"/>
      <c r="M76" s="36"/>
      <c r="N76" s="36"/>
    </row>
    <row r="77" spans="1:14">
      <c r="F77" s="430"/>
      <c r="G77" s="103"/>
      <c r="H77" s="103"/>
      <c r="I77" s="103"/>
      <c r="J77" s="103"/>
    </row>
    <row r="78" spans="1:14"/>
    <row r="79" spans="1:14">
      <c r="B79" s="699" t="s">
        <v>55</v>
      </c>
      <c r="C79" s="699"/>
      <c r="D79" s="699"/>
      <c r="E79" s="699"/>
      <c r="F79" s="699"/>
      <c r="G79" s="699"/>
      <c r="H79" s="699"/>
      <c r="I79" s="699"/>
      <c r="J79" s="699"/>
    </row>
    <row r="80" spans="1:14">
      <c r="B80" s="699"/>
      <c r="C80" s="699"/>
      <c r="D80" s="699"/>
      <c r="E80" s="699"/>
      <c r="F80" s="699"/>
      <c r="G80" s="699"/>
      <c r="H80" s="699"/>
      <c r="I80" s="699"/>
      <c r="J80" s="699"/>
    </row>
    <row r="81"/>
    <row r="82"/>
  </sheetData>
  <sheetProtection formatColumns="0" formatRows="0"/>
  <protectedRanges>
    <protectedRange sqref="K6:K7" name="Site"/>
    <protectedRange sqref="H73" name="Forçage chauffage"/>
    <protectedRange sqref="C8:H28" name="Batiment_Activités_1"/>
    <protectedRange sqref="K8:K14" name="Site_1"/>
    <protectedRange sqref="I8:J14" name="Batiment_Activités_1_1"/>
    <protectedRange sqref="I8:I14" name="Plage2_5_1"/>
    <protectedRange sqref="I33" name="Places_Parking_1"/>
    <protectedRange sqref="K15:K28" name="Site_2"/>
    <protectedRange sqref="I15:J28" name="Batiment_Activités_2"/>
    <protectedRange sqref="I41:I44 C43:G45" name="Compteurs_2"/>
    <protectedRange sqref="I45 I38:I40" name="Plage3_1_2_1"/>
    <protectedRange sqref="C2:E2" name="Nom_etablissement_1"/>
  </protectedRanges>
  <mergeCells count="32">
    <mergeCell ref="I17:L17"/>
    <mergeCell ref="I18:L18"/>
    <mergeCell ref="I19:L19"/>
    <mergeCell ref="M38:XFD38"/>
    <mergeCell ref="F74:H74"/>
    <mergeCell ref="M42:N42"/>
    <mergeCell ref="I20:L20"/>
    <mergeCell ref="I21:L21"/>
    <mergeCell ref="I22:L22"/>
    <mergeCell ref="K37:N37"/>
    <mergeCell ref="I24:L24"/>
    <mergeCell ref="I25:L25"/>
    <mergeCell ref="I26:L26"/>
    <mergeCell ref="I27:L27"/>
    <mergeCell ref="I28:L28"/>
    <mergeCell ref="F62:I64"/>
    <mergeCell ref="B79:J80"/>
    <mergeCell ref="G30:H30"/>
    <mergeCell ref="C2:E2"/>
    <mergeCell ref="C6:E6"/>
    <mergeCell ref="F6:G6"/>
    <mergeCell ref="I6:L7"/>
    <mergeCell ref="I8:L8"/>
    <mergeCell ref="I9:L9"/>
    <mergeCell ref="I10:L10"/>
    <mergeCell ref="I11:L11"/>
    <mergeCell ref="I23:L23"/>
    <mergeCell ref="I12:L12"/>
    <mergeCell ref="I13:L13"/>
    <mergeCell ref="I14:L14"/>
    <mergeCell ref="I15:L15"/>
    <mergeCell ref="I16:L16"/>
  </mergeCells>
  <phoneticPr fontId="42" type="noConversion"/>
  <conditionalFormatting sqref="C9:C28 F9:F28">
    <cfRule type="containsBlanks" dxfId="194" priority="180">
      <formula>LEN(TRIM(C9))=0</formula>
    </cfRule>
    <cfRule type="cellIs" dxfId="193" priority="181" operator="greaterThan">
      <formula>0</formula>
    </cfRule>
  </conditionalFormatting>
  <conditionalFormatting sqref="H9:H27 C8:H8 C9:G28">
    <cfRule type="containsBlanks" dxfId="192" priority="130">
      <formula>LEN(TRIM(C8))=0</formula>
    </cfRule>
    <cfRule type="cellIs" dxfId="191" priority="131" operator="greaterThan">
      <formula>0</formula>
    </cfRule>
  </conditionalFormatting>
  <conditionalFormatting sqref="I8:I28">
    <cfRule type="containsBlanks" dxfId="190" priority="72">
      <formula>LEN(TRIM(I8))=0</formula>
    </cfRule>
    <cfRule type="cellIs" dxfId="189" priority="73" operator="greaterThan">
      <formula>0</formula>
    </cfRule>
  </conditionalFormatting>
  <conditionalFormatting sqref="E8:E28">
    <cfRule type="containsBlanks" dxfId="188" priority="64">
      <formula>LEN(TRIM(E8))=0</formula>
    </cfRule>
    <cfRule type="cellIs" dxfId="187" priority="65" operator="greaterThan">
      <formula>0</formula>
    </cfRule>
  </conditionalFormatting>
  <conditionalFormatting sqref="E8:E28">
    <cfRule type="containsBlanks" dxfId="186" priority="62">
      <formula>LEN(TRIM(E8))=0</formula>
    </cfRule>
    <cfRule type="cellIs" dxfId="185" priority="63" operator="greaterThan">
      <formula>0</formula>
    </cfRule>
  </conditionalFormatting>
  <conditionalFormatting sqref="G8:G28">
    <cfRule type="containsBlanks" dxfId="184" priority="60">
      <formula>LEN(TRIM(G8))=0</formula>
    </cfRule>
    <cfRule type="cellIs" dxfId="183" priority="61" operator="greaterThan">
      <formula>0</formula>
    </cfRule>
  </conditionalFormatting>
  <conditionalFormatting sqref="C39:C45">
    <cfRule type="notContainsBlanks" dxfId="182" priority="42">
      <formula>LEN(TRIM(C39))&gt;0</formula>
    </cfRule>
  </conditionalFormatting>
  <conditionalFormatting sqref="C38:G45">
    <cfRule type="containsBlanks" dxfId="181" priority="43">
      <formula>LEN(TRIM(C38))=0</formula>
    </cfRule>
    <cfRule type="cellIs" dxfId="180" priority="44" operator="greaterThan">
      <formula>0</formula>
    </cfRule>
  </conditionalFormatting>
  <conditionalFormatting sqref="I38 H39:I44 H45">
    <cfRule type="containsBlanks" dxfId="179" priority="40">
      <formula>LEN(TRIM(H38))=0</formula>
    </cfRule>
    <cfRule type="cellIs" dxfId="178" priority="41" operator="greaterThan">
      <formula>0</formula>
    </cfRule>
  </conditionalFormatting>
  <conditionalFormatting sqref="H38">
    <cfRule type="containsBlanks" dxfId="177" priority="38">
      <formula>LEN(TRIM(H38))=0</formula>
    </cfRule>
    <cfRule type="cellIs" dxfId="176" priority="39" operator="greaterThan">
      <formula>0</formula>
    </cfRule>
  </conditionalFormatting>
  <conditionalFormatting sqref="H9:H27">
    <cfRule type="containsBlanks" dxfId="175" priority="22">
      <formula>LEN(TRIM(H9))=0</formula>
    </cfRule>
    <cfRule type="cellIs" dxfId="174" priority="23" operator="greaterThan">
      <formula>0</formula>
    </cfRule>
  </conditionalFormatting>
  <conditionalFormatting sqref="H9:H27">
    <cfRule type="cellIs" dxfId="173" priority="21" operator="greaterThan">
      <formula>0</formula>
    </cfRule>
    <cfRule type="containsBlanks" dxfId="172" priority="182">
      <formula>LEN(TRIM(H9))=0</formula>
    </cfRule>
  </conditionalFormatting>
  <conditionalFormatting sqref="H8">
    <cfRule type="containsBlanks" dxfId="171" priority="13">
      <formula>LEN(TRIM(H8))=0</formula>
    </cfRule>
    <cfRule type="cellIs" dxfId="170" priority="14" operator="greaterThan">
      <formula>0</formula>
    </cfRule>
  </conditionalFormatting>
  <conditionalFormatting sqref="H8">
    <cfRule type="cellIs" dxfId="169" priority="12" operator="greaterThan">
      <formula>0</formula>
    </cfRule>
    <cfRule type="containsBlanks" dxfId="168" priority="15">
      <formula>LEN(TRIM(H8))=0</formula>
    </cfRule>
  </conditionalFormatting>
  <conditionalFormatting sqref="G9:G28">
    <cfRule type="containsBlanks" dxfId="167" priority="10">
      <formula>LEN(TRIM(G9))=0</formula>
    </cfRule>
    <cfRule type="cellIs" dxfId="166" priority="11" operator="greaterThan">
      <formula>0</formula>
    </cfRule>
  </conditionalFormatting>
  <conditionalFormatting sqref="H28">
    <cfRule type="containsBlanks" dxfId="165" priority="7">
      <formula>LEN(TRIM(H28))=0</formula>
    </cfRule>
    <cfRule type="cellIs" dxfId="164" priority="8" operator="greaterThan">
      <formula>0</formula>
    </cfRule>
  </conditionalFormatting>
  <conditionalFormatting sqref="H28">
    <cfRule type="containsBlanks" dxfId="163" priority="5">
      <formula>LEN(TRIM(H28))=0</formula>
    </cfRule>
    <cfRule type="cellIs" dxfId="162" priority="6" operator="greaterThan">
      <formula>0</formula>
    </cfRule>
  </conditionalFormatting>
  <conditionalFormatting sqref="H28">
    <cfRule type="cellIs" dxfId="161" priority="4" operator="greaterThan">
      <formula>0</formula>
    </cfRule>
    <cfRule type="containsBlanks" dxfId="160" priority="9">
      <formula>LEN(TRIM(H28))=0</formula>
    </cfRule>
  </conditionalFormatting>
  <conditionalFormatting sqref="I45">
    <cfRule type="notContainsBlanks" dxfId="159" priority="1">
      <formula>LEN(TRIM(I45))&gt;0</formula>
    </cfRule>
  </conditionalFormatting>
  <conditionalFormatting sqref="I45">
    <cfRule type="containsBlanks" dxfId="158" priority="2">
      <formula>LEN(TRIM(I45))=0</formula>
    </cfRule>
    <cfRule type="cellIs" dxfId="157" priority="3" operator="greaterThan">
      <formula>0</formula>
    </cfRule>
  </conditionalFormatting>
  <dataValidations count="4">
    <dataValidation type="list" allowBlank="1" showInputMessage="1" showErrorMessage="1" sqref="G38:G45">
      <formula1>Combustibles</formula1>
    </dataValidation>
    <dataValidation type="list" allowBlank="1" showInputMessage="1" showErrorMessage="1" sqref="D38:D45">
      <formula1>Liste_Type_compteur</formula1>
    </dataValidation>
    <dataValidation type="list" allowBlank="1" showInputMessage="1" showErrorMessage="1" sqref="E38:F45">
      <formula1>INDIRECT(D38)</formula1>
    </dataValidation>
    <dataValidation type="date" allowBlank="1" showInputMessage="1" showErrorMessage="1" sqref="I38:I45">
      <formula1>40179</formula1>
      <formula2>47848</formula2>
    </dataValidation>
  </dataValidations>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9223" r:id="rId4" name="Drop Down 7">
              <controlPr defaultSize="0" autoLine="0" autoPict="0">
                <anchor moveWithCells="1">
                  <from>
                    <xdr:col>3</xdr:col>
                    <xdr:colOff>285750</xdr:colOff>
                    <xdr:row>60</xdr:row>
                    <xdr:rowOff>19050</xdr:rowOff>
                  </from>
                  <to>
                    <xdr:col>4</xdr:col>
                    <xdr:colOff>76200</xdr:colOff>
                    <xdr:row>61</xdr:row>
                    <xdr:rowOff>76200</xdr:rowOff>
                  </to>
                </anchor>
              </controlPr>
            </control>
          </mc:Choice>
        </mc:AlternateContent>
        <mc:AlternateContent xmlns:mc="http://schemas.openxmlformats.org/markup-compatibility/2006">
          <mc:Choice Requires="x14">
            <control shapeId="9226" r:id="rId5" name="Drop Down 10">
              <controlPr defaultSize="0" autoLine="0" autoPict="0">
                <anchor moveWithCells="1">
                  <from>
                    <xdr:col>3</xdr:col>
                    <xdr:colOff>76200</xdr:colOff>
                    <xdr:row>28</xdr:row>
                    <xdr:rowOff>171450</xdr:rowOff>
                  </from>
                  <to>
                    <xdr:col>4</xdr:col>
                    <xdr:colOff>361950</xdr:colOff>
                    <xdr:row>30</xdr:row>
                    <xdr:rowOff>76200</xdr:rowOff>
                  </to>
                </anchor>
              </controlPr>
            </control>
          </mc:Choice>
        </mc:AlternateContent>
        <mc:AlternateContent xmlns:mc="http://schemas.openxmlformats.org/markup-compatibility/2006">
          <mc:Choice Requires="x14">
            <control shapeId="9227" r:id="rId6" name="Drop Down 11">
              <controlPr defaultSize="0" autoLine="0" autoPict="0">
                <anchor moveWithCells="1">
                  <from>
                    <xdr:col>3</xdr:col>
                    <xdr:colOff>285750</xdr:colOff>
                    <xdr:row>64</xdr:row>
                    <xdr:rowOff>19050</xdr:rowOff>
                  </from>
                  <to>
                    <xdr:col>4</xdr:col>
                    <xdr:colOff>57150</xdr:colOff>
                    <xdr:row>65</xdr:row>
                    <xdr:rowOff>76200</xdr:rowOff>
                  </to>
                </anchor>
              </controlPr>
            </control>
          </mc:Choice>
        </mc:AlternateContent>
        <mc:AlternateContent xmlns:mc="http://schemas.openxmlformats.org/markup-compatibility/2006">
          <mc:Choice Requires="x14">
            <control shapeId="9230" r:id="rId7" name="Drop Down 14">
              <controlPr defaultSize="0" autoLine="0" autoPict="0">
                <anchor moveWithCells="1">
                  <from>
                    <xdr:col>3</xdr:col>
                    <xdr:colOff>203200</xdr:colOff>
                    <xdr:row>70</xdr:row>
                    <xdr:rowOff>190500</xdr:rowOff>
                  </from>
                  <to>
                    <xdr:col>4</xdr:col>
                    <xdr:colOff>50800</xdr:colOff>
                    <xdr:row>72</xdr:row>
                    <xdr:rowOff>0</xdr:rowOff>
                  </to>
                </anchor>
              </controlPr>
            </control>
          </mc:Choice>
        </mc:AlternateContent>
        <mc:AlternateContent xmlns:mc="http://schemas.openxmlformats.org/markup-compatibility/2006">
          <mc:Choice Requires="x14">
            <control shapeId="9248" r:id="rId8" name="Drop Down 32">
              <controlPr defaultSize="0" autoLine="0" autoPict="0">
                <anchor moveWithCells="1">
                  <from>
                    <xdr:col>3</xdr:col>
                    <xdr:colOff>76200</xdr:colOff>
                    <xdr:row>31</xdr:row>
                    <xdr:rowOff>133350</xdr:rowOff>
                  </from>
                  <to>
                    <xdr:col>5</xdr:col>
                    <xdr:colOff>590550</xdr:colOff>
                    <xdr:row>33</xdr:row>
                    <xdr:rowOff>76200</xdr:rowOff>
                  </to>
                </anchor>
              </controlPr>
            </control>
          </mc:Choice>
        </mc:AlternateContent>
        <mc:AlternateContent xmlns:mc="http://schemas.openxmlformats.org/markup-compatibility/2006">
          <mc:Choice Requires="x14">
            <control shapeId="9249" r:id="rId9" name="Drop Down 33">
              <controlPr defaultSize="0" autoLine="0" autoPict="0">
                <anchor moveWithCells="1">
                  <from>
                    <xdr:col>7</xdr:col>
                    <xdr:colOff>247650</xdr:colOff>
                    <xdr:row>58</xdr:row>
                    <xdr:rowOff>209550</xdr:rowOff>
                  </from>
                  <to>
                    <xdr:col>8</xdr:col>
                    <xdr:colOff>457200</xdr:colOff>
                    <xdr:row>60</xdr:row>
                    <xdr:rowOff>38100</xdr:rowOff>
                  </to>
                </anchor>
              </controlPr>
            </control>
          </mc:Choice>
        </mc:AlternateContent>
        <mc:AlternateContent xmlns:mc="http://schemas.openxmlformats.org/markup-compatibility/2006">
          <mc:Choice Requires="x14">
            <control shapeId="9250" r:id="rId10" name="Drop Down 34">
              <controlPr defaultSize="0" autoLine="0" autoPict="0">
                <anchor moveWithCells="1">
                  <from>
                    <xdr:col>6</xdr:col>
                    <xdr:colOff>1060450</xdr:colOff>
                    <xdr:row>70</xdr:row>
                    <xdr:rowOff>19050</xdr:rowOff>
                  </from>
                  <to>
                    <xdr:col>7</xdr:col>
                    <xdr:colOff>965200</xdr:colOff>
                    <xdr:row>71</xdr:row>
                    <xdr:rowOff>50800</xdr:rowOff>
                  </to>
                </anchor>
              </controlPr>
            </control>
          </mc:Choice>
        </mc:AlternateContent>
        <mc:AlternateContent xmlns:mc="http://schemas.openxmlformats.org/markup-compatibility/2006">
          <mc:Choice Requires="x14">
            <control shapeId="9256" r:id="rId11" name="Drop Down 40">
              <controlPr defaultSize="0" autoLine="0" autoPict="0">
                <anchor moveWithCells="1">
                  <from>
                    <xdr:col>2</xdr:col>
                    <xdr:colOff>57150</xdr:colOff>
                    <xdr:row>47</xdr:row>
                    <xdr:rowOff>152400</xdr:rowOff>
                  </from>
                  <to>
                    <xdr:col>3</xdr:col>
                    <xdr:colOff>323850</xdr:colOff>
                    <xdr:row>49</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Liste!$T$16:$T$17</xm:f>
          </x14:formula1>
          <xm:sqref>H38:H45</xm:sqref>
        </x14:dataValidation>
      </x14:dataValidations>
    </ext>
    <ext xmlns:x14="http://schemas.microsoft.com/office/spreadsheetml/2009/9/main" uri="{A8765BA9-456A-4dab-B4F3-ACF838C121DE}">
      <x14:slicerList>
        <x14:slicer r:id="rId12"/>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theme="4"/>
  </sheetPr>
  <dimension ref="A1:K33"/>
  <sheetViews>
    <sheetView zoomScaleNormal="100" workbookViewId="0"/>
  </sheetViews>
  <sheetFormatPr baseColWidth="10" defaultColWidth="0" defaultRowHeight="14.5" zeroHeight="1"/>
  <cols>
    <col min="1" max="9" width="11.36328125" customWidth="1"/>
    <col min="10" max="10" width="12.81640625" customWidth="1"/>
    <col min="11" max="11" width="14.26953125" customWidth="1"/>
    <col min="12" max="16384" width="18.36328125" hidden="1"/>
  </cols>
  <sheetData>
    <row r="1" spans="1:11">
      <c r="A1" s="438">
        <f>IFERROR(IF(VLOOKUP(Calcul_Bilan_Energie!N2,DJU!$O$14:$Q$44,2,0)=12,0,"/!\ DJU Incomplets"),"/!\ DJU Incomplets")</f>
        <v>0</v>
      </c>
      <c r="B1" s="100" t="s">
        <v>0</v>
      </c>
      <c r="C1" s="727">
        <f>Site!C2</f>
        <v>0</v>
      </c>
      <c r="D1" s="727"/>
      <c r="E1" s="727"/>
      <c r="F1" s="36"/>
      <c r="G1" s="36"/>
      <c r="H1" s="36"/>
      <c r="I1" s="36"/>
      <c r="J1" s="36"/>
      <c r="K1" s="36"/>
    </row>
    <row r="2" spans="1:11">
      <c r="A2" s="36"/>
      <c r="C2" s="36"/>
      <c r="D2" s="36"/>
      <c r="E2" s="36"/>
      <c r="F2" s="36"/>
      <c r="G2" s="36"/>
      <c r="H2" s="36"/>
      <c r="I2" s="36"/>
      <c r="J2" s="36"/>
      <c r="K2" s="36"/>
    </row>
    <row r="3" spans="1:11">
      <c r="A3" s="105"/>
      <c r="B3" s="36"/>
      <c r="C3" s="36"/>
      <c r="D3" s="36"/>
      <c r="E3" s="36"/>
      <c r="F3" s="36"/>
      <c r="G3" s="36"/>
      <c r="H3" s="36"/>
      <c r="I3" s="36"/>
      <c r="J3" s="36"/>
    </row>
    <row r="4" spans="1:11">
      <c r="B4" s="36"/>
      <c r="C4" s="36"/>
      <c r="D4" s="36"/>
      <c r="E4" s="36"/>
      <c r="F4" s="36"/>
      <c r="G4" s="36"/>
      <c r="H4" s="36"/>
      <c r="I4" s="36"/>
      <c r="J4" s="36"/>
      <c r="K4" s="36"/>
    </row>
    <row r="5" spans="1:11">
      <c r="A5" s="36"/>
      <c r="B5" s="36"/>
      <c r="C5" s="36"/>
      <c r="D5" s="36"/>
      <c r="E5" s="36"/>
      <c r="F5" s="36"/>
      <c r="G5" s="36"/>
      <c r="H5" s="36"/>
      <c r="I5" s="105"/>
      <c r="J5" s="36"/>
      <c r="K5" s="36"/>
    </row>
    <row r="6" spans="1:11">
      <c r="A6" s="36"/>
      <c r="B6" s="36"/>
      <c r="C6" s="413" t="s">
        <v>863</v>
      </c>
      <c r="D6" s="36"/>
      <c r="E6" s="36"/>
      <c r="F6" s="36"/>
      <c r="G6" s="36"/>
      <c r="H6" s="36"/>
      <c r="J6" s="36"/>
      <c r="K6" s="52"/>
    </row>
    <row r="7" spans="1:11">
      <c r="A7" s="36"/>
      <c r="B7" s="36"/>
      <c r="C7" s="36"/>
      <c r="D7" s="36"/>
      <c r="E7" s="36"/>
      <c r="F7" s="36"/>
      <c r="G7" s="36"/>
      <c r="H7" s="36"/>
      <c r="I7" s="36"/>
      <c r="J7" s="36"/>
      <c r="K7" s="36"/>
    </row>
    <row r="8" spans="1:11">
      <c r="A8" s="36"/>
      <c r="B8" s="36"/>
      <c r="C8" s="36"/>
      <c r="D8" s="36"/>
      <c r="E8" s="36"/>
      <c r="F8" s="36"/>
      <c r="G8" s="36"/>
      <c r="H8" s="36"/>
      <c r="I8" s="36"/>
      <c r="J8" s="36"/>
      <c r="K8" s="36"/>
    </row>
    <row r="9" spans="1:11">
      <c r="A9" s="36"/>
      <c r="B9" s="36"/>
      <c r="C9" s="413" t="s">
        <v>864</v>
      </c>
      <c r="D9" s="36"/>
      <c r="E9" s="36"/>
      <c r="F9" s="36"/>
      <c r="G9" s="36"/>
      <c r="H9" s="36"/>
      <c r="I9" s="36"/>
      <c r="J9" s="36"/>
      <c r="K9" s="36"/>
    </row>
    <row r="10" spans="1:11">
      <c r="A10" s="36"/>
      <c r="B10" s="36"/>
      <c r="C10" s="36"/>
      <c r="D10" s="36"/>
      <c r="E10" s="36"/>
      <c r="F10" s="36"/>
      <c r="G10" s="36"/>
      <c r="H10" s="36"/>
      <c r="I10" s="36"/>
      <c r="J10" s="36"/>
      <c r="K10" s="36"/>
    </row>
    <row r="11" spans="1:11">
      <c r="A11" s="36"/>
      <c r="B11" s="36"/>
      <c r="C11" s="36"/>
      <c r="D11" s="36"/>
      <c r="E11" s="36"/>
      <c r="F11" s="36"/>
      <c r="G11" s="36"/>
      <c r="H11" s="36"/>
      <c r="I11" s="36"/>
      <c r="J11" s="36"/>
      <c r="K11" s="36"/>
    </row>
    <row r="12" spans="1:11">
      <c r="A12" s="36"/>
      <c r="B12" s="36"/>
      <c r="C12" s="36"/>
      <c r="D12" s="36"/>
      <c r="E12" s="36"/>
      <c r="F12" s="36"/>
      <c r="G12" s="36"/>
      <c r="H12" s="36"/>
      <c r="I12" s="36"/>
      <c r="J12" s="36"/>
      <c r="K12" s="36"/>
    </row>
    <row r="13" spans="1:11">
      <c r="A13" s="36"/>
      <c r="B13" s="36"/>
      <c r="C13" s="36"/>
      <c r="D13" s="36"/>
      <c r="E13" s="36"/>
      <c r="F13" s="36"/>
      <c r="G13" s="36"/>
      <c r="H13" s="36"/>
      <c r="I13" s="36"/>
      <c r="J13" s="36"/>
      <c r="K13" s="36"/>
    </row>
    <row r="14" spans="1:11">
      <c r="A14" s="36"/>
      <c r="B14" s="36"/>
      <c r="C14" s="36"/>
      <c r="D14" s="36"/>
      <c r="E14" s="36"/>
      <c r="F14" s="36"/>
      <c r="G14" s="36"/>
      <c r="H14" s="36"/>
      <c r="I14" s="36"/>
      <c r="J14" s="36"/>
      <c r="K14" s="36"/>
    </row>
    <row r="15" spans="1:11">
      <c r="A15" s="36"/>
      <c r="B15" s="36"/>
      <c r="C15" s="36"/>
      <c r="D15" s="36"/>
      <c r="E15" s="36"/>
      <c r="F15" s="36"/>
      <c r="G15" s="36"/>
      <c r="H15" s="36"/>
      <c r="I15" s="36"/>
      <c r="J15" s="36"/>
      <c r="K15" s="36"/>
    </row>
    <row r="16" spans="1:11">
      <c r="A16" s="36"/>
      <c r="B16" s="36"/>
      <c r="C16" s="36"/>
      <c r="D16" s="36"/>
      <c r="E16" s="36"/>
      <c r="F16" s="36"/>
      <c r="G16" s="36"/>
      <c r="H16" s="36"/>
      <c r="I16" s="36"/>
      <c r="J16" s="36"/>
      <c r="K16" s="36"/>
    </row>
    <row r="17" spans="1:11">
      <c r="A17" s="36"/>
      <c r="B17" s="36"/>
      <c r="C17" s="36"/>
      <c r="D17" s="36"/>
      <c r="E17" s="36"/>
      <c r="F17" s="36"/>
      <c r="G17" s="36"/>
      <c r="H17" s="36"/>
      <c r="I17" s="36"/>
      <c r="J17" s="36"/>
      <c r="K17" s="36"/>
    </row>
    <row r="18" spans="1:11">
      <c r="A18" s="36"/>
      <c r="B18" s="36"/>
      <c r="C18" s="36"/>
      <c r="D18" s="36"/>
      <c r="E18" s="36"/>
      <c r="F18" s="36"/>
      <c r="G18" s="36"/>
      <c r="H18" s="36"/>
      <c r="I18" s="36"/>
      <c r="J18" s="36"/>
      <c r="K18" s="36"/>
    </row>
    <row r="19" spans="1:11">
      <c r="A19" s="36"/>
      <c r="B19" s="36"/>
      <c r="C19" s="36"/>
      <c r="D19" s="36"/>
      <c r="E19" s="36"/>
      <c r="F19" s="36"/>
      <c r="H19" s="36"/>
      <c r="I19" s="36"/>
      <c r="J19" s="36"/>
      <c r="K19" s="36"/>
    </row>
    <row r="20" spans="1:11">
      <c r="A20" s="36"/>
      <c r="B20" s="36"/>
      <c r="C20" s="36"/>
      <c r="D20" s="36"/>
      <c r="E20" s="36"/>
      <c r="F20" s="36"/>
      <c r="G20" s="36"/>
      <c r="H20" s="36"/>
      <c r="I20" s="36"/>
      <c r="J20" s="36"/>
      <c r="K20" s="36"/>
    </row>
    <row r="21" spans="1:11">
      <c r="A21" s="36"/>
      <c r="B21" s="36"/>
      <c r="C21" s="36"/>
      <c r="D21" s="36"/>
      <c r="E21" s="36"/>
      <c r="F21" s="36"/>
      <c r="G21" s="36"/>
      <c r="H21" s="36"/>
      <c r="I21" s="36"/>
      <c r="J21" s="36"/>
      <c r="K21" s="36"/>
    </row>
    <row r="22" spans="1:11">
      <c r="A22" s="36"/>
      <c r="B22" s="36"/>
      <c r="C22" s="36"/>
      <c r="D22" s="36"/>
      <c r="E22" s="36"/>
      <c r="F22" s="36"/>
      <c r="G22" s="36"/>
      <c r="H22" s="36"/>
      <c r="I22" s="36"/>
      <c r="J22" s="36"/>
      <c r="K22" s="36"/>
    </row>
    <row r="23" spans="1:11">
      <c r="A23" s="36"/>
      <c r="B23" s="36"/>
      <c r="C23" s="36"/>
      <c r="D23" s="36"/>
      <c r="E23" s="36"/>
      <c r="F23" s="36"/>
      <c r="G23" s="36"/>
      <c r="H23" s="36"/>
      <c r="I23" s="36"/>
      <c r="J23" s="36"/>
      <c r="K23" s="36"/>
    </row>
    <row r="24" spans="1:11">
      <c r="A24" s="36"/>
      <c r="B24" s="36"/>
      <c r="C24" s="36"/>
      <c r="D24" s="36"/>
      <c r="E24" s="36"/>
      <c r="F24" s="36"/>
      <c r="G24" s="36"/>
      <c r="H24" s="36"/>
      <c r="I24" s="36"/>
      <c r="J24" s="36"/>
      <c r="K24" s="36"/>
    </row>
    <row r="25" spans="1:11">
      <c r="A25" s="36"/>
      <c r="B25" s="36"/>
      <c r="C25" s="36"/>
      <c r="D25" s="36"/>
      <c r="E25" s="36"/>
      <c r="F25" s="36"/>
      <c r="G25" s="36"/>
      <c r="H25" s="36"/>
      <c r="I25" s="36"/>
      <c r="J25" s="36"/>
      <c r="K25" s="36"/>
    </row>
    <row r="26" spans="1:11">
      <c r="A26" s="36"/>
      <c r="B26" s="36"/>
      <c r="C26" s="36"/>
      <c r="D26" s="36"/>
      <c r="E26" s="36"/>
      <c r="F26" s="36"/>
      <c r="G26" s="36"/>
      <c r="H26" s="36"/>
      <c r="I26" s="36"/>
      <c r="J26" s="36"/>
      <c r="K26" s="36"/>
    </row>
    <row r="27" spans="1:11">
      <c r="A27" s="36"/>
      <c r="B27" s="36"/>
      <c r="C27" s="36"/>
      <c r="D27" s="36"/>
      <c r="E27" s="36"/>
      <c r="F27" s="36"/>
      <c r="G27" s="36"/>
      <c r="H27" s="36"/>
      <c r="I27" s="36"/>
      <c r="J27" s="36"/>
      <c r="K27" s="36"/>
    </row>
    <row r="28" spans="1:11">
      <c r="A28" s="36"/>
      <c r="B28" s="36"/>
      <c r="C28" s="36"/>
      <c r="D28" s="36"/>
      <c r="E28" s="36"/>
      <c r="F28" s="36"/>
      <c r="G28" s="36"/>
      <c r="H28" s="36"/>
      <c r="I28" s="36"/>
      <c r="J28" s="36"/>
      <c r="K28" s="36"/>
    </row>
    <row r="29" spans="1:11">
      <c r="A29" s="36"/>
      <c r="B29" s="36"/>
      <c r="C29" s="36"/>
      <c r="D29" s="36"/>
      <c r="E29" s="36"/>
      <c r="F29" s="36"/>
      <c r="G29" s="36"/>
      <c r="H29" s="36"/>
      <c r="I29" s="36"/>
      <c r="J29" s="36"/>
      <c r="K29" s="36"/>
    </row>
    <row r="30" spans="1:11">
      <c r="A30" s="36"/>
      <c r="B30" s="36"/>
      <c r="C30" s="36"/>
      <c r="D30" s="36"/>
      <c r="E30" s="36"/>
      <c r="F30" s="36"/>
      <c r="G30" s="36"/>
      <c r="H30" s="36"/>
      <c r="I30" s="36"/>
      <c r="J30" s="36"/>
      <c r="K30" s="36"/>
    </row>
    <row r="31" spans="1:11">
      <c r="A31" s="36"/>
      <c r="B31" s="36"/>
      <c r="C31" s="36"/>
      <c r="D31" s="36"/>
      <c r="E31" s="36"/>
      <c r="F31" s="36"/>
      <c r="G31" s="36"/>
      <c r="H31" s="36"/>
      <c r="I31" s="36"/>
      <c r="J31" s="36"/>
      <c r="K31" s="36"/>
    </row>
    <row r="32" spans="1:11">
      <c r="A32" s="36"/>
      <c r="B32" s="36"/>
      <c r="C32" s="36"/>
      <c r="D32" s="36"/>
      <c r="E32" s="36"/>
      <c r="F32" s="36"/>
      <c r="G32" s="36"/>
      <c r="H32" s="36"/>
      <c r="I32" s="36"/>
      <c r="J32" s="36"/>
      <c r="K32" s="36"/>
    </row>
    <row r="33" spans="1:11" ht="20.25" customHeight="1">
      <c r="A33" s="36"/>
      <c r="B33" s="36"/>
      <c r="C33" s="36"/>
      <c r="D33" s="36"/>
      <c r="E33" s="36"/>
      <c r="F33" s="36"/>
      <c r="G33" s="36"/>
      <c r="H33" s="36"/>
      <c r="I33" s="36"/>
      <c r="J33" s="36"/>
      <c r="K33" s="36"/>
    </row>
  </sheetData>
  <sheetProtection sheet="1" autoFilter="0" pivotTables="0"/>
  <protectedRanges>
    <protectedRange sqref="C1:E1" name="Plage1"/>
  </protectedRanges>
  <mergeCells count="1">
    <mergeCell ref="C1:E1"/>
  </mergeCells>
  <conditionalFormatting sqref="A1">
    <cfRule type="cellIs" dxfId="156" priority="1" operator="notEqual">
      <formula>"/!\ DJU Incomplets"</formula>
    </cfRule>
    <cfRule type="cellIs" dxfId="155" priority="2" operator="equal">
      <formula>"/!\ DJU Incomplets"</formula>
    </cfRule>
  </conditionalFormatting>
  <hyperlinks>
    <hyperlink ref="C6" location="Synthèse!C6" tooltip="Talon = Consommation journalière du mois de juillet" display="Synthèse!C6"/>
    <hyperlink ref="C9" location="Synthèse!C9:C10" tooltip="Talon = Puissance minimale nocturne (Voir OptiTURPE) " display="Synthèse!C9:C10"/>
  </hyperlinks>
  <pageMargins left="0.7" right="0.7" top="0.75" bottom="0.75" header="0.3" footer="0.3"/>
  <pageSetup paperSize="9" orientation="landscape" r:id="rId1"/>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0"/>
  <dimension ref="A1:X52"/>
  <sheetViews>
    <sheetView topLeftCell="C1" zoomScale="55" zoomScaleNormal="55" workbookViewId="0">
      <selection activeCell="P27" sqref="P27"/>
    </sheetView>
  </sheetViews>
  <sheetFormatPr baseColWidth="10" defaultColWidth="11.36328125" defaultRowHeight="14.5"/>
  <cols>
    <col min="1" max="1" width="23.08984375" bestFit="1" customWidth="1"/>
    <col min="2" max="2" width="21.7265625" bestFit="1" customWidth="1"/>
    <col min="3" max="3" width="30" bestFit="1" customWidth="1"/>
    <col min="4" max="4" width="35.08984375" bestFit="1" customWidth="1"/>
    <col min="5" max="5" width="15.26953125" bestFit="1" customWidth="1"/>
    <col min="6" max="6" width="23.08984375" customWidth="1"/>
    <col min="7" max="7" width="25.6328125" bestFit="1" customWidth="1"/>
    <col min="8" max="8" width="30" bestFit="1" customWidth="1"/>
    <col min="9" max="9" width="26.81640625" bestFit="1" customWidth="1"/>
    <col min="10" max="10" width="20.26953125" bestFit="1" customWidth="1"/>
    <col min="12" max="12" width="19.6328125" bestFit="1" customWidth="1"/>
    <col min="13" max="13" width="22" bestFit="1" customWidth="1"/>
    <col min="14" max="14" width="17.08984375" customWidth="1"/>
    <col min="15" max="15" width="18.6328125" bestFit="1" customWidth="1"/>
    <col min="16" max="16" width="21.36328125" bestFit="1" customWidth="1"/>
    <col min="17" max="17" width="15.6328125" bestFit="1" customWidth="1"/>
    <col min="18" max="18" width="18.36328125" bestFit="1" customWidth="1"/>
    <col min="19" max="19" width="25.36328125" bestFit="1" customWidth="1"/>
    <col min="20" max="20" width="23" bestFit="1" customWidth="1"/>
    <col min="24" max="24" width="36.08984375" customWidth="1"/>
  </cols>
  <sheetData>
    <row r="1" spans="2:24">
      <c r="B1" t="s">
        <v>302</v>
      </c>
      <c r="G1" t="s">
        <v>303</v>
      </c>
    </row>
    <row r="2" spans="2:24">
      <c r="M2" t="s">
        <v>304</v>
      </c>
      <c r="N2">
        <f>VALUE(I3)</f>
        <v>2025</v>
      </c>
    </row>
    <row r="3" spans="2:24">
      <c r="C3" s="166" t="s">
        <v>840</v>
      </c>
      <c r="D3" s="679" t="s" vm="7">
        <v>899</v>
      </c>
      <c r="H3" s="166" t="s">
        <v>840</v>
      </c>
      <c r="I3" s="679" t="s" vm="7">
        <v>899</v>
      </c>
      <c r="L3">
        <v>2</v>
      </c>
      <c r="M3" t="s">
        <v>870</v>
      </c>
      <c r="N3" cm="1">
        <f t="array" ref="N3">INDEX(Site!$C$8:$H$24,MATCH($N$2,Site!$B$8:$B$24,0),ROW(M3)-2)</f>
        <v>0</v>
      </c>
    </row>
    <row r="4" spans="2:24">
      <c r="H4" s="400"/>
      <c r="I4" s="400"/>
      <c r="L4">
        <v>3</v>
      </c>
      <c r="M4" t="s">
        <v>306</v>
      </c>
      <c r="N4" s="400" cm="1">
        <f t="array" ref="N4">INDEX(Site!$C$8:$H$24,MATCH($N$2,Site!$B$8:$B$24,0),ROW(M4)-2)</f>
        <v>0</v>
      </c>
    </row>
    <row r="5" spans="2:24">
      <c r="C5" s="166" t="s">
        <v>64</v>
      </c>
      <c r="D5" t="s">
        <v>837</v>
      </c>
      <c r="H5" s="166" t="s">
        <v>64</v>
      </c>
      <c r="I5" t="s">
        <v>841</v>
      </c>
      <c r="L5">
        <v>4</v>
      </c>
      <c r="M5" t="s">
        <v>307</v>
      </c>
      <c r="N5" s="400" cm="1">
        <f t="array" ref="N5">INDEX(Site!$C$8:$H$24,MATCH($N$2,Site!$B$8:$B$24,0),ROW(M5)-2)</f>
        <v>0</v>
      </c>
    </row>
    <row r="6" spans="2:24">
      <c r="C6" s="85" t="s">
        <v>26</v>
      </c>
      <c r="D6" s="205"/>
      <c r="H6" s="85" t="s">
        <v>26</v>
      </c>
      <c r="I6" s="205"/>
      <c r="L6">
        <v>5</v>
      </c>
      <c r="M6" t="s">
        <v>11</v>
      </c>
      <c r="N6" s="400" cm="1">
        <f t="array" ref="N6">INDEX(Site!$C$8:$H$24,MATCH($N$2,Site!$B$8:$B$24,0),ROW(M6)-2)</f>
        <v>0</v>
      </c>
    </row>
    <row r="7" spans="2:24">
      <c r="C7" s="167" t="s">
        <v>31</v>
      </c>
      <c r="D7" s="205"/>
      <c r="H7" s="167" t="s">
        <v>31</v>
      </c>
      <c r="I7" s="205"/>
      <c r="L7">
        <v>6</v>
      </c>
      <c r="M7" t="s">
        <v>308</v>
      </c>
      <c r="N7" s="400" cm="1">
        <f t="array" ref="N7">INDEX(Site!$C$8:$H$24,MATCH($N$2,Site!$B$8:$B$24,0),ROW(M7)-2)</f>
        <v>0</v>
      </c>
    </row>
    <row r="8" spans="2:24">
      <c r="C8" s="353" t="s">
        <v>181</v>
      </c>
      <c r="D8" s="205">
        <v>55124.411508282443</v>
      </c>
      <c r="H8" s="353" t="s">
        <v>181</v>
      </c>
      <c r="I8" s="205">
        <v>7010.7287096774162</v>
      </c>
      <c r="M8" t="s">
        <v>309</v>
      </c>
      <c r="N8" s="163">
        <f>IFERROR(N3/(N6+N7),0)</f>
        <v>0</v>
      </c>
    </row>
    <row r="9" spans="2:24">
      <c r="C9" s="167" t="s">
        <v>27</v>
      </c>
      <c r="D9" s="205"/>
      <c r="H9" s="167" t="s">
        <v>35</v>
      </c>
      <c r="I9" s="205"/>
      <c r="L9" t="s">
        <v>310</v>
      </c>
    </row>
    <row r="10" spans="2:24">
      <c r="C10" s="353" t="s">
        <v>29</v>
      </c>
      <c r="D10" s="205">
        <v>13798.524590163954</v>
      </c>
      <c r="H10" s="353" t="s">
        <v>37</v>
      </c>
      <c r="I10" s="205">
        <v>474.84408629441623</v>
      </c>
      <c r="L10" t="s">
        <v>311</v>
      </c>
      <c r="M10" s="133">
        <f>GETPIVOTDATA("[Measures].[Somme de Conso_kWh_PCI]",$C$5)/1000</f>
        <v>68.922936098446399</v>
      </c>
    </row>
    <row r="11" spans="2:24">
      <c r="C11" s="85" t="s">
        <v>86</v>
      </c>
      <c r="D11" s="205">
        <v>68922.9360984464</v>
      </c>
      <c r="H11" s="167" t="s">
        <v>27</v>
      </c>
      <c r="I11" s="205"/>
      <c r="L11" t="s">
        <v>312</v>
      </c>
      <c r="M11" s="75">
        <f>GETPIVOTDATA("[Measures].[Somme de Cout_jour]",$H$5)</f>
        <v>10784.06132056199</v>
      </c>
    </row>
    <row r="12" spans="2:24" ht="18.5">
      <c r="H12" s="353" t="s">
        <v>29</v>
      </c>
      <c r="I12" s="205">
        <v>3298.4885245901578</v>
      </c>
      <c r="X12" s="138" t="s">
        <v>313</v>
      </c>
    </row>
    <row r="13" spans="2:24">
      <c r="H13" s="85" t="s">
        <v>86</v>
      </c>
      <c r="I13" s="205">
        <v>10784.06132056199</v>
      </c>
      <c r="L13" t="s">
        <v>314</v>
      </c>
      <c r="M13" t="s">
        <v>315</v>
      </c>
      <c r="N13" t="s">
        <v>316</v>
      </c>
      <c r="O13" t="s">
        <v>317</v>
      </c>
      <c r="P13" t="s">
        <v>882</v>
      </c>
    </row>
    <row r="14" spans="2:24">
      <c r="M14" s="30" t="s">
        <v>185</v>
      </c>
      <c r="N14" s="426">
        <f>IFERROR(GETPIVOTDATA("[Measures].[Somme de Conso_kWh_PCI]",TCD_Conso!$B$3,"[Tab_concat].[Type]","[Tab_concat].[Type].&amp;[Consommation]","[Tab_concat].[Detail usage]","[Tab_concat].[Detail usage].&amp;["&amp;M14&amp;"]","[Tab_concat].[Annee]","[Tab_concat].[Annee].&amp;["&amp;$N$2&amp;"]"),0)</f>
        <v>0</v>
      </c>
      <c r="O14" s="426">
        <f>IFERROR(GETPIVOTDATA("[Measures].[Somme de Conso_kWhEP]",TCD_Conso!$B$3,"[Tab_concat].[Type]","[Tab_concat].[Type].&amp;[Consommation]","[Tab_concat].[Detail usage]","[Tab_concat].[Detail usage].&amp;["&amp;M14&amp;"]","[Tab_concat].[Annee]","[Tab_concat].[Annee].&amp;["&amp;$N$2&amp;"]"),0)</f>
        <v>0</v>
      </c>
      <c r="P14" s="426">
        <f>IFERROR(GETPIVOTDATA("[Measures].[Moyenne de Conso_kWh_PCI]",$C$46,"[Tab_concat].[Detail usage]","[Tab_concat].[Detail usage].&amp;["&amp;M15&amp;"]"),0)</f>
        <v>0</v>
      </c>
      <c r="R14" s="30" t="s">
        <v>318</v>
      </c>
      <c r="W14" t="s">
        <v>299</v>
      </c>
      <c r="X14">
        <f>Controle_des_données!$B$43</f>
        <v>0</v>
      </c>
    </row>
    <row r="15" spans="2:24">
      <c r="M15" s="74" t="s">
        <v>145</v>
      </c>
      <c r="N15" s="426">
        <f>IFERROR(GETPIVOTDATA("[Measures].[Somme de Conso_kWh_PCI]",TCD_Conso!$B$3,"[Tab_concat].[Type]","[Tab_concat].[Type].&amp;[Consommation]","[Tab_concat].[Detail usage]","[Tab_concat].[Detail usage].&amp;["&amp;M15&amp;"]","[Tab_concat].[Annee]","[Tab_concat].[Annee].&amp;["&amp;$N$2&amp;"]"),0)</f>
        <v>0</v>
      </c>
      <c r="O15" s="426">
        <f>IFERROR(GETPIVOTDATA("[Measures].[Somme de Conso_kWhEP]",TCD_Conso!$B$3,"[Tab_concat].[Type]","[Tab_concat].[Type].&amp;[Consommation]","[Tab_concat].[Detail usage]","[Tab_concat].[Detail usage].&amp;["&amp;M15&amp;"]","[Tab_concat].[Annee]","[Tab_concat].[Annee].&amp;["&amp;$N$2&amp;"]"),0)</f>
        <v>0</v>
      </c>
      <c r="P15" s="426">
        <f t="shared" ref="P15:P18" si="0">IFERROR(GETPIVOTDATA("[Measures].[Moyenne de Conso_kWh_PCI]",$C$46,"[Tab_concat].[Detail usage]","[Tab_concat].[Detail usage].&amp;["&amp;M16&amp;"]"),0)</f>
        <v>0</v>
      </c>
      <c r="R15" t="s">
        <v>319</v>
      </c>
      <c r="S15" t="str">
        <f>IF(SUM(Site!F8:F23)&gt;0,"oui","non")</f>
        <v>non</v>
      </c>
      <c r="W15" t="s">
        <v>300</v>
      </c>
      <c r="X15">
        <f>Controle_des_données!$B$44</f>
        <v>0</v>
      </c>
    </row>
    <row r="16" spans="2:24">
      <c r="B16" t="s">
        <v>320</v>
      </c>
      <c r="C16" s="166" t="s">
        <v>840</v>
      </c>
      <c r="D16" s="679" t="s" vm="7">
        <v>899</v>
      </c>
      <c r="F16" s="728" t="s">
        <v>888</v>
      </c>
      <c r="G16" s="729"/>
      <c r="H16" s="729"/>
      <c r="I16" s="244"/>
      <c r="M16" s="74" t="s">
        <v>162</v>
      </c>
      <c r="N16" s="426">
        <f>IFERROR(GETPIVOTDATA("[Measures].[Somme de Conso_kWh_PCI]",TCD_Conso!$B$3,"[Tab_concat].[Type]","[Tab_concat].[Type].&amp;[Consommation]","[Tab_concat].[Detail usage]","[Tab_concat].[Detail usage].&amp;["&amp;M16&amp;"]","[Tab_concat].[Annee]","[Tab_concat].[Annee].&amp;["&amp;$N$2&amp;"]"),0)</f>
        <v>0</v>
      </c>
      <c r="O16" s="426">
        <f>IFERROR(GETPIVOTDATA("[Measures].[Somme de Conso_kWhEP]",TCD_Conso!$B$3,"[Tab_concat].[Type]","[Tab_concat].[Type].&amp;[Consommation]","[Tab_concat].[Detail usage]","[Tab_concat].[Detail usage].&amp;["&amp;M16&amp;"]","[Tab_concat].[Annee]","[Tab_concat].[Annee].&amp;["&amp;$N$2&amp;"]"),0)</f>
        <v>0</v>
      </c>
      <c r="P16" s="426">
        <f t="shared" si="0"/>
        <v>0</v>
      </c>
      <c r="R16" s="85"/>
      <c r="S16" t="str">
        <f>IF($S$15="oui",Liste!B64,Liste!C64)</f>
        <v>Bâtiment à usage de bureau ou d'administration</v>
      </c>
      <c r="T16" t="s">
        <v>321</v>
      </c>
      <c r="W16" t="s">
        <v>301</v>
      </c>
      <c r="X16">
        <f>Controle_des_données!$B$45</f>
        <v>70</v>
      </c>
    </row>
    <row r="17" spans="3:24">
      <c r="C17" s="166" t="s">
        <v>20</v>
      </c>
      <c r="D17" s="679" t="s" vm="3">
        <v>855</v>
      </c>
      <c r="F17" s="729"/>
      <c r="G17" s="729"/>
      <c r="H17" s="729"/>
      <c r="I17" s="244"/>
      <c r="M17" s="74" t="s">
        <v>322</v>
      </c>
      <c r="N17" s="426">
        <f>IFERROR(GETPIVOTDATA("[Measures].[Somme de Conso_kWh_PCI]",TCD_Conso!$B$3,"[Tab_concat].[Type]","[Tab_concat].[Type].&amp;[Consommation]","[Tab_concat].[Detail usage]","[Tab_concat].[Detail usage].&amp;["&amp;M17&amp;"]","[Tab_concat].[Annee]","[Tab_concat].[Annee].&amp;["&amp;$N$2&amp;"]"),0)</f>
        <v>55124.411508282443</v>
      </c>
      <c r="O17" s="426">
        <f>IFERROR(GETPIVOTDATA("[Measures].[Somme de Conso_kWhEP]",TCD_Conso!$B$3,"[Tab_concat].[Type]","[Tab_concat].[Type].&amp;[Consommation]","[Tab_concat].[Detail usage]","[Tab_concat].[Detail usage].&amp;["&amp;M17&amp;"]","[Tab_concat].[Annee]","[Tab_concat].[Annee].&amp;["&amp;$N$2&amp;"]"),0)</f>
        <v>61188.096774193495</v>
      </c>
      <c r="P17" s="426">
        <f t="shared" si="0"/>
        <v>0</v>
      </c>
      <c r="Q17" s="428"/>
      <c r="R17" s="85" t="s">
        <v>252</v>
      </c>
      <c r="S17">
        <f>IF($S$15="oui",Liste!B65,Liste!C65)</f>
        <v>50</v>
      </c>
      <c r="T17">
        <f>S17</f>
        <v>50</v>
      </c>
      <c r="W17" t="s">
        <v>323</v>
      </c>
      <c r="X17" s="85">
        <f t="array" ref="X17">MATCH(TRUE,(N16:N18)&gt;0,0)</f>
        <v>2</v>
      </c>
    </row>
    <row r="18" spans="3:24">
      <c r="C18" s="166" t="s">
        <v>21</v>
      </c>
      <c r="D18" s="679" t="s" vm="1">
        <v>855</v>
      </c>
      <c r="F18" s="729"/>
      <c r="G18" s="729"/>
      <c r="H18" s="729"/>
      <c r="I18" s="244"/>
      <c r="M18" s="30" t="s">
        <v>180</v>
      </c>
      <c r="N18" s="426">
        <f>IFERROR(GETPIVOTDATA("[Measures].[Somme de Conso_kWh_PCI]",TCD_Conso!$B$3,"[Tab_concat].[Type]","[Tab_concat].[Type].&amp;[Consommation]","[Tab_concat].[Detail usage]","[Tab_concat].[Detail usage].&amp;["&amp;M18&amp;"]","[Tab_concat].[Annee]","[Tab_concat].[Annee].&amp;["&amp;$N$2&amp;"]"),0)</f>
        <v>0</v>
      </c>
      <c r="O18" s="426">
        <f>IFERROR(GETPIVOTDATA("[Measures].[Somme de Conso_kWhEP]",TCD_Conso!$B$3,"[Tab_concat].[Type]","[Tab_concat].[Type].&amp;[Consommation]","[Tab_concat].[Detail usage]","[Tab_concat].[Detail usage].&amp;["&amp;M18&amp;"]","[Tab_concat].[Annee]","[Tab_concat].[Annee].&amp;["&amp;$N$2&amp;"]"),0)</f>
        <v>0</v>
      </c>
      <c r="P18" s="426">
        <f t="shared" si="0"/>
        <v>0</v>
      </c>
      <c r="R18" s="85" t="s">
        <v>253</v>
      </c>
      <c r="S18">
        <f>IF($S$15="oui",Liste!B66,Liste!C66)</f>
        <v>110</v>
      </c>
      <c r="T18">
        <f>S18-S17</f>
        <v>60</v>
      </c>
      <c r="X18" s="139"/>
    </row>
    <row r="19" spans="3:24">
      <c r="C19" s="400"/>
      <c r="D19" s="400"/>
      <c r="F19" s="729"/>
      <c r="G19" s="729"/>
      <c r="H19" s="729"/>
      <c r="I19" s="244"/>
      <c r="M19" s="74" t="s">
        <v>324</v>
      </c>
      <c r="N19" s="426">
        <f>SUM(N14:N18)</f>
        <v>55124.411508282443</v>
      </c>
      <c r="O19" s="426">
        <f>SUM(O14:O18)</f>
        <v>61188.096774193495</v>
      </c>
      <c r="P19" s="426">
        <f>SUM(P14:P18)</f>
        <v>0</v>
      </c>
      <c r="R19" s="85" t="s">
        <v>254</v>
      </c>
      <c r="S19">
        <f>IF($S$15="oui",Liste!B67,Liste!C67)</f>
        <v>210</v>
      </c>
      <c r="T19">
        <f>S19-S18</f>
        <v>100</v>
      </c>
      <c r="X19" s="139"/>
    </row>
    <row r="20" spans="3:24">
      <c r="C20" s="166" t="s">
        <v>64</v>
      </c>
      <c r="D20" t="s">
        <v>842</v>
      </c>
      <c r="G20" s="244"/>
      <c r="H20" s="244"/>
      <c r="I20" s="447"/>
      <c r="J20" s="445"/>
      <c r="M20" s="74" t="s">
        <v>325</v>
      </c>
      <c r="N20">
        <f>'CALCUL DEET'!V7</f>
        <v>2327.9</v>
      </c>
      <c r="R20" s="85" t="s">
        <v>255</v>
      </c>
      <c r="S20">
        <f>IF($S$15="oui",Liste!B68,Liste!C68)</f>
        <v>350</v>
      </c>
      <c r="T20">
        <f>S20-S19</f>
        <v>140</v>
      </c>
      <c r="X20" s="139"/>
    </row>
    <row r="21" spans="3:24">
      <c r="C21" s="85" t="s">
        <v>26</v>
      </c>
      <c r="D21" s="205"/>
      <c r="G21" s="244"/>
      <c r="H21" s="244"/>
      <c r="I21" s="244"/>
      <c r="M21" s="74" t="s">
        <v>326</v>
      </c>
      <c r="N21">
        <f>GETPIVOTDATA("DJU(chauffagiste)",DJU!$H$13,"annee",N2)</f>
        <v>2155</v>
      </c>
      <c r="R21" s="85" t="s">
        <v>256</v>
      </c>
      <c r="S21">
        <f>IF($S$15="oui",Liste!B69,Liste!C69)</f>
        <v>540</v>
      </c>
      <c r="T21">
        <f>S21-S20</f>
        <v>190</v>
      </c>
      <c r="W21" s="30"/>
      <c r="X21" s="30"/>
    </row>
    <row r="22" spans="3:24">
      <c r="C22" s="167" t="s">
        <v>35</v>
      </c>
      <c r="D22" s="205"/>
      <c r="G22" s="244"/>
      <c r="H22" s="244"/>
      <c r="I22" s="244"/>
      <c r="M22" s="74" t="s">
        <v>858</v>
      </c>
      <c r="N22" s="50" t="e">
        <f>N19/$N$4*(N20/N21)</f>
        <v>#DIV/0!</v>
      </c>
      <c r="O22" s="50" t="e">
        <f>O19/$N$4*(N20/N21)</f>
        <v>#DIV/0!</v>
      </c>
      <c r="P22" s="427" t="str">
        <f>IFERROR((X26)/(12*N3),"N/A")</f>
        <v>N/A</v>
      </c>
      <c r="T22">
        <f>SUM(T17:T21)</f>
        <v>540</v>
      </c>
      <c r="W22" s="85" t="s">
        <v>304</v>
      </c>
      <c r="X22">
        <f>N2</f>
        <v>2025</v>
      </c>
    </row>
    <row r="23" spans="3:24">
      <c r="C23" s="353" t="s">
        <v>37</v>
      </c>
      <c r="D23" s="205">
        <v>68.898477157360404</v>
      </c>
      <c r="M23" s="74" t="s">
        <v>27</v>
      </c>
      <c r="R23" s="85" t="s">
        <v>327</v>
      </c>
      <c r="S23" s="134" t="e">
        <f>O28</f>
        <v>#DIV/0!</v>
      </c>
      <c r="W23" t="s">
        <v>328</v>
      </c>
      <c r="X23" s="121">
        <f>N26</f>
        <v>13798.524590163939</v>
      </c>
    </row>
    <row r="24" spans="3:24">
      <c r="C24" s="85" t="s">
        <v>86</v>
      </c>
      <c r="D24" s="205">
        <v>68.898477157360404</v>
      </c>
      <c r="M24" t="s">
        <v>28</v>
      </c>
      <c r="N24" s="426">
        <f>IFERROR(GETPIVOTDATA("[Measures].[Somme de Conso_kWh_PCI]",TCD_Conso!$B$3,"[Tab_concat].[Type]","[Tab_concat].[Type].&amp;[Consommation]","[Tab_concat].[Detail usage]","[Tab_concat].[Detail usage].&amp;["&amp;M24&amp;"]","[Tab_concat].[Annee]","[Tab_concat].[Annee].&amp;["&amp;$N$2&amp;"]"),0)</f>
        <v>13798.524590163939</v>
      </c>
      <c r="O24" s="426">
        <f>IFERROR(GETPIVOTDATA("[Measures].[Somme de Conso_kWhEP]",TCD_Conso!$B$3,"[Tab_concat].[Type]","[Tab_concat].[Type].&amp;[Consommation]","[Tab_concat].[Detail usage]","[Tab_concat].[Detail usage].&amp;["&amp;M24&amp;"]","[Tab_concat].[Annee]","[Tab_concat].[Annee].&amp;["&amp;$N$2&amp;"]"),0)</f>
        <v>26217.196721311528</v>
      </c>
      <c r="P24" s="426"/>
      <c r="R24" s="85" t="s">
        <v>329</v>
      </c>
      <c r="S24" s="121" t="e">
        <f>S23-0.5*S25</f>
        <v>#DIV/0!</v>
      </c>
      <c r="W24" t="s">
        <v>330</v>
      </c>
      <c r="X24" s="121">
        <f>N25</f>
        <v>0</v>
      </c>
    </row>
    <row r="25" spans="3:24">
      <c r="M25" t="s">
        <v>152</v>
      </c>
      <c r="N25" s="426">
        <f>IFERROR(GETPIVOTDATA("[Measures].[Somme de Conso_kWh_PCI]",TCD_Conso!$B$3,"[Tab_concat].[Type]","[Tab_concat].[Type].&amp;[Consommation]","[Tab_concat].[Detail usage]","[Tab_concat].[Detail usage].&amp;["&amp;M25&amp;"]","[Tab_concat].[Annee]","[Tab_concat].[Annee].&amp;["&amp;$N$2&amp;"]"),0)</f>
        <v>0</v>
      </c>
      <c r="O25" s="426">
        <f>IFERROR(GETPIVOTDATA("[Measures].[Somme de Conso_kWhEP]",TCD_Conso!$B$3,"[Tab_concat].[Type]","[Tab_concat].[Type].&amp;[Consommation]","[Tab_concat].[Detail usage]","[Tab_concat].[Detail usage].&amp;["&amp;M25&amp;"]","[Tab_concat].[Annee]","[Tab_concat].[Annee].&amp;["&amp;$N$2&amp;"]"),0)</f>
        <v>0</v>
      </c>
      <c r="P25" s="426"/>
      <c r="R25" s="85" t="s">
        <v>331</v>
      </c>
      <c r="S25" s="121">
        <v>30</v>
      </c>
      <c r="W25" t="str">
        <f>IF(X14="Oui","Chauffage seul",INDEX(M16:M18,X17,1))</f>
        <v>ECS et chauffage</v>
      </c>
      <c r="X25" s="121">
        <f>SUM(N16:N18)-X26</f>
        <v>55124.411508282443</v>
      </c>
    </row>
    <row r="26" spans="3:24">
      <c r="M26" s="74" t="s">
        <v>332</v>
      </c>
      <c r="N26" s="426">
        <f>IF(N19&gt;0,N24-N25,(N24-N25)*(N21/N20))</f>
        <v>13798.524590163939</v>
      </c>
      <c r="O26" s="426">
        <f>O24-O25</f>
        <v>26217.196721311528</v>
      </c>
      <c r="P26" s="448"/>
      <c r="R26" s="85" t="s">
        <v>333</v>
      </c>
      <c r="S26" s="121" t="e">
        <f>SUM(T17:T22)-S24-S25</f>
        <v>#DIV/0!</v>
      </c>
      <c r="W26" s="30" t="str">
        <f>IF(X26&gt;0,Estimation_ECS!B44,"")</f>
        <v/>
      </c>
      <c r="X26" s="121">
        <f>HLOOKUP($X$22,Estimation_ECS!$C$40:$R$44,5)</f>
        <v>0</v>
      </c>
    </row>
    <row r="27" spans="3:24">
      <c r="M27" s="74" t="s">
        <v>857</v>
      </c>
      <c r="N27" s="50" t="e">
        <f>N26/$N$3</f>
        <v>#DIV/0!</v>
      </c>
      <c r="O27" s="50" t="e">
        <f>O26/$N$3</f>
        <v>#DIV/0!</v>
      </c>
      <c r="P27" s="412" t="e">
        <f>VLOOKUP(N2,Compteur_1!K11:L31,2,1)*1000/N3</f>
        <v>#DIV/0!</v>
      </c>
      <c r="S27" s="121"/>
      <c r="W27" t="str">
        <f>IF(X27&gt;0,"Cuisson seule","")</f>
        <v/>
      </c>
      <c r="X27" s="121">
        <f>N14</f>
        <v>0</v>
      </c>
    </row>
    <row r="28" spans="3:24">
      <c r="M28" t="s">
        <v>334</v>
      </c>
      <c r="N28" s="50" t="e">
        <f>(N19*(N20/N21)+N26)/N3</f>
        <v>#DIV/0!</v>
      </c>
      <c r="O28" s="96" t="e">
        <f>(O19*(N20/N21)+O26)/N3</f>
        <v>#DIV/0!</v>
      </c>
    </row>
    <row r="29" spans="3:24">
      <c r="M29" t="s">
        <v>335</v>
      </c>
      <c r="N29">
        <f>DATE(N2,12,31)-DATE(N2,1,1)+1</f>
        <v>365</v>
      </c>
    </row>
    <row r="30" spans="3:24">
      <c r="M30" t="s">
        <v>336</v>
      </c>
      <c r="N30">
        <f>Ouverture!K10</f>
        <v>0</v>
      </c>
      <c r="Q30" t="str">
        <f>IFERROR((X26*1000)/(12*30*N3),"N/A")</f>
        <v>N/A</v>
      </c>
    </row>
    <row r="31" spans="3:24">
      <c r="L31" t="s">
        <v>37</v>
      </c>
      <c r="M31" t="s">
        <v>337</v>
      </c>
      <c r="N31">
        <f>N29-N30</f>
        <v>365</v>
      </c>
      <c r="Q31">
        <f>70803/(365*3024)</f>
        <v>6.4147097195042399E-2</v>
      </c>
    </row>
    <row r="32" spans="3:24">
      <c r="M32" t="s">
        <v>338</v>
      </c>
      <c r="N32" s="77" t="str">
        <f>IFERROR(GETPIVOTDATA("[Measures].[Somme de Demande_jour]",$C$20,"[Tab_concat].[Combustible]","[Tab_concat].[Combustible].&amp;[Eau (m3)]")/(N6+N7)*1000/N31,"N/A")</f>
        <v>N/A</v>
      </c>
    </row>
    <row r="33" spans="1:16">
      <c r="A33" s="400"/>
      <c r="P33" t="e">
        <f>P22/(24*6)</f>
        <v>#VALUE!</v>
      </c>
    </row>
    <row r="35" spans="1:16">
      <c r="L35" s="400"/>
      <c r="M35" s="400"/>
      <c r="P35" t="e">
        <f>15000*6*24/N3</f>
        <v>#DIV/0!</v>
      </c>
    </row>
    <row r="36" spans="1:16">
      <c r="L36" s="400"/>
      <c r="M36" s="400"/>
    </row>
    <row r="41" spans="1:16">
      <c r="C41" s="166" t="s">
        <v>840</v>
      </c>
      <c r="D41" s="679" t="s" vm="7">
        <v>899</v>
      </c>
    </row>
    <row r="42" spans="1:16">
      <c r="B42" s="411" t="s">
        <v>856</v>
      </c>
      <c r="C42" s="166" t="s">
        <v>20</v>
      </c>
      <c r="D42" s="679" t="s" vm="3">
        <v>855</v>
      </c>
      <c r="E42" s="411"/>
      <c r="F42" s="411"/>
    </row>
    <row r="43" spans="1:16">
      <c r="B43" s="411"/>
      <c r="C43" s="166" t="s">
        <v>21</v>
      </c>
      <c r="D43" s="679" t="s" vm="1">
        <v>855</v>
      </c>
      <c r="E43" s="411"/>
      <c r="F43" s="411"/>
    </row>
    <row r="44" spans="1:16">
      <c r="B44" s="411"/>
      <c r="C44" s="166" t="s">
        <v>68</v>
      </c>
      <c r="D44" s="679" t="s" vm="2">
        <v>855</v>
      </c>
      <c r="E44" s="411"/>
      <c r="F44" s="411"/>
      <c r="G44" s="411"/>
      <c r="H44" s="411"/>
      <c r="I44" s="411"/>
    </row>
    <row r="45" spans="1:16">
      <c r="B45" s="411"/>
      <c r="C45" s="411"/>
      <c r="D45" s="411"/>
      <c r="E45" s="411"/>
      <c r="F45" s="411"/>
      <c r="G45" s="411"/>
      <c r="H45" s="411"/>
      <c r="I45" s="411"/>
    </row>
    <row r="46" spans="1:16">
      <c r="B46" s="411"/>
      <c r="C46" s="166" t="s">
        <v>64</v>
      </c>
      <c r="D46" t="s">
        <v>843</v>
      </c>
      <c r="F46" s="411"/>
      <c r="G46" s="411"/>
    </row>
    <row r="47" spans="1:16">
      <c r="B47" s="411"/>
      <c r="C47" s="85" t="s">
        <v>31</v>
      </c>
      <c r="D47" s="205"/>
      <c r="F47" s="411"/>
      <c r="G47" s="411"/>
    </row>
    <row r="48" spans="1:16">
      <c r="B48" s="411"/>
      <c r="C48" s="167" t="s">
        <v>26</v>
      </c>
      <c r="D48" s="205"/>
      <c r="F48" s="411"/>
      <c r="G48" s="411"/>
    </row>
    <row r="49" spans="2:7">
      <c r="B49" s="411"/>
      <c r="C49" s="353" t="s">
        <v>32</v>
      </c>
      <c r="D49" s="205"/>
      <c r="F49" s="411"/>
      <c r="G49" s="411"/>
    </row>
    <row r="50" spans="2:7">
      <c r="C50" s="656">
        <v>7</v>
      </c>
      <c r="D50" s="205">
        <v>6.5425467090399501</v>
      </c>
    </row>
    <row r="51" spans="2:7">
      <c r="C51" s="656">
        <v>8</v>
      </c>
      <c r="D51" s="205">
        <v>5.6678947417761183</v>
      </c>
    </row>
    <row r="52" spans="2:7">
      <c r="C52" s="85" t="s">
        <v>86</v>
      </c>
      <c r="D52" s="205">
        <v>6.105220725408028</v>
      </c>
    </row>
  </sheetData>
  <mergeCells count="1">
    <mergeCell ref="F16:H19"/>
  </mergeCells>
  <pageMargins left="0.7" right="0.7" top="0.75" bottom="0.75" header="0.3" footer="0.3"/>
  <pageSetup paperSize="9" orientation="portrait" r:id="rId5"/>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 T a b _ c o n c a t _ f 1 4 8 b 1 5 1 - 7 8 6 5 - 4 9 f 6 - 8 1 9 0 - 9 3 b 9 2 3 6 3 f b a 8 < / K e y > < V a l u e   x m l n s : a = " h t t p : / / s c h e m a s . d a t a c o n t r a c t . o r g / 2 0 0 4 / 0 7 / M i c r o s o f t . A n a l y s i s S e r v i c e s . C o m m o n " > < a : H a s F o c u s > t r u e < / a : H a s F o c u s > < a : S i z e A t D p i 9 6 > 1 8 7 < / a : S i z e A t D p i 9 6 > < a : V i s i b l e > t r u e < / a : V i s i b l e > < / V a l u e > < / K e y V a l u e O f s t r i n g S a n d b o x E d i t o r . M e a s u r e G r i d S t a t e S c d E 3 5 R y > < K e y V a l u e O f s t r i n g S a n d b o x E d i t o r . M e a s u r e G r i d S t a t e S c d E 3 5 R y > < K e y > T a b l e a u 1 6 < / K e y > < V a l u e   x m l n s : a = " h t t p : / / s c h e m a s . d a t a c o n t r a c t . o r g / 2 0 0 4 / 0 7 / M i c r o s o f t . A n a l y s i s S e r v i c e s . C o m m o n " > < a : H a s F o c u s > t r u e < / a : H a s F o c u s > < a : S i z e A t D p i 9 6 > 1 8 9 < / a : S i z e A t D p i 9 6 > < a : V i s i b l e > t r u e < / a : V i s i b l e > < / V a l u e > < / K e y V a l u e O f s t r i n g S a n d b o x E d i t o r . M e a s u r e G r i d S t a t e S c d E 3 5 R y > < K e y V a l u e O f s t r i n g S a n d b o x E d i t o r . M e a s u r e G r i d S t a t e S c d E 3 5 R y > < K e y > T a b l e a u 1 4 < / K e y > < V a l u e   x m l n s : a = " h t t p : / / s c h e m a s . d a t a c o n t r a c t . o r g / 2 0 0 4 / 0 7 / M i c r o s o f t . A n a l y s i s S e r v i c e s . C o m m o n " > < a : H a s F o c u s > t r u e < / a : H a s F o c u s > < a : S i z e A t D p i 9 6 > 1 1 3 < / a : S i z e A t D p i 9 6 > < a : V i s i b l e > t r u e < / a : V i s i b l e > < / V a l u e > < / K e y V a l u e O f s t r i n g S a n d b o x E d i t o r . M e a s u r e G r i d S t a t e S c d E 3 5 R y > < K e y V a l u e O f s t r i n g S a n d b o x E d i t o r . M e a s u r e G r i d S t a t e S c d E 3 5 R y > < K e y > T a b l e a u _ a n n e e s < / K e y > < V a l u e   x m l n s : a = " h t t p : / / s c h e m a s . d a t a c o n t r a c t . o r g / 2 0 0 4 / 0 7 / M i c r o s o f t . A n a l y s i s S e r v i c e s . C o m m o n " > < a : H a s F o c u s > t r u e < / a : H a s F o c u s > < a : S i z e A t D p i 9 6 > 1 1 3 < / a : S i z e A t D p i 9 6 > < a : V i s i b l e > t r u e < / a : V i s i b l e > < / V a l u e > < / K e y V a l u e O f s t r i n g S a n d b o x E d i t o r . M e a s u r e G r i d S t a t e S c d E 3 5 R y > < K e y V a l u e O f s t r i n g S a n d b o x E d i t o r . M e a s u r e G r i d S t a t e S c d E 3 5 R y > < K e y > T a b l e a u _ s o u r c e < / K e y > < V a l u e   x m l n s : a = " h t t p : / / s c h e m a s . d a t a c o n t r a c t . o r g / 2 0 0 4 / 0 7 / M i c r o s o f t . A n a l y s i s S e r v i c e s . C o m m o n " > < a : H a s F o c u s > t r u e < / a : H a s F o c u s > < a : S i z e A t D p i 9 6 > 1 1 3 < / a : S i z e A t D p i 9 6 > < a : V i s i b l e > t r u e < / a : V i s i b l e > < / V a l u e > < / K e y V a l u e O f s t r i n g S a n d b o x E d i t o r . M e a s u r e G r i d S t a t e S c d E 3 5 R y > < K e y V a l u e O f s t r i n g S a n d b o x E d i t o r . M e a s u r e G r i d S t a t e S c d E 3 5 R y > < K e y > T a b l e a u _ c o m b u s t i b l e < / K e y > < V a l u e   x m l n s : a = " h t t p : / / s c h e m a s . d a t a c o n t r a c t . o r g / 2 0 0 4 / 0 7 / M i c r o s o f t . A n a l y s i s S e r v i c e s . C o m m o n " > < a : H a s F o c u s > t r u e < / a : H a s F o c u s > < a : S i z e A t D p i 9 6 > 1 1 3 < / a : S i z e A t D p i 9 6 > < a : V i s i b l e > t r u e < / a : V i s i b l e > < / V a l u e > < / K e y V a l u e O f s t r i n g S a n d b o x E d i t o r . M e a s u r e G r i d S t a t e S c d E 3 5 R y > < K e y V a l u e O f s t r i n g S a n d b o x E d i t o r . M e a s u r e G r i d S t a t e S c d E 3 5 R y > < K e y > T a b l e a u _ m o i s < / K e y > < V a l u e   x m l n s : a = " h t t p : / / s c h e m a s . d a t a c o n t r a c t . o r g / 2 0 0 4 / 0 7 / M i c r o s o f t . A n a l y s i s S e r v i c e s . C o m m o n " > < a : H a s F o c u s > t r u e < / a : H a s F o c u s > < a : S i z e A t D p i 9 6 > 1 1 3 < / a : S i z e A t D p i 9 6 > < a : V i s i b l e > t r u e < / a : V i s i b l e > < / V a l u e > < / K e y V a l u e O f s t r i n g S a n d b o x E d i t o r . M e a s u r e G r i d S t a t e S c d E 3 5 R y > < K e y V a l u e O f s t r i n g S a n d b o x E d i t o r . M e a s u r e G r i d S t a t e S c d E 3 5 R y > < K e y > T a b l e a u _ u s a g e < / 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10.xml>��< ? x m l   v e r s i o n = " 1 . 0 "   e n c o d i n g = " U T F - 1 6 " ? > < G e m i n i   x m l n s = " h t t p : / / g e m i n i / p i v o t c u s t o m i z a t i o n / R e l a t i o n s h i p A u t o D e t e c t i o n E n a b l e d " > < C u s t o m C o n t e n t > < ! [ C D A T A [ T r u e ] ] > < / C u s t o m C o n t e n t > < / G e m i n i > 
</file>

<file path=customXml/item11.xml>��< ? x m l   v e r s i o n = " 1 . 0 "   e n c o d i n g = " U T F - 1 6 " ? > < G e m i n i   x m l n s = " h t t p : / / g e m i n i / p i v o t c u s t o m i z a t i o n / d e 7 4 8 f 2 3 - c 4 9 a - 4 2 4 d - a 0 d 2 - 5 f b 7 5 9 2 c f 1 f 5 " > < C u s t o m C o n t e n t > < ! [ C D A T A [ < ? x m l   v e r s i o n = " 1 . 0 "   e n c o d i n g = " u t f - 1 6 " ? > < S e t t i n g s > < C a l c u l a t e d F i e l d s > < i t e m > < M e a s u r e N a m e > C o n s o _ D J U < / M e a s u r e N a m e > < D i s p l a y N a m e > C o n s o _ D J U < / D i s p l a y N a m e > < V i s i b l e > F a l s e < / V i s i b l e > < / i t e m > < i t e m > < M e a s u r e N a m e > C o u t   U n i t a i r e   M o y e n < / M e a s u r e N a m e > < D i s p l a y N a m e > C o u t   U n i t a i r e   M o y e n < / D i s p l a y N a m e > < V i s i b l e > F a l s e < / V i s i b l e > < / i t e m > < / C a l c u l a t e d F i e l d s > < S A H o s t H a s h > 0 < / S A H o s t H a s h > < G e m i n i F i e l d L i s t V i s i b l e > T r u e < / G e m i n i F i e l d L i s t V i s i b l e > < / S e t t i n g s > ] ] > < / C u s t o m C o n t e n t > < / G e m i n i > 
</file>

<file path=customXml/item12.xml>��< ? x m l   v e r s i o n = " 1 . 0 "   e n c o d i n g = " U T F - 1 6 " ? > < G e m i n i   x m l n s = " h t t p : / / g e m i n i / p i v o t c u s t o m i z a t i o n / T a b l e X M L _ T a b l e a u _ a n n e e s " > < C u s t o m C o n t e n t > < ! [ C D A T A [ < T a b l e W i d g e t G r i d S e r i a l i z a t i o n   x m l n s : x s i = " h t t p : / / w w w . w 3 . o r g / 2 0 0 1 / X M L S c h e m a - i n s t a n c e "   x m l n s : x s d = " h t t p : / / w w w . w 3 . o r g / 2 0 0 1 / X M L S c h e m a " > < C o l u m n S u g g e s t e d T y p e   / > < C o l u m n F o r m a t   / > < C o l u m n A c c u r a c y   / > < C o l u m n C u r r e n c y S y m b o l   / > < C o l u m n P o s i t i v e P a t t e r n   / > < C o l u m n N e g a t i v e P a t t e r n   / > < C o l u m n W i d t h s > < i t e m > < k e y > < s t r i n g > A n n e e < / s t r i n g > < / k e y > < v a l u e > < i n t > 7 7 < / i n t > < / v a l u e > < / i t e m > < / C o l u m n W i d t h s > < C o l u m n D i s p l a y I n d e x > < i t e m > < k e y > < s t r i n g > A n n e e < / s t r i n g > < / k e y > < v a l u e > < i n t > 0 < / i n t > < / v a l u e > < / i t e m > < / C o l u m n D i s p l a y I n d e x > < C o l u m n F r o z e n   / > < C o l u m n C h e c k e d   / > < C o l u m n F i l t e r   / > < S e l e c t i o n F i l t e r   / > < F i l t e r P a r a m e t e r s   / > < I s S o r t D e s c e n d i n g > f a l s e < / I s S o r t D e s c e n d i n g > < / T a b l e W i d g e t G r i d S e r i a l i z a t i o n > ] ] > < / C u s t o m C o n t e n t > < / G e m i n i > 
</file>

<file path=customXml/item13.xml>��< ? x m l   v e r s i o n = " 1 . 0 "   e n c o d i n g = " U T F - 1 6 " ? > < G e m i n i   x m l n s = " h t t p : / / g e m i n i / p i v o t c u s t o m i z a t i o n / T a b l e X M L _ T a b _ C a l c u l s " > < C u s t o m C o n t e n t > < ! [ C D A T A [ < T a b l e W i d g e t G r i d S e r i a l i z a t i o n   x m l n s : x s i = " h t t p : / / w w w . w 3 . o r g / 2 0 0 1 / X M L S c h e m a - i n s t a n c e "   x m l n s : x s d = " h t t p : / / w w w . w 3 . o r g / 2 0 0 1 / X M L S c h e m a " > < C o l u m n S u g g e s t e d T y p e   / > < C o l u m n F o r m a t   / > < C o l u m n A c c u r a c y   / > < C o l u m n C u r r e n c y S y m b o l   / > < C o l u m n P o s i t i v e P a t t e r n   / > < C o l u m n N e g a t i v e P a t t e r n   / > < C o l u m n W i d t h s > < i t e m > < k e y > < s t r i n g > D � b u t   m o i s < / s t r i n g > < / k e y > < v a l u e > < i n t > 2 0 4 < / i n t > < / v a l u e > < / i t e m > < i t e m > < k e y > < s t r i n g > f i n   m o i s < / s t r i n g > < / k e y > < v a l u e > < i n t > 1 6 1 < / i n t > < / v a l u e > < / i t e m > < i t e m > < k e y > < s t r i n g > t r a n c h e < / s t r i n g > < / k e y > < v a l u e > < i n t > 1 5 6 < / i n t > < / v a l u e > < / i t e m > < i t e m > < k e y > < s t r i n g > M O I S < / s t r i n g > < / k e y > < v a l u e > < i n t > 1 3 1 < / i n t > < / v a l u e > < / i t e m > < i t e m > < k e y > < s t r i n g > A N N E E < / s t r i n g > < / k e y > < v a l u e > < i n t > 1 4 8 < / i n t > < / v a l u e > < / i t e m > < i t e m > < k e y > < s t r i n g > C o m p t e u r < / s t r i n g > < / k e y > < v a l u e > < i n t > 1 8 6 < / i n t > < / v a l u e > < / i t e m > < i t e m > < k e y > < s t r i n g > C o l o n n e 1 < / s t r i n g > < / k e y > < v a l u e > < i n t > 1 8 0 < / i n t > < / v a l u e > < / i t e m > < i t e m > < k e y > < s t r i n g > N o m < / s t r i n g > < / k e y > < v a l u e > < i n t > 1 2 2 < / i n t > < / v a l u e > < / i t e m > < i t e m > < k e y > < s t r i n g > D a t e _ l i v r a i s o n < / s t r i n g > < / k e y > < v a l u e > < i n t > 2 3 7 < / i n t > < / v a l u e > < / i t e m > < i t e m > < k e y > < s t r i n g > D � b u t   p e r i o d e   l i v r a i s o n < / s t r i n g > < / k e y > < v a l u e > < i n t > 3 4 9 < / i n t > < / v a l u e > < / i t e m > < i t e m > < k e y > < s t r i n g > i n d e x _ d a t e _ l i v r a i s o n < / s t r i n g > < / k e y > < v a l u e > < i n t > 3 1 7 < / i n t > < / v a l u e > < / i t e m > < i t e m > < k e y > < s t r i n g > r a t i o _ a v a n t _ d e b u t < / s t r i n g > < / k e y > < v a l u e > < i n t > 2 9 0 < / i n t > < / v a l u e > < / i t e m > < i t e m > < k e y > < s t r i n g > R a t i o _ j o u r _ a v a n t _ l i v r < / s t r i n g > < / k e y > < v a l u e > < i n t > 3 2 6 < / i n t > < / v a l u e > < / i t e m > < i t e m > < k e y > < s t r i n g > R a t i o _ j o u r _ a p r � s _ l i v r < / s t r i n g > < / k e y > < v a l u e > < i n t > 3 2 5 < / i n t > < / v a l u e > < / i t e m > < i t e m > < k e y > < s t r i n g > C o n s o _ m o i s _ U < / s t r i n g > < / k e y > < v a l u e > < i n t > 2 4 7 < / i n t > < / v a l u e > < / i t e m > < i t e m > < k e y > < s t r i n g > R a t i o _ C o u t _ a v a n t _ d e b u t < / s t r i n g > < / k e y > < v a l u e > < i n t > 3 7 0 < / i n t > < / v a l u e > < / i t e m > < i t e m > < k e y > < s t r i n g > R a t i o _ C o u t _ a v a n t _ l i v r < / s t r i n g > < / k e y > < v a l u e > < i n t > 3 3 5 < / i n t > < / v a l u e > < / i t e m > < i t e m > < k e y > < s t r i n g > R a t i o _ C o u t _ a p r � s _ l i v r < / s t r i n g > < / k e y > < v a l u e > < i n t > 3 3 4 < / i n t > < / v a l u e > < / i t e m > < i t e m > < k e y > < s t r i n g > C o u t _ m o i s < / s t r i n g > < / k e y > < v a l u e > < i n t > 1 9 5 < / i n t > < / v a l u e > < / i t e m > < i t e m > < k e y > < s t r i n g > C o n s o _ m o i s _ k W h < / s t r i n g > < / k e y > < v a l u e > < i n t > 2 8 5 < / i n t > < / v a l u e > < / i t e m > < i t e m > < k e y > < s t r i n g > C o n s o _ m o i s _ k W h E P < / s t r i n g > < / k e y > < v a l u e > < i n t > 3 1 6 < / i n t > < / v a l u e > < / i t e m > < i t e m > < k e y > < s t r i n g > C o n s o _ m o i s _ k W h D E E T < / s t r i n g > < / k e y > < v a l u e > < i n t > 3 4 8 < / i n t > < / v a l u e > < / i t e m > < i t e m > < k e y > < s t r i n g > C o u t _ u n i t a i e < / s t r i n g > < / k e y > < v a l u e > < i n t > 2 2 1 < / i n t > < / v a l u e > < / i t e m > < i t e m > < k e y > < s t r i n g > T y p e < / s t r i n g > < / k e y > < v a l u e > < i n t > 1 2 2 < / i n t > < / v a l u e > < / i t e m > < i t e m > < k e y > < s t r i n g > S o u r c e < / s t r i n g > < / k e y > < v a l u e > < i n t > 1 4 7 < / i n t > < / v a l u e > < / i t e m > < i t e m > < k e y > < s t r i n g > D e t a i l   u s a g e < / s t r i n g > < / k e y > < v a l u e > < i n t > 2 1 2 < / i n t > < / v a l u e > < / i t e m > < i t e m > < k e y > < s t r i n g > C o m b u s t i b l e < / s t r i n g > < / k e y > < v a l u e > < i n t > 2 1 8 < / i n t > < / v a l u e > < / i t e m > < / C o l u m n W i d t h s > < C o l u m n D i s p l a y I n d e x > < i t e m > < k e y > < s t r i n g > D � b u t   m o i s < / s t r i n g > < / k e y > < v a l u e > < i n t > 0 < / i n t > < / v a l u e > < / i t e m > < i t e m > < k e y > < s t r i n g > f i n   m o i s < / s t r i n g > < / k e y > < v a l u e > < i n t > 1 < / i n t > < / v a l u e > < / i t e m > < i t e m > < k e y > < s t r i n g > t r a n c h e < / s t r i n g > < / k e y > < v a l u e > < i n t > 2 < / i n t > < / v a l u e > < / i t e m > < i t e m > < k e y > < s t r i n g > M O I S < / s t r i n g > < / k e y > < v a l u e > < i n t > 3 < / i n t > < / v a l u e > < / i t e m > < i t e m > < k e y > < s t r i n g > A N N E E < / s t r i n g > < / k e y > < v a l u e > < i n t > 4 < / i n t > < / v a l u e > < / i t e m > < i t e m > < k e y > < s t r i n g > C o m p t e u r < / s t r i n g > < / k e y > < v a l u e > < i n t > 5 < / i n t > < / v a l u e > < / i t e m > < i t e m > < k e y > < s t r i n g > C o l o n n e 1 < / s t r i n g > < / k e y > < v a l u e > < i n t > 6 < / i n t > < / v a l u e > < / i t e m > < i t e m > < k e y > < s t r i n g > N o m < / s t r i n g > < / k e y > < v a l u e > < i n t > 7 < / i n t > < / v a l u e > < / i t e m > < i t e m > < k e y > < s t r i n g > D a t e _ l i v r a i s o n < / s t r i n g > < / k e y > < v a l u e > < i n t > 8 < / i n t > < / v a l u e > < / i t e m > < i t e m > < k e y > < s t r i n g > D � b u t   p e r i o d e   l i v r a i s o n < / s t r i n g > < / k e y > < v a l u e > < i n t > 9 < / i n t > < / v a l u e > < / i t e m > < i t e m > < k e y > < s t r i n g > i n d e x _ d a t e _ l i v r a i s o n < / s t r i n g > < / k e y > < v a l u e > < i n t > 1 0 < / i n t > < / v a l u e > < / i t e m > < i t e m > < k e y > < s t r i n g > r a t i o _ a v a n t _ d e b u t < / s t r i n g > < / k e y > < v a l u e > < i n t > 1 1 < / i n t > < / v a l u e > < / i t e m > < i t e m > < k e y > < s t r i n g > R a t i o _ j o u r _ a v a n t _ l i v r < / s t r i n g > < / k e y > < v a l u e > < i n t > 1 2 < / i n t > < / v a l u e > < / i t e m > < i t e m > < k e y > < s t r i n g > R a t i o _ j o u r _ a p r � s _ l i v r < / s t r i n g > < / k e y > < v a l u e > < i n t > 1 3 < / i n t > < / v a l u e > < / i t e m > < i t e m > < k e y > < s t r i n g > C o n s o _ m o i s _ U < / s t r i n g > < / k e y > < v a l u e > < i n t > 1 4 < / i n t > < / v a l u e > < / i t e m > < i t e m > < k e y > < s t r i n g > R a t i o _ C o u t _ a v a n t _ d e b u t < / s t r i n g > < / k e y > < v a l u e > < i n t > 1 5 < / i n t > < / v a l u e > < / i t e m > < i t e m > < k e y > < s t r i n g > R a t i o _ C o u t _ a v a n t _ l i v r < / s t r i n g > < / k e y > < v a l u e > < i n t > 1 6 < / i n t > < / v a l u e > < / i t e m > < i t e m > < k e y > < s t r i n g > R a t i o _ C o u t _ a p r � s _ l i v r < / s t r i n g > < / k e y > < v a l u e > < i n t > 1 7 < / i n t > < / v a l u e > < / i t e m > < i t e m > < k e y > < s t r i n g > C o u t _ m o i s < / s t r i n g > < / k e y > < v a l u e > < i n t > 1 8 < / i n t > < / v a l u e > < / i t e m > < i t e m > < k e y > < s t r i n g > C o n s o _ m o i s _ k W h < / s t r i n g > < / k e y > < v a l u e > < i n t > 1 9 < / i n t > < / v a l u e > < / i t e m > < i t e m > < k e y > < s t r i n g > C o n s o _ m o i s _ k W h E P < / s t r i n g > < / k e y > < v a l u e > < i n t > 2 0 < / i n t > < / v a l u e > < / i t e m > < i t e m > < k e y > < s t r i n g > C o n s o _ m o i s _ k W h D E E T < / s t r i n g > < / k e y > < v a l u e > < i n t > 2 1 < / i n t > < / v a l u e > < / i t e m > < i t e m > < k e y > < s t r i n g > C o u t _ u n i t a i e < / s t r i n g > < / k e y > < v a l u e > < i n t > 2 2 < / i n t > < / v a l u e > < / i t e m > < i t e m > < k e y > < s t r i n g > T y p e < / s t r i n g > < / k e y > < v a l u e > < i n t > 2 3 < / i n t > < / v a l u e > < / i t e m > < i t e m > < k e y > < s t r i n g > S o u r c e < / s t r i n g > < / k e y > < v a l u e > < i n t > 2 4 < / i n t > < / v a l u e > < / i t e m > < i t e m > < k e y > < s t r i n g > D e t a i l   u s a g e < / s t r i n g > < / k e y > < v a l u e > < i n t > 2 5 < / i n t > < / v a l u e > < / i t e m > < i t e m > < k e y > < s t r i n g > C o m b u s t i b l e < / s t r i n g > < / k e y > < v a l u e > < i n t > 2 6 < / i n t > < / v a l u e > < / i t e m > < / C o l u m n D i s p l a y I n d e x > < C o l u m n F r o z e n   / > < C o l u m n C h e c k e d   / > < C o l u m n F i l t e r   / > < S e l e c t i o n F i l t e r   / > < F i l t e r P a r a m e t e r s   / > < I s S o r t D e s c e n d i n g > f a l s e < / I s S o r t D e s c e n d i n g > < / T a b l e W i d g e t G r i d S e r i a l i z a t i o n > ] ] > < / C u s t o m C o n t e n t > < / G e m i n i > 
</file>

<file path=customXml/item14.xml>��< ? x m l   v e r s i o n = " 1 . 0 "   e n c o d i n g = " U T F - 1 6 " ? > < G e m i n i   x m l n s = " h t t p : / / g e m i n i / p i v o t c u s t o m i z a t i o n / T a b l e X M L _ T a b _ c o n c a t _ f 1 4 8 b 1 5 1 - 7 8 6 5 - 4 9 f 6 - 8 1 9 0 - 9 3 b 9 2 3 6 3 f b a 8 " > < C u s t o m C o n t e n t > < ! [ C D A T A [ < T a b l e W i d g e t G r i d S e r i a l i z a t i o n   x m l n s : x s i = " h t t p : / / w w w . w 3 . o r g / 2 0 0 1 / X M L S c h e m a - i n s t a n c e "   x m l n s : x s d = " h t t p : / / w w w . w 3 . o r g / 2 0 0 1 / X M L S c h e m a " > < C o l u m n S u g g e s t e d T y p e   / > < C o l u m n F o r m a t   / > < C o l u m n A c c u r a c y   / > < C o l u m n C u r r e n c y S y m b o l   / > < C o l u m n P o s i t i v e P a t t e r n   / > < C o l u m n N e g a t i v e P a t t e r n   / > < C o l u m n W i d t h s > < i t e m > < k e y > < s t r i n g > D e m a n d e _ j o u r < / s t r i n g > < / k e y > < v a l u e > < i n t > 2 4 5 < / i n t > < / v a l u e > < / i t e m > < i t e m > < k e y > < s t r i n g > C o u t _ j o u r < / s t r i n g > < / k e y > < v a l u e > < i n t > 1 8 5 < / i n t > < / v a l u e > < / i t e m > < i t e m > < k e y > < s t r i n g > C o m p t e u r < / s t r i n g > < / k e y > < v a l u e > < i n t > 1 8 6 < / i n t > < / v a l u e > < / i t e m > < i t e m > < k e y > < s t r i n g > D a t e s < / s t r i n g > < / k e y > < v a l u e > < i n t > 2 2 2 < / i n t > < / v a l u e > < / i t e m > < i t e m > < k e y > < s t r i n g > D J U _ c h a u f f a g i s t e < / s t r i n g > < / k e y > < v a l u e > < i n t > 2 7 3 < / i n t > < / v a l u e > < / i t e m > < i t e m > < k e y > < s t r i n g > S o u r c e < / s t r i n g > < / k e y > < v a l u e > < i n t > 1 4 7 < / i n t > < / v a l u e > < / i t e m > < i t e m > < k e y > < s t r i n g > T y p e < / s t r i n g > < / k e y > < v a l u e > < i n t > 3 2 9 < / i n t > < / v a l u e > < / i t e m > < i t e m > < k e y > < s t r i n g > C o m b u s t i b l e < / s t r i n g > < / k e y > < v a l u e > < i n t > 2 1 8 < / i n t > < / v a l u e > < / i t e m > < i t e m > < k e y > < s t r i n g > C o n s o _ k W h _ D E E T < / s t r i n g > < / k e y > < v a l u e > < i n t > 2 8 9 < / i n t > < / v a l u e > < / i t e m > < i t e m > < k e y > < s t r i n g > C o n s o _ k W h _ P C I < / s t r i n g > < / k e y > < v a l u e > < i n t > 2 9 4 < / i n t > < / v a l u e > < / i t e m > < i t e m > < k e y > < s t r i n g > N o m < / s t r i n g > < / k e y > < v a l u e > < i n t > 1 2 2 < / i n t > < / v a l u e > < / i t e m > < i t e m > < k e y > < s t r i n g > D e t a i l   u s a g e < / s t r i n g > < / k e y > < v a l u e > < i n t > 2 1 2 < / i n t > < / v a l u e > < / i t e m > < i t e m > < k e y > < s t r i n g > A n n e e < / s t r i n g > < / k e y > < v a l u e > < i n t > 1 4 2 < / i n t > < / v a l u e > < / i t e m > < i t e m > < k e y > < s t r i n g > M o i s < / s t r i n g > < / k e y > < v a l u e > < i n t > 1 2 4 < / i n t > < / v a l u e > < / i t e m > < i t e m > < k e y > < s t r i n g > C o n s o _ k W h E P < / s t r i n g > < / k e y > < v a l u e > < i n t > 2 2 6 < / i n t > < / v a l u e > < / i t e m > < i t e m > < k e y > < s t r i n g > C o u t _ u n i t a i r e < / s t r i n g > < / k e y > < v a l u e > < i n t > 2 3 1 < / i n t > < / v a l u e > < / i t e m > < i t e m > < k e y > < s t r i n g > D a t e s   ( a n n � e ) < / s t r i n g > < / k e y > < v a l u e > < i n t > 2 1 9 < / i n t > < / v a l u e > < / i t e m > < i t e m > < k e y > < s t r i n g > D a t e s   ( t r i m e s t r e ) < / s t r i n g > < / k e y > < v a l u e > < i n t > 1 4 2 < / i n t > < / v a l u e > < / i t e m > < i t e m > < k e y > < s t r i n g > D a t e s   ( i n d e x   d e s   m o i s ) < / s t r i n g > < / k e y > < v a l u e > < i n t > 1 7 7 < / i n t > < / v a l u e > < / i t e m > < i t e m > < k e y > < s t r i n g > D a t e s   ( m o i s ) < / s t r i n g > < / k e y > < v a l u e > < i n t > 1 1 4 < / i n t > < / v a l u e > < / i t e m > < i t e m > < k e y > < s t r i n g > D J U _ c l i m a t i c i e n < / s t r i n g > < / k e y > < v a l u e > < i n t > 2 5 8 < / i n t > < / v a l u e > < / i t e m > < i t e m > < k e y > < s t r i n g > D J U _ q u o t _ c h a u f f a g i s t e < / s t r i n g > < / k e y > < v a l u e > < i n t > 3 4 6 < / i n t > < / v a l u e > < / i t e m > < i t e m > < k e y > < s t r i n g > D J U _ q u o t _ c l i m a t i c i e n < / s t r i n g > < / k e y > < v a l u e > < i n t > 3 3 1 < / i n t > < / v a l u e > < / i t e m > < i t e m > < k e y > < s t r i n g > C o l o n n e 2 < / s t r i n g > < / k e y > < v a l u e > < i n t > 1 3 6 < / i n t > < / v a l u e > < / i t e m > < / C o l u m n W i d t h s > < C o l u m n D i s p l a y I n d e x > < i t e m > < k e y > < s t r i n g > D e m a n d e _ j o u r < / s t r i n g > < / k e y > < v a l u e > < i n t > 0 < / i n t > < / v a l u e > < / i t e m > < i t e m > < k e y > < s t r i n g > C o u t _ j o u r < / s t r i n g > < / k e y > < v a l u e > < i n t > 1 < / i n t > < / v a l u e > < / i t e m > < i t e m > < k e y > < s t r i n g > C o m p t e u r < / s t r i n g > < / k e y > < v a l u e > < i n t > 2 < / i n t > < / v a l u e > < / i t e m > < i t e m > < k e y > < s t r i n g > D a t e s < / s t r i n g > < / k e y > < v a l u e > < i n t > 3 < / i n t > < / v a l u e > < / i t e m > < i t e m > < k e y > < s t r i n g > D J U _ c h a u f f a g i s t e < / s t r i n g > < / k e y > < v a l u e > < i n t > 1 9 < / i n t > < / v a l u e > < / i t e m > < i t e m > < k e y > < s t r i n g > S o u r c e < / s t r i n g > < / k e y > < v a l u e > < i n t > 5 < / i n t > < / v a l u e > < / i t e m > < i t e m > < k e y > < s t r i n g > T y p e < / s t r i n g > < / k e y > < v a l u e > < i n t > 4 < / i n t > < / v a l u e > < / i t e m > < i t e m > < k e y > < s t r i n g > C o m b u s t i b l e < / s t r i n g > < / k e y > < v a l u e > < i n t > 6 < / i n t > < / v a l u e > < / i t e m > < i t e m > < k e y > < s t r i n g > C o n s o _ k W h _ D E E T < / s t r i n g > < / k e y > < v a l u e > < i n t > 8 < / i n t > < / v a l u e > < / i t e m > < i t e m > < k e y > < s t r i n g > C o n s o _ k W h _ P C I < / s t r i n g > < / k e y > < v a l u e > < i n t > 7 < / i n t > < / v a l u e > < / i t e m > < i t e m > < k e y > < s t r i n g > N o m < / s t r i n g > < / k e y > < v a l u e > < i n t > 9 < / i n t > < / v a l u e > < / i t e m > < i t e m > < k e y > < s t r i n g > D e t a i l   u s a g e < / s t r i n g > < / k e y > < v a l u e > < i n t > 1 0 < / i n t > < / v a l u e > < / i t e m > < i t e m > < k e y > < s t r i n g > A n n e e < / s t r i n g > < / k e y > < v a l u e > < i n t > 1 2 < / i n t > < / v a l u e > < / i t e m > < i t e m > < k e y > < s t r i n g > C o n s o _ k W h E P < / s t r i n g > < / k e y > < v a l u e > < i n t > 1 1 < / i n t > < / v a l u e > < / i t e m > < i t e m > < k e y > < s t r i n g > M o i s < / s t r i n g > < / k e y > < v a l u e > < i n t > 1 3 < / i n t > < / v a l u e > < / i t e m > < i t e m > < k e y > < s t r i n g > C o u t _ u n i t a i r e < / s t r i n g > < / k e y > < v a l u e > < i n t > 1 4 < / i n t > < / v a l u e > < / i t e m > < i t e m > < k e y > < s t r i n g > D a t e s   ( a n n � e ) < / s t r i n g > < / k e y > < v a l u e > < i n t > 1 5 < / i n t > < / v a l u e > < / i t e m > < i t e m > < k e y > < s t r i n g > D a t e s   ( t r i m e s t r e ) < / s t r i n g > < / k e y > < v a l u e > < i n t > 1 6 < / i n t > < / v a l u e > < / i t e m > < i t e m > < k e y > < s t r i n g > D a t e s   ( i n d e x   d e s   m o i s ) < / s t r i n g > < / k e y > < v a l u e > < i n t > 1 7 < / i n t > < / v a l u e > < / i t e m > < i t e m > < k e y > < s t r i n g > D a t e s   ( m o i s ) < / s t r i n g > < / k e y > < v a l u e > < i n t > 1 8 < / i n t > < / v a l u e > < / i t e m > < i t e m > < k e y > < s t r i n g > D J U _ c l i m a t i c i e n < / s t r i n g > < / k e y > < v a l u e > < i n t > 2 0 < / i n t > < / v a l u e > < / i t e m > < i t e m > < k e y > < s t r i n g > D J U _ q u o t _ c h a u f f a g i s t e < / s t r i n g > < / k e y > < v a l u e > < i n t > 2 1 < / i n t > < / v a l u e > < / i t e m > < i t e m > < k e y > < s t r i n g > D J U _ q u o t _ c l i m a t i c i e n < / s t r i n g > < / k e y > < v a l u e > < i n t > 2 2 < / i n t > < / v a l u e > < / i t e m > < i t e m > < k e y > < s t r i n g > C o l o n n e 2 < / s t r i n g > < / k e y > < v a l u e > < i n t > 2 3 < / i n t > < / v a l u e > < / i t e m > < / C o l u m n D i s p l a y I n d e x > < C o l u m n F r o z e n   / > < C o l u m n C h e c k e d   / > < C o l u m n F i l t e r > < i t e m > < k e y > < s t r i n g > A n n e e < / s t r i n g > < / k e y > < v a l u e > < F i l t e r E x p r e s s i o n   x s i : n i l = " t r u e "   / > < / v a l u e > < / i t e m > < i t e m > < k e y > < s t r i n g > D e t a i l   u s a g e < / s t r i n g > < / k e y > < v a l u e > < F i l t e r E x p r e s s i o n   x s i : n i l = " t r u e "   / > < / v a l u e > < / i t e m > < / C o l u m n F i l t e r > < S e l e c t i o n F i l t e r > < i t e m > < k e y > < s t r i n g > A n n e e < / s t r i n g > < / k e y > < v a l u e > < S e l e c t i o n F i l t e r   x s i : n i l = " t r u e "   / > < / v a l u e > < / i t e m > < i t e m > < k e y > < s t r i n g > D e t a i l   u s a g e < / s t r i n g > < / k e y > < v a l u e > < S e l e c t i o n F i l t e r > < S e l e c t i o n T y p e > S e l e c t < / S e l e c t i o n T y p e > < I t e m s > < a n y T y p e   x s i : t y p e = " x s d : s t r i n g " > G e n e r a l   E F < / a n y T y p e > < / I t e m s > < / S e l e c t i o n F i l t e r > < / v a l u e > < / i t e m > < / S e l e c t i o n F i l t e r > < F i l t e r P a r a m e t e r s > < i t e m > < k e y > < s t r i n g > A n n e e < / s t r i n g > < / k e y > < v a l u e > < C o m m a n d P a r a m e t e r s   / > < / v a l u e > < / i t e m > < i t e m > < k e y > < s t r i n g > D e t a i l   u s a g e < / s t r i n g > < / k e y > < v a l u e > < C o m m a n d P a r a m e t e r s   / > < / v a l u e > < / i t e m > < / F i l t e r P a r a m e t e r s > < S o r t B y C o l u m n > D a t e s < / S o r t B y C o l u m n > < I s S o r t D e s c e n d i n g > f a l s e < / I s S o r t D e s c e n d i n g > < / T a b l e W i d g e t G r i d S e r i a l i z a t i o n > ] ] > < / C u s t o m C o n t e n t > < / G e m i n i > 
</file>

<file path=customXml/item15.xml>��< ? x m l   v e r s i o n = " 1 . 0 "   e n c o d i n g = " U T F - 1 6 " ? > < G e m i n i   x m l n s = " h t t p : / / g e m i n i / p i v o t c u s t o m i z a t i o n / T a b l e X M L _ T a b l e a u 1 6 " > < C u s t o m C o n t e n t > < ! [ C D A T A [ < T a b l e W i d g e t G r i d S e r i a l i z a t i o n   x m l n s : x s i = " h t t p : / / w w w . w 3 . o r g / 2 0 0 1 / X M L S c h e m a - i n s t a n c e "   x m l n s : x s d = " h t t p : / / w w w . w 3 . o r g / 2 0 0 1 / X M L S c h e m a " > < C o l u m n S u g g e s t e d T y p e   / > < C o l u m n F o r m a t   / > < C o l u m n A c c u r a c y   / > < C o l u m n C u r r e n c y S y m b o l   / > < C o l u m n P o s i t i v e P a t t e r n   / > < C o l u m n N e g a t i v e P a t t e r n   / > < C o l u m n W i d t h s > < i t e m > < k e y > < s t r i n g > C o m p t e u r / L i v r a i s o n < / s t r i n g > < / k e y > < v a l u e > < i n t > 3 0 6 < / i n t > < / v a l u e > < / i t e m > < i t e m > < k e y > < s t r i n g > T y p e < / s t r i n g > < / k e y > < v a l u e > < i n t > 1 2 2 < / i n t > < / v a l u e > < / i t e m > < i t e m > < k e y > < s t r i n g > S o u r c e < / s t r i n g > < / k e y > < v a l u e > < i n t > 1 4 7 < / i n t > < / v a l u e > < / i t e m > < i t e m > < k e y > < s t r i n g > D e t a i l   u s a g e < / s t r i n g > < / k e y > < v a l u e > < i n t > 2 1 2 < / i n t > < / v a l u e > < / i t e m > < i t e m > < k e y > < s t r i n g > C o m b u s t i b l e < / s t r i n g > < / k e y > < v a l u e > < i n t > 2 1 8 < / i n t > < / v a l u e > < / i t e m > < i t e m > < k e y > < s t r i n g > P C I < / s t r i n g > < / k e y > < v a l u e > < i n t > 1 0 3 < / i n t > < / v a l u e > < / i t e m > < i t e m > < k e y > < s t r i n g > P C I _ D E E T < / s t r i n g > < / k e y > < v a l u e > < i n t > 1 8 1 < / i n t > < / v a l u e > < / i t e m > < i t e m > < k e y > < s t r i n g > N o m < / s t r i n g > < / k e y > < v a l u e > < i n t > 1 8 0 < / i n t > < / v a l u e > < / i t e m > < i t e m > < k e y > < s t r i n g > P C I _ E P < / s t r i n g > < / k e y > < v a l u e > < i n t > 1 4 9 < / i n t > < / v a l u e > < / i t e m > < / C o l u m n W i d t h s > < C o l u m n D i s p l a y I n d e x > < i t e m > < k e y > < s t r i n g > C o m p t e u r / L i v r a i s o n < / s t r i n g > < / k e y > < v a l u e > < i n t > 0 < / i n t > < / v a l u e > < / i t e m > < i t e m > < k e y > < s t r i n g > T y p e < / s t r i n g > < / k e y > < v a l u e > < i n t > 1 < / i n t > < / v a l u e > < / i t e m > < i t e m > < k e y > < s t r i n g > S o u r c e < / s t r i n g > < / k e y > < v a l u e > < i n t > 2 < / i n t > < / v a l u e > < / i t e m > < i t e m > < k e y > < s t r i n g > D e t a i l   u s a g e < / s t r i n g > < / k e y > < v a l u e > < i n t > 3 < / i n t > < / v a l u e > < / i t e m > < i t e m > < k e y > < s t r i n g > C o m b u s t i b l e < / s t r i n g > < / k e y > < v a l u e > < i n t > 4 < / i n t > < / v a l u e > < / i t e m > < i t e m > < k e y > < s t r i n g > P C I < / s t r i n g > < / k e y > < v a l u e > < i n t > 5 < / i n t > < / v a l u e > < / i t e m > < i t e m > < k e y > < s t r i n g > P C I _ D E E T < / s t r i n g > < / k e y > < v a l u e > < i n t > 6 < / i n t > < / v a l u e > < / i t e m > < i t e m > < k e y > < s t r i n g > N o m < / s t r i n g > < / k e y > < v a l u e > < i n t > 7 < / i n t > < / v a l u e > < / i t e m > < i t e m > < k e y > < s t r i n g > P C I _ E P < / s t r i n g > < / k e y > < v a l u e > < i n t > 8 < / 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5 9 1 2 7 9 6 9 - 3 a e 8 - 4 6 9 0 - 9 5 f 6 - b e b 1 1 8 b 6 0 9 5 3 " > < C u s t o m C o n t e n t > < ! [ C D A T A [ < ? x m l   v e r s i o n = " 1 . 0 "   e n c o d i n g = " u t f - 1 6 " ? > < S e t t i n g s > < C a l c u l a t e d F i e l d s > < i t e m > < M e a s u r e N a m e > C o n s o _ D J U < / M e a s u r e N a m e > < D i s p l a y N a m e > C o n s o _ D J U < / D i s p l a y N a m e > < V i s i b l e > F a l s e < / V i s i b l e > < / i t e m > < / C a l c u l a t e d F i e l d s > < S A H o s t H a s h > 0 < / S A H o s t H a s h > < G e m i n i F i e l d L i s t V i s i b l e > T r u e < / G e m i n i F i e l d L i s t V i s i b l e > < / S e t t i n g s > ] ] > < / C u s t o m C o n t e n t > < / G e m i n i > 
</file>

<file path=customXml/item17.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 T a g s \ T a b l e s \ & l t ; T a b l e s \ T a b l e a u _ t y p e & g t ; < / K e y > < / D i a g r a m O b j e c t K e y > < D i a g r a m O b j e c t K e y > < K e y > D y n a m i c   T a g s \ T a b l e s \ & l t ; T a b l e s \ T a b l e a u _ s o u r c e & g t ; < / K e y > < / D i a g r a m O b j e c t K e y > < D i a g r a m O b j e c t K e y > < K e y > D y n a m i c   T a g s \ T a b l e s \ & l t ; T a b l e s \ T a b l e a u _ c o m b u s t i b l e & g t ; < / K e y > < / D i a g r a m O b j e c t K e y > < D i a g r a m O b j e c t K e y > < K e y > D y n a m i c   T a g s \ T a b l e s \ & l t ; T a b l e s \ T a b l e a u 1 6 & g t ; < / K e y > < / D i a g r a m O b j e c t K e y > < D i a g r a m O b j e c t K e y > < K e y > D y n a m i c   T a g s \ T a b l e s \ & l t ; T a b l e s \ T a b l e a u _ u s a g e & g t ; < / K e y > < / D i a g r a m O b j e c t K e y > < D i a g r a m O b j e c t K e y > < K e y > D y n a m i c   T a g s \ T a b l e s \ & l t ; T a b l e s \ T a b l e a u _ a n n e e s & g t ; < / K e y > < / D i a g r a m O b j e c t K e y > < D i a g r a m O b j e c t K e y > < K e y > D y n a m i c   T a g s \ T a b l e s \ & l t ; T a b l e s \ T a b l e a u _ m o i s & g t ; < / K e y > < / D i a g r a m O b j e c t K e y > < D i a g r a m O b j e c t K e y > < K e y > D y n a m i c   T a g s \ T a b l e s \ & l t ; T a b l e s \ T a b _ c o n c a t & g t ; < / K e y > < / D i a g r a m O b j e c t K e y > < D i a g r a m O b j e c t K e y > < K e y > T a b l e s \ T a b l e a u _ t y p e < / K e y > < / D i a g r a m O b j e c t K e y > < D i a g r a m O b j e c t K e y > < K e y > T a b l e s \ T a b l e a u _ t y p e \ C o l u m n s \ T y p e < / K e y > < / D i a g r a m O b j e c t K e y > < D i a g r a m O b j e c t K e y > < K e y > T a b l e s \ T a b l e a u _ s o u r c e < / K e y > < / D i a g r a m O b j e c t K e y > < D i a g r a m O b j e c t K e y > < K e y > T a b l e s \ T a b l e a u _ s o u r c e \ C o l u m n s \ S o u r c e < / K e y > < / D i a g r a m O b j e c t K e y > < D i a g r a m O b j e c t K e y > < K e y > T a b l e s \ T a b l e a u _ c o m b u s t i b l e < / K e y > < / D i a g r a m O b j e c t K e y > < D i a g r a m O b j e c t K e y > < K e y > T a b l e s \ T a b l e a u _ c o m b u s t i b l e \ C o l u m n s \ C o m b u s t i b l e < / K e y > < / D i a g r a m O b j e c t K e y > < D i a g r a m O b j e c t K e y > < K e y > T a b l e s \ T a b l e a u 1 6 < / K e y > < / D i a g r a m O b j e c t K e y > < D i a g r a m O b j e c t K e y > < K e y > T a b l e s \ T a b l e a u 1 6 \ C o l u m n s \ C o m p t e u r / L i v r a i s o n < / K e y > < / D i a g r a m O b j e c t K e y > < D i a g r a m O b j e c t K e y > < K e y > T a b l e s \ T a b l e a u 1 6 \ C o l u m n s \ T y p e < / K e y > < / D i a g r a m O b j e c t K e y > < D i a g r a m O b j e c t K e y > < K e y > T a b l e s \ T a b l e a u 1 6 \ C o l u m n s \ S o u r c e < / K e y > < / D i a g r a m O b j e c t K e y > < D i a g r a m O b j e c t K e y > < K e y > T a b l e s \ T a b l e a u 1 6 \ C o l u m n s \ D e t a i l   u s a g e < / K e y > < / D i a g r a m O b j e c t K e y > < D i a g r a m O b j e c t K e y > < K e y > T a b l e s \ T a b l e a u 1 6 \ C o l u m n s \ C o m b u s t i b l e < / K e y > < / D i a g r a m O b j e c t K e y > < D i a g r a m O b j e c t K e y > < K e y > T a b l e s \ T a b l e a u 1 6 \ C o l u m n s \ P C I < / K e y > < / D i a g r a m O b j e c t K e y > < D i a g r a m O b j e c t K e y > < K e y > T a b l e s \ T a b l e a u 1 6 \ C o l u m n s \ P C I _ D E E T < / K e y > < / D i a g r a m O b j e c t K e y > < D i a g r a m O b j e c t K e y > < K e y > T a b l e s \ T a b l e a u 1 6 \ C o l u m n s \ N o m < / K e y > < / D i a g r a m O b j e c t K e y > < D i a g r a m O b j e c t K e y > < K e y > T a b l e s \ T a b l e a u 1 6 \ C o l u m n s \ P C I _ E P < / K e y > < / D i a g r a m O b j e c t K e y > < D i a g r a m O b j e c t K e y > < K e y > T a b l e s \ T a b l e a u _ u s a g e < / K e y > < / D i a g r a m O b j e c t K e y > < D i a g r a m O b j e c t K e y > < K e y > T a b l e s \ T a b l e a u _ u s a g e \ C o l u m n s \ D e t a i l   u s a g e < / K e y > < / D i a g r a m O b j e c t K e y > < D i a g r a m O b j e c t K e y > < K e y > T a b l e s \ T a b l e a u _ a n n e e s < / K e y > < / D i a g r a m O b j e c t K e y > < D i a g r a m O b j e c t K e y > < K e y > T a b l e s \ T a b l e a u _ a n n e e s \ C o l u m n s \ A n n e e < / K e y > < / D i a g r a m O b j e c t K e y > < D i a g r a m O b j e c t K e y > < K e y > T a b l e s \ T a b l e a u _ m o i s < / K e y > < / D i a g r a m O b j e c t K e y > < D i a g r a m O b j e c t K e y > < K e y > T a b l e s \ T a b l e a u _ m o i s \ C o l u m n s \ M o i s < / K e y > < / D i a g r a m O b j e c t K e y > < D i a g r a m O b j e c t K e y > < K e y > T a b l e s \ T a b l e a u _ m o i s \ M e a s u r e s \ S o m m e   d e   M o i s < / K e y > < / D i a g r a m O b j e c t K e y > < D i a g r a m O b j e c t K e y > < K e y > T a b l e s \ T a b l e a u _ m o i s \ S o m m e   d e   M o i s \ A d d i t i o n a l   I n f o \ M e s u r e   i m p l i c i t e < / K e y > < / D i a g r a m O b j e c t K e y > < D i a g r a m O b j e c t K e y > < K e y > T a b l e s \ T a b _ c o n c a t < / K e y > < / D i a g r a m O b j e c t K e y > < D i a g r a m O b j e c t K e y > < K e y > T a b l e s \ T a b _ c o n c a t \ C o l u m n s \ C o m p t e u r < / K e y > < / D i a g r a m O b j e c t K e y > < D i a g r a m O b j e c t K e y > < K e y > T a b l e s \ T a b _ c o n c a t \ C o l u m n s \ D a t e s < / K e y > < / D i a g r a m O b j e c t K e y > < D i a g r a m O b j e c t K e y > < K e y > T a b l e s \ T a b _ c o n c a t \ C o l u m n s \ D e m a n d e _ j o u r < / K e y > < / D i a g r a m O b j e c t K e y > < D i a g r a m O b j e c t K e y > < K e y > T a b l e s \ T a b _ c o n c a t \ C o l u m n s \ C o u t _ j o u r < / K e y > < / D i a g r a m O b j e c t K e y > < D i a g r a m O b j e c t K e y > < K e y > T a b l e s \ T a b _ c o n c a t \ C o l u m n s \ D J U _ c h a u f f a g i s t e < / K e y > < / D i a g r a m O b j e c t K e y > < D i a g r a m O b j e c t K e y > < K e y > T a b l e s \ T a b _ c o n c a t \ C o l u m n s \ D J U _ c l i m a t i c i e n < / K e y > < / D i a g r a m O b j e c t K e y > < D i a g r a m O b j e c t K e y > < K e y > T a b l e s \ T a b _ c o n c a t \ C o l u m n s \ C o l o n n e 2 < / K e y > < / D i a g r a m O b j e c t K e y > < D i a g r a m O b j e c t K e y > < K e y > T a b l e s \ T a b _ c o n c a t \ C o l u m n s \ T y p e < / K e y > < / D i a g r a m O b j e c t K e y > < D i a g r a m O b j e c t K e y > < K e y > T a b l e s \ T a b _ c o n c a t \ C o l u m n s \ S o u r c e < / K e y > < / D i a g r a m O b j e c t K e y > < D i a g r a m O b j e c t K e y > < K e y > T a b l e s \ T a b _ c o n c a t \ C o l u m n s \ C o m b u s t i b l e < / K e y > < / D i a g r a m O b j e c t K e y > < D i a g r a m O b j e c t K e y > < K e y > T a b l e s \ T a b _ c o n c a t \ C o l u m n s \ C o n s o _ k W h _ P C I < / K e y > < / D i a g r a m O b j e c t K e y > < D i a g r a m O b j e c t K e y > < K e y > T a b l e s \ T a b _ c o n c a t \ C o l u m n s \ C o n s o _ k W h _ D E E T < / K e y > < / D i a g r a m O b j e c t K e y > < D i a g r a m O b j e c t K e y > < K e y > T a b l e s \ T a b _ c o n c a t \ C o l u m n s \ N o m < / K e y > < / D i a g r a m O b j e c t K e y > < D i a g r a m O b j e c t K e y > < K e y > T a b l e s \ T a b _ c o n c a t \ C o l u m n s \ D e t a i l   u s a g e < / K e y > < / D i a g r a m O b j e c t K e y > < D i a g r a m O b j e c t K e y > < K e y > T a b l e s \ T a b _ c o n c a t \ C o l u m n s \ C o n s o _ k W h E P < / K e y > < / D i a g r a m O b j e c t K e y > < D i a g r a m O b j e c t K e y > < K e y > T a b l e s \ T a b _ c o n c a t \ C o l u m n s \ A n n e e < / K e y > < / D i a g r a m O b j e c t K e y > < D i a g r a m O b j e c t K e y > < K e y > T a b l e s \ T a b _ c o n c a t \ C o l u m n s \ M o i s < / K e y > < / D i a g r a m O b j e c t K e y > < D i a g r a m O b j e c t K e y > < K e y > T a b l e s \ T a b _ c o n c a t \ C o l u m n s \ C o u t _ u n i t a i r e < / K e y > < / D i a g r a m O b j e c t K e y > < D i a g r a m O b j e c t K e y > < K e y > T a b l e s \ T a b _ c o n c a t \ C o l u m n s \ D a t e s   ( a n n � e ) < / K e y > < / D i a g r a m O b j e c t K e y > < D i a g r a m O b j e c t K e y > < K e y > T a b l e s \ T a b _ c o n c a t \ C o l u m n s \ D a t e s   ( t r i m e s t r e ) < / K e y > < / D i a g r a m O b j e c t K e y > < D i a g r a m O b j e c t K e y > < K e y > T a b l e s \ T a b _ c o n c a t \ C o l u m n s \ D a t e s   ( i n d e x   d e s   m o i s ) < / K e y > < / D i a g r a m O b j e c t K e y > < D i a g r a m O b j e c t K e y > < K e y > T a b l e s \ T a b _ c o n c a t \ C o l u m n s \ D a t e s   ( m o i s ) < / K e y > < / D i a g r a m O b j e c t K e y > < D i a g r a m O b j e c t K e y > < K e y > T a b l e s \ T a b _ c o n c a t \ C o l u m n s \ D J U _ q u o t _ c h a u f f a g i s t e < / K e y > < / D i a g r a m O b j e c t K e y > < D i a g r a m O b j e c t K e y > < K e y > T a b l e s \ T a b _ c o n c a t \ C o l u m n s \ D J U _ q u o t _ c l i m a t i c i e n < / K e y > < / D i a g r a m O b j e c t K e y > < D i a g r a m O b j e c t K e y > < K e y > T a b l e s \ T a b _ c o n c a t \ M e a s u r e s \ C o n s o _ D J U < / K e y > < / D i a g r a m O b j e c t K e y > < D i a g r a m O b j e c t K e y > < K e y > T a b l e s \ T a b _ c o n c a t \ M e a s u r e s \ C o u t   U n i t a i r e   M o y e n < / K e y > < / D i a g r a m O b j e c t K e y > < D i a g r a m O b j e c t K e y > < K e y > T a b l e s \ T a b _ c o n c a t \ M e a s u r e s \ S o m m e   d e   C o n s o _ k W h _ P C I < / K e y > < / D i a g r a m O b j e c t K e y > < D i a g r a m O b j e c t K e y > < K e y > T a b l e s \ T a b _ c o n c a t \ S o m m e   d e   C o n s o _ k W h _ P C I \ A d d i t i o n a l   I n f o \ M e s u r e   i m p l i c i t e < / K e y > < / D i a g r a m O b j e c t K e y > < D i a g r a m O b j e c t K e y > < K e y > T a b l e s \ T a b _ c o n c a t \ M e a s u r e s \ S o m m e   d e   C o n s o _ k W h _ D E E T < / K e y > < / D i a g r a m O b j e c t K e y > < D i a g r a m O b j e c t K e y > < K e y > T a b l e s \ T a b _ c o n c a t \ S o m m e   d e   C o n s o _ k W h _ D E E T \ A d d i t i o n a l   I n f o \ M e s u r e   i m p l i c i t e < / K e y > < / D i a g r a m O b j e c t K e y > < D i a g r a m O b j e c t K e y > < K e y > T a b l e s \ T a b _ c o n c a t \ M e a s u r e s \ S o m m e   d e   C o u t _ j o u r < / K e y > < / D i a g r a m O b j e c t K e y > < D i a g r a m O b j e c t K e y > < K e y > T a b l e s \ T a b _ c o n c a t \ S o m m e   d e   C o u t _ j o u r \ A d d i t i o n a l   I n f o \ M e s u r e   i m p l i c i t e < / K e y > < / D i a g r a m O b j e c t K e y > < D i a g r a m O b j e c t K e y > < K e y > T a b l e s \ T a b _ c o n c a t \ M e a s u r e s \ S o m m e   d e   C o n s o _ k W h E P < / K e y > < / D i a g r a m O b j e c t K e y > < D i a g r a m O b j e c t K e y > < K e y > T a b l e s \ T a b _ c o n c a t \ S o m m e   d e   C o n s o _ k W h E P \ A d d i t i o n a l   I n f o \ M e s u r e   i m p l i c i t e < / K e y > < / D i a g r a m O b j e c t K e y > < D i a g r a m O b j e c t K e y > < K e y > T a b l e s \ T a b _ c o n c a t \ M e a s u r e s \ S o m m e   d e   D e m a n d e _ j o u r < / K e y > < / D i a g r a m O b j e c t K e y > < D i a g r a m O b j e c t K e y > < K e y > T a b l e s \ T a b _ c o n c a t \ S o m m e   d e   D e m a n d e _ j o u r \ A d d i t i o n a l   I n f o \ M e s u r e   i m p l i c i t e < / K e y > < / D i a g r a m O b j e c t K e y > < D i a g r a m O b j e c t K e y > < K e y > T a b l e s \ T a b _ c o n c a t \ M e a s u r e s \ M o y e n n e   d e   C o n s o _ k W h _ P C I < / K e y > < / D i a g r a m O b j e c t K e y > < D i a g r a m O b j e c t K e y > < K e y > T a b l e s \ T a b _ c o n c a t \ M o y e n n e   d e   C o n s o _ k W h _ P C I \ A d d i t i o n a l   I n f o \ M e s u r e   i m p l i c i t e < / K e y > < / D i a g r a m O b j e c t K e y > < D i a g r a m O b j e c t K e y > < K e y > T a b l e s \ T a b _ c o n c a t \ M e a s u r e s \ M o y e n n e   d e   C o n s o _ k W h _ D E E T < / K e y > < / D i a g r a m O b j e c t K e y > < D i a g r a m O b j e c t K e y > < K e y > T a b l e s \ T a b _ c o n c a t \ M o y e n n e   d e   C o n s o _ k W h _ D E E T \ A d d i t i o n a l   I n f o \ M e s u r e   i m p l i c i t e < / K e y > < / D i a g r a m O b j e c t K e y > < D i a g r a m O b j e c t K e y > < K e y > T a b l e s \ T a b _ c o n c a t \ M e a s u r e s \ S o m m e   d e   C o u t _ u n i t a i r e < / K e y > < / D i a g r a m O b j e c t K e y > < D i a g r a m O b j e c t K e y > < K e y > T a b l e s \ T a b _ c o n c a t \ S o m m e   d e   C o u t _ u n i t a i r e \ A d d i t i o n a l   I n f o \ M e s u r e   i m p l i c i t e < / K e y > < / D i a g r a m O b j e c t K e y > < D i a g r a m O b j e c t K e y > < K e y > T a b l e s \ T a b _ c o n c a t \ M e a s u r e s \ S o m m e   d e   D J U _ q u o t _ c h a u f f a g i s t e < / K e y > < / D i a g r a m O b j e c t K e y > < D i a g r a m O b j e c t K e y > < K e y > T a b l e s \ T a b _ c o n c a t \ S o m m e   d e   D J U _ q u o t _ c h a u f f a g i s t e \ A d d i t i o n a l   I n f o \ M e s u r e   i m p l i c i t e < / K e y > < / D i a g r a m O b j e c t K e y > < D i a g r a m O b j e c t K e y > < K e y > T a b l e s \ T a b _ c o n c a t \ M e a s u r e s \ M o y e n n e   d e   C o u t _ u n i t a i r e < / K e y > < / D i a g r a m O b j e c t K e y > < D i a g r a m O b j e c t K e y > < K e y > T a b l e s \ T a b _ c o n c a t \ M o y e n n e   d e   C o u t _ u n i t a i r e \ A d d i t i o n a l   I n f o \ M e s u r e   i m p l i c i t e < / K e y > < / D i a g r a m O b j e c t K e y > < D i a g r a m O b j e c t K e y > < K e y > T a b l e s \ T a b _ c o n c a t \ M e a s u r e s \ T o t a l   d i s t i n c t   d e   C o u t _ u n i t a i r e < / K e y > < / D i a g r a m O b j e c t K e y > < D i a g r a m O b j e c t K e y > < K e y > T a b l e s \ T a b _ c o n c a t \ T o t a l   d i s t i n c t   d e   C o u t _ u n i t a i r e \ A d d i t i o n a l   I n f o \ M e s u r e   i m p l i c i t e < / K e y > < / D i a g r a m O b j e c t K e y > < D i a g r a m O b j e c t K e y > < K e y > R e l a t i o n s h i p s \ & l t ; T a b l e s \ T a b _ c o n c a t \ C o l u m n s \ C o m p t e u r & g t ; - & l t ; T a b l e s \ T a b l e a u 1 6 \ C o l u m n s \ C o m p t e u r / L i v r a i s o n & g t ; < / K e y > < / D i a g r a m O b j e c t K e y > < D i a g r a m O b j e c t K e y > < K e y > R e l a t i o n s h i p s \ & l t ; T a b l e s \ T a b _ c o n c a t \ C o l u m n s \ C o m p t e u r & g t ; - & l t ; T a b l e s \ T a b l e a u 1 6 \ C o l u m n s \ C o m p t e u r / L i v r a i s o n & g t ; \ F K < / K e y > < / D i a g r a m O b j e c t K e y > < D i a g r a m O b j e c t K e y > < K e y > R e l a t i o n s h i p s \ & l t ; T a b l e s \ T a b _ c o n c a t \ C o l u m n s \ C o m p t e u r & g t ; - & l t ; T a b l e s \ T a b l e a u 1 6 \ C o l u m n s \ C o m p t e u r / L i v r a i s o n & g t ; \ P K < / K e y > < / D i a g r a m O b j e c t K e y > < D i a g r a m O b j e c t K e y > < K e y > R e l a t i o n s h i p s \ & l t ; T a b l e s \ T a b _ c o n c a t \ C o l u m n s \ C o m p t e u r & g t ; - & l t ; T a b l e s \ T a b l e a u 1 6 \ C o l u m n s \ C o m p t e u r / L i v r a i s o n & g t ; \ C r o s s F i l t e r < / K e y > < / D i a g r a m O b j e c t K e y > < D i a g r a m O b j e c t K e y > < K e y > R e l a t i o n s h i p s \ & l t ; T a b l e s \ T a b _ c o n c a t \ C o l u m n s \ A n n e e & g t ; - & l t ; T a b l e s \ T a b l e a u _ a n n e e s \ C o l u m n s \ A n n e e & g t ; < / K e y > < / D i a g r a m O b j e c t K e y > < D i a g r a m O b j e c t K e y > < K e y > R e l a t i o n s h i p s \ & l t ; T a b l e s \ T a b _ c o n c a t \ C o l u m n s \ A n n e e & g t ; - & l t ; T a b l e s \ T a b l e a u _ a n n e e s \ C o l u m n s \ A n n e e & g t ; \ F K < / K e y > < / D i a g r a m O b j e c t K e y > < D i a g r a m O b j e c t K e y > < K e y > R e l a t i o n s h i p s \ & l t ; T a b l e s \ T a b _ c o n c a t \ C o l u m n s \ A n n e e & g t ; - & l t ; T a b l e s \ T a b l e a u _ a n n e e s \ C o l u m n s \ A n n e e & g t ; \ P K < / K e y > < / D i a g r a m O b j e c t K e y > < D i a g r a m O b j e c t K e y > < K e y > R e l a t i o n s h i p s \ & l t ; T a b l e s \ T a b _ c o n c a t \ C o l u m n s \ A n n e e & g t ; - & l t ; T a b l e s \ T a b l e a u _ a n n e e s \ C o l u m n s \ A n n e e & g t ; \ C r o s s F i l t e r < / K e y > < / D i a g r a m O b j e c t K e y > < D i a g r a m O b j e c t K e y > < K e y > R e l a t i o n s h i p s \ & l t ; T a b l e s \ T a b _ c o n c a t \ C o l u m n s \ C o m b u s t i b l e & g t ; - & l t ; T a b l e s \ T a b l e a u _ c o m b u s t i b l e \ C o l u m n s \ C o m b u s t i b l e & g t ; < / K e y > < / D i a g r a m O b j e c t K e y > < D i a g r a m O b j e c t K e y > < K e y > R e l a t i o n s h i p s \ & l t ; T a b l e s \ T a b _ c o n c a t \ C o l u m n s \ C o m b u s t i b l e & g t ; - & l t ; T a b l e s \ T a b l e a u _ c o m b u s t i b l e \ C o l u m n s \ C o m b u s t i b l e & g t ; \ F K < / K e y > < / D i a g r a m O b j e c t K e y > < D i a g r a m O b j e c t K e y > < K e y > R e l a t i o n s h i p s \ & l t ; T a b l e s \ T a b _ c o n c a t \ C o l u m n s \ C o m b u s t i b l e & g t ; - & l t ; T a b l e s \ T a b l e a u _ c o m b u s t i b l e \ C o l u m n s \ C o m b u s t i b l e & g t ; \ P K < / K e y > < / D i a g r a m O b j e c t K e y > < D i a g r a m O b j e c t K e y > < K e y > R e l a t i o n s h i p s \ & l t ; T a b l e s \ T a b _ c o n c a t \ C o l u m n s \ C o m b u s t i b l e & g t ; - & l t ; T a b l e s \ T a b l e a u _ c o m b u s t i b l e \ C o l u m n s \ C o m b u s t i b l e & g t ; \ C r o s s F i l t e r < / K e y > < / D i a g r a m O b j e c t K e y > < D i a g r a m O b j e c t K e y > < K e y > R e l a t i o n s h i p s \ & l t ; T a b l e s \ T a b _ c o n c a t \ C o l u m n s \ D e t a i l   u s a g e & g t ; - & l t ; T a b l e s \ T a b l e a u _ u s a g e \ C o l u m n s \ D e t a i l   u s a g e & g t ; < / K e y > < / D i a g r a m O b j e c t K e y > < D i a g r a m O b j e c t K e y > < K e y > R e l a t i o n s h i p s \ & l t ; T a b l e s \ T a b _ c o n c a t \ C o l u m n s \ D e t a i l   u s a g e & g t ; - & l t ; T a b l e s \ T a b l e a u _ u s a g e \ C o l u m n s \ D e t a i l   u s a g e & g t ; \ F K < / K e y > < / D i a g r a m O b j e c t K e y > < D i a g r a m O b j e c t K e y > < K e y > R e l a t i o n s h i p s \ & l t ; T a b l e s \ T a b _ c o n c a t \ C o l u m n s \ D e t a i l   u s a g e & g t ; - & l t ; T a b l e s \ T a b l e a u _ u s a g e \ C o l u m n s \ D e t a i l   u s a g e & g t ; \ P K < / K e y > < / D i a g r a m O b j e c t K e y > < D i a g r a m O b j e c t K e y > < K e y > R e l a t i o n s h i p s \ & l t ; T a b l e s \ T a b _ c o n c a t \ C o l u m n s \ D e t a i l   u s a g e & g t ; - & l t ; T a b l e s \ T a b l e a u _ u s a g e \ C o l u m n s \ D e t a i l   u s a g e & g t ; \ C r o s s F i l t e r < / K e y > < / D i a g r a m O b j e c t K e y > < D i a g r a m O b j e c t K e y > < K e y > R e l a t i o n s h i p s \ & l t ; T a b l e s \ T a b _ c o n c a t \ C o l u m n s \ S o u r c e & g t ; - & l t ; T a b l e s \ T a b l e a u _ s o u r c e \ C o l u m n s \ S o u r c e & g t ; < / K e y > < / D i a g r a m O b j e c t K e y > < D i a g r a m O b j e c t K e y > < K e y > R e l a t i o n s h i p s \ & l t ; T a b l e s \ T a b _ c o n c a t \ C o l u m n s \ S o u r c e & g t ; - & l t ; T a b l e s \ T a b l e a u _ s o u r c e \ C o l u m n s \ S o u r c e & g t ; \ F K < / K e y > < / D i a g r a m O b j e c t K e y > < D i a g r a m O b j e c t K e y > < K e y > R e l a t i o n s h i p s \ & l t ; T a b l e s \ T a b _ c o n c a t \ C o l u m n s \ S o u r c e & g t ; - & l t ; T a b l e s \ T a b l e a u _ s o u r c e \ C o l u m n s \ S o u r c e & g t ; \ P K < / K e y > < / D i a g r a m O b j e c t K e y > < D i a g r a m O b j e c t K e y > < K e y > R e l a t i o n s h i p s \ & l t ; T a b l e s \ T a b _ c o n c a t \ C o l u m n s \ S o u r c e & g t ; - & l t ; T a b l e s \ T a b l e a u _ s o u r c e \ C o l u m n s \ S o u r c e & g t ; \ C r o s s F i l t e r < / K e y > < / D i a g r a m O b j e c t K e y > < D i a g r a m O b j e c t K e y > < K e y > R e l a t i o n s h i p s \ & l t ; T a b l e s \ T a b _ c o n c a t \ C o l u m n s \ T y p e & g t ; - & l t ; T a b l e s \ T a b l e a u _ t y p e \ C o l u m n s \ T y p e & g t ; < / K e y > < / D i a g r a m O b j e c t K e y > < D i a g r a m O b j e c t K e y > < K e y > R e l a t i o n s h i p s \ & l t ; T a b l e s \ T a b _ c o n c a t \ C o l u m n s \ T y p e & g t ; - & l t ; T a b l e s \ T a b l e a u _ t y p e \ C o l u m n s \ T y p e & g t ; \ F K < / K e y > < / D i a g r a m O b j e c t K e y > < D i a g r a m O b j e c t K e y > < K e y > R e l a t i o n s h i p s \ & l t ; T a b l e s \ T a b _ c o n c a t \ C o l u m n s \ T y p e & g t ; - & l t ; T a b l e s \ T a b l e a u _ t y p e \ C o l u m n s \ T y p e & g t ; \ P K < / K e y > < / D i a g r a m O b j e c t K e y > < D i a g r a m O b j e c t K e y > < K e y > R e l a t i o n s h i p s \ & l t ; T a b l e s \ T a b _ c o n c a t \ C o l u m n s \ T y p e & g t ; - & l t ; T a b l e s \ T a b l e a u _ t y p e \ C o l u m n s \ T y p e & g t ; \ C r o s s F i l t e r < / K e y > < / D i a g r a m O b j e c t K e y > < D i a g r a m O b j e c t K e y > < K e y > R e l a t i o n s h i p s \ & l t ; T a b l e s \ T a b _ c o n c a t \ C o l u m n s \ M o i s & g t ; - & l t ; T a b l e s \ T a b l e a u _ m o i s \ C o l u m n s \ M o i s & g t ; < / K e y > < / D i a g r a m O b j e c t K e y > < D i a g r a m O b j e c t K e y > < K e y > R e l a t i o n s h i p s \ & l t ; T a b l e s \ T a b _ c o n c a t \ C o l u m n s \ M o i s & g t ; - & l t ; T a b l e s \ T a b l e a u _ m o i s \ C o l u m n s \ M o i s & g t ; \ F K < / K e y > < / D i a g r a m O b j e c t K e y > < D i a g r a m O b j e c t K e y > < K e y > R e l a t i o n s h i p s \ & l t ; T a b l e s \ T a b _ c o n c a t \ C o l u m n s \ M o i s & g t ; - & l t ; T a b l e s \ T a b l e a u _ m o i s \ C o l u m n s \ M o i s & g t ; \ P K < / K e y > < / D i a g r a m O b j e c t K e y > < D i a g r a m O b j e c t K e y > < K e y > R e l a t i o n s h i p s \ & l t ; T a b l e s \ T a b _ c o n c a t \ C o l u m n s \ M o i s & g t ; - & l t ; T a b l e s \ T a b l e a u _ m o i s \ C o l u m n s \ M o i s & g t ; \ C r o s s F i l t e r < / K e y > < / D i a g r a m O b j e c t K e y > < D i a g r a m O b j e c t K e y > < K e y > R e l a t i o n s h i p s \ & l t ; T a b l e s \ T a b l e a u 1 6 \ C o l u m n s \ T y p e & g t ; - & l t ; T a b l e s \ T a b l e a u _ t y p e \ C o l u m n s \ T y p e & g t ; < / K e y > < / D i a g r a m O b j e c t K e y > < D i a g r a m O b j e c t K e y > < K e y > R e l a t i o n s h i p s \ & l t ; T a b l e s \ T a b l e a u 1 6 \ C o l u m n s \ T y p e & g t ; - & l t ; T a b l e s \ T a b l e a u _ t y p e \ C o l u m n s \ T y p e & g t ; \ F K < / K e y > < / D i a g r a m O b j e c t K e y > < D i a g r a m O b j e c t K e y > < K e y > R e l a t i o n s h i p s \ & l t ; T a b l e s \ T a b l e a u 1 6 \ C o l u m n s \ T y p e & g t ; - & l t ; T a b l e s \ T a b l e a u _ t y p e \ C o l u m n s \ T y p e & g t ; \ P K < / K e y > < / D i a g r a m O b j e c t K e y > < D i a g r a m O b j e c t K e y > < K e y > R e l a t i o n s h i p s \ & l t ; T a b l e s \ T a b l e a u 1 6 \ C o l u m n s \ T y p e & g t ; - & l t ; T a b l e s \ T a b l e a u _ t y p e \ C o l u m n s \ T y p e & g t ; \ C r o s s F i l t e r < / K e y > < / D i a g r a m O b j e c t K e y > < D i a g r a m O b j e c t K e y > < K e y > R e l a t i o n s h i p s \ & l t ; T a b l e s \ T a b l e a u 1 6 \ C o l u m n s \ S o u r c e & g t ; - & l t ; T a b l e s \ T a b l e a u _ s o u r c e \ C o l u m n s \ S o u r c e & g t ; < / K e y > < / D i a g r a m O b j e c t K e y > < D i a g r a m O b j e c t K e y > < K e y > R e l a t i o n s h i p s \ & l t ; T a b l e s \ T a b l e a u 1 6 \ C o l u m n s \ S o u r c e & g t ; - & l t ; T a b l e s \ T a b l e a u _ s o u r c e \ C o l u m n s \ S o u r c e & g t ; \ F K < / K e y > < / D i a g r a m O b j e c t K e y > < D i a g r a m O b j e c t K e y > < K e y > R e l a t i o n s h i p s \ & l t ; T a b l e s \ T a b l e a u 1 6 \ C o l u m n s \ S o u r c e & g t ; - & l t ; T a b l e s \ T a b l e a u _ s o u r c e \ C o l u m n s \ S o u r c e & g t ; \ P K < / K e y > < / D i a g r a m O b j e c t K e y > < D i a g r a m O b j e c t K e y > < K e y > R e l a t i o n s h i p s \ & l t ; T a b l e s \ T a b l e a u 1 6 \ C o l u m n s \ S o u r c e & g t ; - & l t ; T a b l e s \ T a b l e a u _ s o u r c e \ C o l u m n s \ S o u r c e & g t ; \ C r o s s F i l t e r < / K e y > < / D i a g r a m O b j e c t K e y > < D i a g r a m O b j e c t K e y > < K e y > R e l a t i o n s h i p s \ & l t ; T a b l e s \ T a b l e a u 1 6 \ C o l u m n s \ C o m b u s t i b l e & g t ; - & l t ; T a b l e s \ T a b l e a u _ c o m b u s t i b l e \ C o l u m n s \ C o m b u s t i b l e & g t ; < / K e y > < / D i a g r a m O b j e c t K e y > < D i a g r a m O b j e c t K e y > < K e y > R e l a t i o n s h i p s \ & l t ; T a b l e s \ T a b l e a u 1 6 \ C o l u m n s \ C o m b u s t i b l e & g t ; - & l t ; T a b l e s \ T a b l e a u _ c o m b u s t i b l e \ C o l u m n s \ C o m b u s t i b l e & g t ; \ F K < / K e y > < / D i a g r a m O b j e c t K e y > < D i a g r a m O b j e c t K e y > < K e y > R e l a t i o n s h i p s \ & l t ; T a b l e s \ T a b l e a u 1 6 \ C o l u m n s \ C o m b u s t i b l e & g t ; - & l t ; T a b l e s \ T a b l e a u _ c o m b u s t i b l e \ C o l u m n s \ C o m b u s t i b l e & g t ; \ P K < / K e y > < / D i a g r a m O b j e c t K e y > < D i a g r a m O b j e c t K e y > < K e y > R e l a t i o n s h i p s \ & l t ; T a b l e s \ T a b l e a u 1 6 \ C o l u m n s \ C o m b u s t i b l e & g t ; - & l t ; T a b l e s \ T a b l e a u _ c o m b u s t i b l e \ C o l u m n s \ C o m b u s t i b l e & g t ; \ C r o s s F i l t e r < / K e y > < / D i a g r a m O b j e c t K e y > < / A l l K e y s > < S e l e c t e d K e y s > < D i a g r a m O b j e c t K e y > < K e y > R e l a t i o n s h i p s \ & l t ; T a b l e s \ T a b _ c o n c a t \ C o l u m n s \ M o i s & g t ; - & l t ; T a b l e s \ T a b l e a u _ m o i s \ C o l u m n s \ M o i s & g t ; < / 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 T a g s \ T a b l e s \ & l t ; T a b l e s \ T a b l e a u _ t y p e & g t ; < / K e y > < / a : K e y > < a : V a l u e   i : t y p e = " D i a g r a m D i s p l a y T a g V i e w S t a t e " > < I s N o t F i l t e r e d O u t > t r u e < / I s N o t F i l t e r e d O u t > < / a : V a l u e > < / a : K e y V a l u e O f D i a g r a m O b j e c t K e y a n y T y p e z b w N T n L X > < a : K e y V a l u e O f D i a g r a m O b j e c t K e y a n y T y p e z b w N T n L X > < a : K e y > < K e y > D y n a m i c   T a g s \ T a b l e s \ & l t ; T a b l e s \ T a b l e a u _ s o u r c e & g t ; < / K e y > < / a : K e y > < a : V a l u e   i : t y p e = " D i a g r a m D i s p l a y T a g V i e w S t a t e " > < I s N o t F i l t e r e d O u t > t r u e < / I s N o t F i l t e r e d O u t > < / a : V a l u e > < / a : K e y V a l u e O f D i a g r a m O b j e c t K e y a n y T y p e z b w N T n L X > < a : K e y V a l u e O f D i a g r a m O b j e c t K e y a n y T y p e z b w N T n L X > < a : K e y > < K e y > D y n a m i c   T a g s \ T a b l e s \ & l t ; T a b l e s \ T a b l e a u _ c o m b u s t i b l e & g t ; < / K e y > < / a : K e y > < a : V a l u e   i : t y p e = " D i a g r a m D i s p l a y T a g V i e w S t a t e " > < I s N o t F i l t e r e d O u t > t r u e < / I s N o t F i l t e r e d O u t > < / a : V a l u e > < / a : K e y V a l u e O f D i a g r a m O b j e c t K e y a n y T y p e z b w N T n L X > < a : K e y V a l u e O f D i a g r a m O b j e c t K e y a n y T y p e z b w N T n L X > < a : K e y > < K e y > D y n a m i c   T a g s \ T a b l e s \ & l t ; T a b l e s \ T a b l e a u 1 6 & g t ; < / K e y > < / a : K e y > < a : V a l u e   i : t y p e = " D i a g r a m D i s p l a y T a g V i e w S t a t e " > < I s N o t F i l t e r e d O u t > t r u e < / I s N o t F i l t e r e d O u t > < / a : V a l u e > < / a : K e y V a l u e O f D i a g r a m O b j e c t K e y a n y T y p e z b w N T n L X > < a : K e y V a l u e O f D i a g r a m O b j e c t K e y a n y T y p e z b w N T n L X > < a : K e y > < K e y > D y n a m i c   T a g s \ T a b l e s \ & l t ; T a b l e s \ T a b l e a u _ u s a g e & g t ; < / K e y > < / a : K e y > < a : V a l u e   i : t y p e = " D i a g r a m D i s p l a y T a g V i e w S t a t e " > < I s N o t F i l t e r e d O u t > t r u e < / I s N o t F i l t e r e d O u t > < / a : V a l u e > < / a : K e y V a l u e O f D i a g r a m O b j e c t K e y a n y T y p e z b w N T n L X > < a : K e y V a l u e O f D i a g r a m O b j e c t K e y a n y T y p e z b w N T n L X > < a : K e y > < K e y > D y n a m i c   T a g s \ T a b l e s \ & l t ; T a b l e s \ T a b l e a u _ a n n e e s & g t ; < / K e y > < / a : K e y > < a : V a l u e   i : t y p e = " D i a g r a m D i s p l a y T a g V i e w S t a t e " > < I s N o t F i l t e r e d O u t > t r u e < / I s N o t F i l t e r e d O u t > < / a : V a l u e > < / a : K e y V a l u e O f D i a g r a m O b j e c t K e y a n y T y p e z b w N T n L X > < a : K e y V a l u e O f D i a g r a m O b j e c t K e y a n y T y p e z b w N T n L X > < a : K e y > < K e y > D y n a m i c   T a g s \ T a b l e s \ & l t ; T a b l e s \ T a b l e a u _ m o i s & g t ; < / K e y > < / a : K e y > < a : V a l u e   i : t y p e = " D i a g r a m D i s p l a y T a g V i e w S t a t e " > < I s N o t F i l t e r e d O u t > t r u e < / I s N o t F i l t e r e d O u t > < / a : V a l u e > < / a : K e y V a l u e O f D i a g r a m O b j e c t K e y a n y T y p e z b w N T n L X > < a : K e y V a l u e O f D i a g r a m O b j e c t K e y a n y T y p e z b w N T n L X > < a : K e y > < K e y > D y n a m i c   T a g s \ T a b l e s \ & l t ; T a b l e s \ T a b _ c o n c a t & g t ; < / K e y > < / a : K e y > < a : V a l u e   i : t y p e = " D i a g r a m D i s p l a y T a g V i e w S t a t e " > < I s N o t F i l t e r e d O u t > t r u e < / I s N o t F i l t e r e d O u t > < / a : V a l u e > < / a : K e y V a l u e O f D i a g r a m O b j e c t K e y a n y T y p e z b w N T n L X > < a : K e y V a l u e O f D i a g r a m O b j e c t K e y a n y T y p e z b w N T n L X > < a : K e y > < K e y > T a b l e s \ T a b l e a u _ t y p e < / K e y > < / a : K e y > < a : V a l u e   i : t y p e = " D i a g r a m D i s p l a y N o d e V i e w S t a t e " > < H e i g h t > 1 5 0 < / H e i g h t > < I s E x p a n d e d > t r u e < / I s E x p a n d e d > < L a y e d O u t > t r u e < / L a y e d O u t > < L e f t > 5 6 9 . 9 0 3 8 1 0 5 6 7 6 6 5 8 < / L e f t > < T a b I n d e x > 2 < / T a b I n d e x > < W i d t h > 2 0 0 < / W i d t h > < / a : V a l u e > < / a : K e y V a l u e O f D i a g r a m O b j e c t K e y a n y T y p e z b w N T n L X > < a : K e y V a l u e O f D i a g r a m O b j e c t K e y a n y T y p e z b w N T n L X > < a : K e y > < K e y > T a b l e s \ T a b l e a u _ t y p e \ C o l u m n s \ T y p e < / K e y > < / a : K e y > < a : V a l u e   i : t y p e = " D i a g r a m D i s p l a y N o d e V i e w S t a t e " > < H e i g h t > 1 5 0 < / H e i g h t > < I s E x p a n d e d > t r u e < / I s E x p a n d e d > < W i d t h > 2 0 0 < / W i d t h > < / a : V a l u e > < / a : K e y V a l u e O f D i a g r a m O b j e c t K e y a n y T y p e z b w N T n L X > < a : K e y V a l u e O f D i a g r a m O b j e c t K e y a n y T y p e z b w N T n L X > < a : K e y > < K e y > T a b l e s \ T a b l e a u _ s o u r c e < / K e y > < / a : K e y > < a : V a l u e   i : t y p e = " D i a g r a m D i s p l a y N o d e V i e w S t a t e " > < H e i g h t > 1 5 0 < / H e i g h t > < I s E x p a n d e d > t r u e < / I s E x p a n d e d > < L a y e d O u t > t r u e < / L a y e d O u t > < L e f t > 5 9 0 . 7 1 1 4 3 1 7 0 2 9 9 7 2 9 < / L e f t > < T a b I n d e x > 4 < / T a b I n d e x > < T o p > 3 2 3 < / T o p > < W i d t h > 2 0 0 < / W i d t h > < / a : V a l u e > < / a : K e y V a l u e O f D i a g r a m O b j e c t K e y a n y T y p e z b w N T n L X > < a : K e y V a l u e O f D i a g r a m O b j e c t K e y a n y T y p e z b w N T n L X > < a : K e y > < K e y > T a b l e s \ T a b l e a u _ s o u r c e \ C o l u m n s \ S o u r c e < / K e y > < / a : K e y > < a : V a l u e   i : t y p e = " D i a g r a m D i s p l a y N o d e V i e w S t a t e " > < H e i g h t > 1 5 0 < / H e i g h t > < I s E x p a n d e d > t r u e < / I s E x p a n d e d > < W i d t h > 2 0 0 < / W i d t h > < / a : V a l u e > < / a : K e y V a l u e O f D i a g r a m O b j e c t K e y a n y T y p e z b w N T n L X > < a : K e y V a l u e O f D i a g r a m O b j e c t K e y a n y T y p e z b w N T n L X > < a : K e y > < K e y > T a b l e s \ T a b l e a u _ c o m b u s t i b l e < / K e y > < / a : K e y > < a : V a l u e   i : t y p e = " D i a g r a m D i s p l a y N o d e V i e w S t a t e " > < H e i g h t > 1 5 0 < / H e i g h t > < I s E x p a n d e d > t r u e < / I s E x p a n d e d > < L a y e d O u t > t r u e < / L a y e d O u t > < T a b I n d e x > 6 < / T a b I n d e x > < T o p > 3 9 5 < / T o p > < W i d t h > 2 0 0 < / W i d t h > < / a : V a l u e > < / a : K e y V a l u e O f D i a g r a m O b j e c t K e y a n y T y p e z b w N T n L X > < a : K e y V a l u e O f D i a g r a m O b j e c t K e y a n y T y p e z b w N T n L X > < a : K e y > < K e y > T a b l e s \ T a b l e a u _ c o m b u s t i b l e \ C o l u m n s \ C o m b u s t i b l e < / K e y > < / a : K e y > < a : V a l u e   i : t y p e = " D i a g r a m D i s p l a y N o d e V i e w S t a t e " > < H e i g h t > 1 5 0 < / H e i g h t > < I s E x p a n d e d > t r u e < / I s E x p a n d e d > < W i d t h > 2 0 0 < / W i d t h > < / a : V a l u e > < / a : K e y V a l u e O f D i a g r a m O b j e c t K e y a n y T y p e z b w N T n L X > < a : K e y V a l u e O f D i a g r a m O b j e c t K e y a n y T y p e z b w N T n L X > < a : K e y > < K e y > T a b l e s \ T a b l e a u 1 6 < / K e y > < / a : K e y > < a : V a l u e   i : t y p e = " D i a g r a m D i s p l a y N o d e V i e w S t a t e " > < H e i g h t > 1 5 0 < / H e i g h t > < I s E x p a n d e d > t r u e < / I s E x p a n d e d > < L a y e d O u t > t r u e < / L a y e d O u t > < L e f t > 3 2 9 . 9 0 3 8 1 0 5 6 7 6 6 5 8 < / L e f t > < S c r o l l V e r t i c a l O f f s e t > 6 8 . 6 0 6 3 1 7 7 5 5 4 9 1 4 8 9 < / S c r o l l V e r t i c a l O f f s e t > < T a b I n d e x > 1 < / T a b I n d e x > < W i d t h > 2 0 0 < / W i d t h > < / a : V a l u e > < / a : K e y V a l u e O f D i a g r a m O b j e c t K e y a n y T y p e z b w N T n L X > < a : K e y V a l u e O f D i a g r a m O b j e c t K e y a n y T y p e z b w N T n L X > < a : K e y > < K e y > T a b l e s \ T a b l e a u 1 6 \ C o l u m n s \ C o m p t e u r / L i v r a i s o n < / K e y > < / a : K e y > < a : V a l u e   i : t y p e = " D i a g r a m D i s p l a y N o d e V i e w S t a t e " > < H e i g h t > 1 5 0 < / H e i g h t > < I s E x p a n d e d > t r u e < / I s E x p a n d e d > < W i d t h > 2 0 0 < / W i d t h > < / a : V a l u e > < / a : K e y V a l u e O f D i a g r a m O b j e c t K e y a n y T y p e z b w N T n L X > < a : K e y V a l u e O f D i a g r a m O b j e c t K e y a n y T y p e z b w N T n L X > < a : K e y > < K e y > T a b l e s \ T a b l e a u 1 6 \ C o l u m n s \ T y p e < / K e y > < / a : K e y > < a : V a l u e   i : t y p e = " D i a g r a m D i s p l a y N o d e V i e w S t a t e " > < H e i g h t > 1 5 0 < / H e i g h t > < I s E x p a n d e d > t r u e < / I s E x p a n d e d > < W i d t h > 2 0 0 < / W i d t h > < / a : V a l u e > < / a : K e y V a l u e O f D i a g r a m O b j e c t K e y a n y T y p e z b w N T n L X > < a : K e y V a l u e O f D i a g r a m O b j e c t K e y a n y T y p e z b w N T n L X > < a : K e y > < K e y > T a b l e s \ T a b l e a u 1 6 \ C o l u m n s \ S o u r c e < / K e y > < / a : K e y > < a : V a l u e   i : t y p e = " D i a g r a m D i s p l a y N o d e V i e w S t a t e " > < H e i g h t > 1 5 0 < / H e i g h t > < I s E x p a n d e d > t r u e < / I s E x p a n d e d > < W i d t h > 2 0 0 < / W i d t h > < / a : V a l u e > < / a : K e y V a l u e O f D i a g r a m O b j e c t K e y a n y T y p e z b w N T n L X > < a : K e y V a l u e O f D i a g r a m O b j e c t K e y a n y T y p e z b w N T n L X > < a : K e y > < K e y > T a b l e s \ T a b l e a u 1 6 \ C o l u m n s \ D e t a i l   u s a g e < / K e y > < / a : K e y > < a : V a l u e   i : t y p e = " D i a g r a m D i s p l a y N o d e V i e w S t a t e " > < H e i g h t > 1 5 0 < / H e i g h t > < I s E x p a n d e d > t r u e < / I s E x p a n d e d > < W i d t h > 2 0 0 < / W i d t h > < / a : V a l u e > < / a : K e y V a l u e O f D i a g r a m O b j e c t K e y a n y T y p e z b w N T n L X > < a : K e y V a l u e O f D i a g r a m O b j e c t K e y a n y T y p e z b w N T n L X > < a : K e y > < K e y > T a b l e s \ T a b l e a u 1 6 \ C o l u m n s \ C o m b u s t i b l e < / K e y > < / a : K e y > < a : V a l u e   i : t y p e = " D i a g r a m D i s p l a y N o d e V i e w S t a t e " > < H e i g h t > 1 5 0 < / H e i g h t > < I s E x p a n d e d > t r u e < / I s E x p a n d e d > < W i d t h > 2 0 0 < / W i d t h > < / a : V a l u e > < / a : K e y V a l u e O f D i a g r a m O b j e c t K e y a n y T y p e z b w N T n L X > < a : K e y V a l u e O f D i a g r a m O b j e c t K e y a n y T y p e z b w N T n L X > < a : K e y > < K e y > T a b l e s \ T a b l e a u 1 6 \ C o l u m n s \ P C I < / K e y > < / a : K e y > < a : V a l u e   i : t y p e = " D i a g r a m D i s p l a y N o d e V i e w S t a t e " > < H e i g h t > 1 5 0 < / H e i g h t > < I s E x p a n d e d > t r u e < / I s E x p a n d e d > < W i d t h > 2 0 0 < / W i d t h > < / a : V a l u e > < / a : K e y V a l u e O f D i a g r a m O b j e c t K e y a n y T y p e z b w N T n L X > < a : K e y V a l u e O f D i a g r a m O b j e c t K e y a n y T y p e z b w N T n L X > < a : K e y > < K e y > T a b l e s \ T a b l e a u 1 6 \ C o l u m n s \ P C I _ D E E T < / K e y > < / a : K e y > < a : V a l u e   i : t y p e = " D i a g r a m D i s p l a y N o d e V i e w S t a t e " > < H e i g h t > 1 5 0 < / H e i g h t > < I s E x p a n d e d > t r u e < / I s E x p a n d e d > < W i d t h > 2 0 0 < / W i d t h > < / a : V a l u e > < / a : K e y V a l u e O f D i a g r a m O b j e c t K e y a n y T y p e z b w N T n L X > < a : K e y V a l u e O f D i a g r a m O b j e c t K e y a n y T y p e z b w N T n L X > < a : K e y > < K e y > T a b l e s \ T a b l e a u 1 6 \ C o l u m n s \ N o m < / K e y > < / a : K e y > < a : V a l u e   i : t y p e = " D i a g r a m D i s p l a y N o d e V i e w S t a t e " > < H e i g h t > 1 5 0 < / H e i g h t > < I s E x p a n d e d > t r u e < / I s E x p a n d e d > < W i d t h > 2 0 0 < / W i d t h > < / a : V a l u e > < / a : K e y V a l u e O f D i a g r a m O b j e c t K e y a n y T y p e z b w N T n L X > < a : K e y V a l u e O f D i a g r a m O b j e c t K e y a n y T y p e z b w N T n L X > < a : K e y > < K e y > T a b l e s \ T a b l e a u 1 6 \ C o l u m n s \ P C I _ E P < / K e y > < / a : K e y > < a : V a l u e   i : t y p e = " D i a g r a m D i s p l a y N o d e V i e w S t a t e " > < H e i g h t > 1 5 0 < / H e i g h t > < I s E x p a n d e d > t r u e < / I s E x p a n d e d > < W i d t h > 2 0 0 < / W i d t h > < / a : V a l u e > < / a : K e y V a l u e O f D i a g r a m O b j e c t K e y a n y T y p e z b w N T n L X > < a : K e y V a l u e O f D i a g r a m O b j e c t K e y a n y T y p e z b w N T n L X > < a : K e y > < K e y > T a b l e s \ T a b l e a u _ u s a g e < / K e y > < / a : K e y > < a : V a l u e   i : t y p e = " D i a g r a m D i s p l a y N o d e V i e w S t a t e " > < H e i g h t > 1 5 0 < / H e i g h t > < I s E x p a n d e d > t r u e < / I s E x p a n d e d > < L a y e d O u t > t r u e < / L a y e d O u t > < L e f t > 3 8 0 . 5 1 9 0 5 2 8 3 8 3 2 9 1 2 < / L e f t > < T a b I n d e x > 7 < / T a b I n d e x > < T o p > 4 7 4 < / T o p > < W i d t h > 2 0 0 < / W i d t h > < / a : V a l u e > < / a : K e y V a l u e O f D i a g r a m O b j e c t K e y a n y T y p e z b w N T n L X > < a : K e y V a l u e O f D i a g r a m O b j e c t K e y a n y T y p e z b w N T n L X > < a : K e y > < K e y > T a b l e s \ T a b l e a u _ u s a g e \ C o l u m n s \ D e t a i l   u s a g e < / K e y > < / a : K e y > < a : V a l u e   i : t y p e = " D i a g r a m D i s p l a y N o d e V i e w S t a t e " > < H e i g h t > 1 5 0 < / H e i g h t > < I s E x p a n d e d > t r u e < / I s E x p a n d e d > < W i d t h > 2 0 0 < / W i d t h > < / a : V a l u e > < / a : K e y V a l u e O f D i a g r a m O b j e c t K e y a n y T y p e z b w N T n L X > < a : K e y V a l u e O f D i a g r a m O b j e c t K e y a n y T y p e z b w N T n L X > < a : K e y > < K e y > T a b l e s \ T a b l e a u _ a n n e e s < / K e y > < / a : K e y > < a : V a l u e   i : t y p e = " D i a g r a m D i s p l a y N o d e V i e w S t a t e " > < H e i g h t > 1 5 0 < / H e i g h t > < I s E x p a n d e d > t r u e < / I s E x p a n d e d > < L a y e d O u t > t r u e < / L a y e d O u t > < L e f t > 3 3 7 . 8 0 7 6 2 1 1 3 5 3 3 1 6 < / L e f t > < T a b I n d e x > 3 < / T a b I n d e x > < T o p > 2 3 0 < / T o p > < W i d t h > 2 0 0 < / W i d t h > < / a : V a l u e > < / a : K e y V a l u e O f D i a g r a m O b j e c t K e y a n y T y p e z b w N T n L X > < a : K e y V a l u e O f D i a g r a m O b j e c t K e y a n y T y p e z b w N T n L X > < a : K e y > < K e y > T a b l e s \ T a b l e a u _ a n n e e s \ C o l u m n s \ A n n e e < / K e y > < / a : K e y > < a : V a l u e   i : t y p e = " D i a g r a m D i s p l a y N o d e V i e w S t a t e " > < H e i g h t > 1 5 0 < / H e i g h t > < I s E x p a n d e d > t r u e < / I s E x p a n d e d > < W i d t h > 2 0 0 < / W i d t h > < / a : V a l u e > < / a : K e y V a l u e O f D i a g r a m O b j e c t K e y a n y T y p e z b w N T n L X > < a : K e y V a l u e O f D i a g r a m O b j e c t K e y a n y T y p e z b w N T n L X > < a : K e y > < K e y > T a b l e s \ T a b l e a u _ m o i s < / K e y > < / a : K e y > < a : V a l u e   i : t y p e = " D i a g r a m D i s p l a y N o d e V i e w S t a t e " > < H e i g h t > 1 5 0 < / H e i g h t > < I s E x p a n d e d > t r u e < / I s E x p a n d e d > < L a y e d O u t > t r u e < / L a y e d O u t > < L e f t > 8 3 0 . 7 1 1 4 3 1 7 0 2 9 9 7 2 9 < / L e f t > < T a b I n d e x > 5 < / T a b I n d e x > < T o p > 2 3 7 < / T o p > < W i d t h > 2 0 0 < / W i d t h > < / a : V a l u e > < / a : K e y V a l u e O f D i a g r a m O b j e c t K e y a n y T y p e z b w N T n L X > < a : K e y V a l u e O f D i a g r a m O b j e c t K e y a n y T y p e z b w N T n L X > < a : K e y > < K e y > T a b l e s \ T a b l e a u _ m o i s \ C o l u m n s \ M o i s < / K e y > < / a : K e y > < a : V a l u e   i : t y p e = " D i a g r a m D i s p l a y N o d e V i e w S t a t e " > < H e i g h t > 1 5 0 < / H e i g h t > < I s E x p a n d e d > t r u e < / I s E x p a n d e d > < W i d t h > 2 0 0 < / W i d t h > < / a : V a l u e > < / a : K e y V a l u e O f D i a g r a m O b j e c t K e y a n y T y p e z b w N T n L X > < a : K e y V a l u e O f D i a g r a m O b j e c t K e y a n y T y p e z b w N T n L X > < a : K e y > < K e y > T a b l e s \ T a b l e a u _ m o i s \ M e a s u r e s \ S o m m e   d e   M o i s < / K e y > < / a : K e y > < a : V a l u e   i : t y p e = " D i a g r a m D i s p l a y N o d e V i e w S t a t e " > < H e i g h t > 1 5 0 < / H e i g h t > < I s E x p a n d e d > t r u e < / I s E x p a n d e d > < W i d t h > 2 0 0 < / W i d t h > < / a : V a l u e > < / a : K e y V a l u e O f D i a g r a m O b j e c t K e y a n y T y p e z b w N T n L X > < a : K e y V a l u e O f D i a g r a m O b j e c t K e y a n y T y p e z b w N T n L X > < a : K e y > < K e y > T a b l e s \ T a b l e a u _ m o i s \ S o m m e   d e   M o i s \ A d d i t i o n a l   I n f o \ M e s u r e   i m p l i c i t e < / K e y > < / a : K e y > < a : V a l u e   i : t y p e = " D i a g r a m D i s p l a y V i e w S t a t e I D i a g r a m T a g A d d i t i o n a l I n f o " / > < / a : K e y V a l u e O f D i a g r a m O b j e c t K e y a n y T y p e z b w N T n L X > < a : K e y V a l u e O f D i a g r a m O b j e c t K e y a n y T y p e z b w N T n L X > < a : K e y > < K e y > T a b l e s \ T a b _ c o n c a t < / K e y > < / a : K e y > < a : V a l u e   i : t y p e = " D i a g r a m D i s p l a y N o d e V i e w S t a t e " > < H e i g h t > 1 5 0 < / H e i g h t > < I s E x p a n d e d > t r u e < / I s E x p a n d e d > < L a y e d O u t > t r u e < / L a y e d O u t > < S c r o l l V e r t i c a l O f f s e t > 3 8 7 < / S c r o l l V e r t i c a l O f f s e t > < W i d t h > 2 0 0 < / W i d t h > < / a : V a l u e > < / a : K e y V a l u e O f D i a g r a m O b j e c t K e y a n y T y p e z b w N T n L X > < a : K e y V a l u e O f D i a g r a m O b j e c t K e y a n y T y p e z b w N T n L X > < a : K e y > < K e y > T a b l e s \ T a b _ c o n c a t \ C o l u m n s \ C o m p t e u r < / K e y > < / a : K e y > < a : V a l u e   i : t y p e = " D i a g r a m D i s p l a y N o d e V i e w S t a t e " > < H e i g h t > 1 5 0 < / H e i g h t > < I s E x p a n d e d > t r u e < / I s E x p a n d e d > < W i d t h > 2 0 0 < / W i d t h > < / a : V a l u e > < / a : K e y V a l u e O f D i a g r a m O b j e c t K e y a n y T y p e z b w N T n L X > < a : K e y V a l u e O f D i a g r a m O b j e c t K e y a n y T y p e z b w N T n L X > < a : K e y > < K e y > T a b l e s \ T a b _ c o n c a t \ C o l u m n s \ D a t e s < / K e y > < / a : K e y > < a : V a l u e   i : t y p e = " D i a g r a m D i s p l a y N o d e V i e w S t a t e " > < H e i g h t > 1 5 0 < / H e i g h t > < I s E x p a n d e d > t r u e < / I s E x p a n d e d > < W i d t h > 2 0 0 < / W i d t h > < / a : V a l u e > < / a : K e y V a l u e O f D i a g r a m O b j e c t K e y a n y T y p e z b w N T n L X > < a : K e y V a l u e O f D i a g r a m O b j e c t K e y a n y T y p e z b w N T n L X > < a : K e y > < K e y > T a b l e s \ T a b _ c o n c a t \ C o l u m n s \ D e m a n d e _ j o u r < / K e y > < / a : K e y > < a : V a l u e   i : t y p e = " D i a g r a m D i s p l a y N o d e V i e w S t a t e " > < H e i g h t > 1 5 0 < / H e i g h t > < I s E x p a n d e d > t r u e < / I s E x p a n d e d > < W i d t h > 2 0 0 < / W i d t h > < / a : V a l u e > < / a : K e y V a l u e O f D i a g r a m O b j e c t K e y a n y T y p e z b w N T n L X > < a : K e y V a l u e O f D i a g r a m O b j e c t K e y a n y T y p e z b w N T n L X > < a : K e y > < K e y > T a b l e s \ T a b _ c o n c a t \ C o l u m n s \ C o u t _ j o u r < / K e y > < / a : K e y > < a : V a l u e   i : t y p e = " D i a g r a m D i s p l a y N o d e V i e w S t a t e " > < H e i g h t > 1 5 0 < / H e i g h t > < I s E x p a n d e d > t r u e < / I s E x p a n d e d > < W i d t h > 2 0 0 < / W i d t h > < / a : V a l u e > < / a : K e y V a l u e O f D i a g r a m O b j e c t K e y a n y T y p e z b w N T n L X > < a : K e y V a l u e O f D i a g r a m O b j e c t K e y a n y T y p e z b w N T n L X > < a : K e y > < K e y > T a b l e s \ T a b _ c o n c a t \ C o l u m n s \ D J U _ c h a u f f a g i s t e < / K e y > < / a : K e y > < a : V a l u e   i : t y p e = " D i a g r a m D i s p l a y N o d e V i e w S t a t e " > < H e i g h t > 1 5 0 < / H e i g h t > < I s E x p a n d e d > t r u e < / I s E x p a n d e d > < W i d t h > 2 0 0 < / W i d t h > < / a : V a l u e > < / a : K e y V a l u e O f D i a g r a m O b j e c t K e y a n y T y p e z b w N T n L X > < a : K e y V a l u e O f D i a g r a m O b j e c t K e y a n y T y p e z b w N T n L X > < a : K e y > < K e y > T a b l e s \ T a b _ c o n c a t \ C o l u m n s \ D J U _ c l i m a t i c i e n < / K e y > < / a : K e y > < a : V a l u e   i : t y p e = " D i a g r a m D i s p l a y N o d e V i e w S t a t e " > < H e i g h t > 1 5 0 < / H e i g h t > < I s E x p a n d e d > t r u e < / I s E x p a n d e d > < W i d t h > 2 0 0 < / W i d t h > < / a : V a l u e > < / a : K e y V a l u e O f D i a g r a m O b j e c t K e y a n y T y p e z b w N T n L X > < a : K e y V a l u e O f D i a g r a m O b j e c t K e y a n y T y p e z b w N T n L X > < a : K e y > < K e y > T a b l e s \ T a b _ c o n c a t \ C o l u m n s \ C o l o n n e 2 < / K e y > < / a : K e y > < a : V a l u e   i : t y p e = " D i a g r a m D i s p l a y N o d e V i e w S t a t e " > < H e i g h t > 1 5 0 < / H e i g h t > < I s E x p a n d e d > t r u e < / I s E x p a n d e d > < W i d t h > 2 0 0 < / W i d t h > < / a : V a l u e > < / a : K e y V a l u e O f D i a g r a m O b j e c t K e y a n y T y p e z b w N T n L X > < a : K e y V a l u e O f D i a g r a m O b j e c t K e y a n y T y p e z b w N T n L X > < a : K e y > < K e y > T a b l e s \ T a b _ c o n c a t \ C o l u m n s \ T y p e < / K e y > < / a : K e y > < a : V a l u e   i : t y p e = " D i a g r a m D i s p l a y N o d e V i e w S t a t e " > < H e i g h t > 1 5 0 < / H e i g h t > < I s E x p a n d e d > t r u e < / I s E x p a n d e d > < W i d t h > 2 0 0 < / W i d t h > < / a : V a l u e > < / a : K e y V a l u e O f D i a g r a m O b j e c t K e y a n y T y p e z b w N T n L X > < a : K e y V a l u e O f D i a g r a m O b j e c t K e y a n y T y p e z b w N T n L X > < a : K e y > < K e y > T a b l e s \ T a b _ c o n c a t \ C o l u m n s \ S o u r c e < / K e y > < / a : K e y > < a : V a l u e   i : t y p e = " D i a g r a m D i s p l a y N o d e V i e w S t a t e " > < H e i g h t > 1 5 0 < / H e i g h t > < I s E x p a n d e d > t r u e < / I s E x p a n d e d > < W i d t h > 2 0 0 < / W i d t h > < / a : V a l u e > < / a : K e y V a l u e O f D i a g r a m O b j e c t K e y a n y T y p e z b w N T n L X > < a : K e y V a l u e O f D i a g r a m O b j e c t K e y a n y T y p e z b w N T n L X > < a : K e y > < K e y > T a b l e s \ T a b _ c o n c a t \ C o l u m n s \ C o m b u s t i b l e < / K e y > < / a : K e y > < a : V a l u e   i : t y p e = " D i a g r a m D i s p l a y N o d e V i e w S t a t e " > < H e i g h t > 1 5 0 < / H e i g h t > < I s E x p a n d e d > t r u e < / I s E x p a n d e d > < W i d t h > 2 0 0 < / W i d t h > < / a : V a l u e > < / a : K e y V a l u e O f D i a g r a m O b j e c t K e y a n y T y p e z b w N T n L X > < a : K e y V a l u e O f D i a g r a m O b j e c t K e y a n y T y p e z b w N T n L X > < a : K e y > < K e y > T a b l e s \ T a b _ c o n c a t \ C o l u m n s \ C o n s o _ k W h _ P C I < / K e y > < / a : K e y > < a : V a l u e   i : t y p e = " D i a g r a m D i s p l a y N o d e V i e w S t a t e " > < H e i g h t > 1 5 0 < / H e i g h t > < I s E x p a n d e d > t r u e < / I s E x p a n d e d > < W i d t h > 2 0 0 < / W i d t h > < / a : V a l u e > < / a : K e y V a l u e O f D i a g r a m O b j e c t K e y a n y T y p e z b w N T n L X > < a : K e y V a l u e O f D i a g r a m O b j e c t K e y a n y T y p e z b w N T n L X > < a : K e y > < K e y > T a b l e s \ T a b _ c o n c a t \ C o l u m n s \ C o n s o _ k W h _ D E E T < / K e y > < / a : K e y > < a : V a l u e   i : t y p e = " D i a g r a m D i s p l a y N o d e V i e w S t a t e " > < H e i g h t > 1 5 0 < / H e i g h t > < I s E x p a n d e d > t r u e < / I s E x p a n d e d > < W i d t h > 2 0 0 < / W i d t h > < / a : V a l u e > < / a : K e y V a l u e O f D i a g r a m O b j e c t K e y a n y T y p e z b w N T n L X > < a : K e y V a l u e O f D i a g r a m O b j e c t K e y a n y T y p e z b w N T n L X > < a : K e y > < K e y > T a b l e s \ T a b _ c o n c a t \ C o l u m n s \ N o m < / K e y > < / a : K e y > < a : V a l u e   i : t y p e = " D i a g r a m D i s p l a y N o d e V i e w S t a t e " > < H e i g h t > 1 5 0 < / H e i g h t > < I s E x p a n d e d > t r u e < / I s E x p a n d e d > < W i d t h > 2 0 0 < / W i d t h > < / a : V a l u e > < / a : K e y V a l u e O f D i a g r a m O b j e c t K e y a n y T y p e z b w N T n L X > < a : K e y V a l u e O f D i a g r a m O b j e c t K e y a n y T y p e z b w N T n L X > < a : K e y > < K e y > T a b l e s \ T a b _ c o n c a t \ C o l u m n s \ D e t a i l   u s a g e < / K e y > < / a : K e y > < a : V a l u e   i : t y p e = " D i a g r a m D i s p l a y N o d e V i e w S t a t e " > < H e i g h t > 1 5 0 < / H e i g h t > < I s E x p a n d e d > t r u e < / I s E x p a n d e d > < W i d t h > 2 0 0 < / W i d t h > < / a : V a l u e > < / a : K e y V a l u e O f D i a g r a m O b j e c t K e y a n y T y p e z b w N T n L X > < a : K e y V a l u e O f D i a g r a m O b j e c t K e y a n y T y p e z b w N T n L X > < a : K e y > < K e y > T a b l e s \ T a b _ c o n c a t \ C o l u m n s \ C o n s o _ k W h E P < / K e y > < / a : K e y > < a : V a l u e   i : t y p e = " D i a g r a m D i s p l a y N o d e V i e w S t a t e " > < H e i g h t > 1 5 0 < / H e i g h t > < I s E x p a n d e d > t r u e < / I s E x p a n d e d > < W i d t h > 2 0 0 < / W i d t h > < / a : V a l u e > < / a : K e y V a l u e O f D i a g r a m O b j e c t K e y a n y T y p e z b w N T n L X > < a : K e y V a l u e O f D i a g r a m O b j e c t K e y a n y T y p e z b w N T n L X > < a : K e y > < K e y > T a b l e s \ T a b _ c o n c a t \ C o l u m n s \ A n n e e < / K e y > < / a : K e y > < a : V a l u e   i : t y p e = " D i a g r a m D i s p l a y N o d e V i e w S t a t e " > < H e i g h t > 1 5 0 < / H e i g h t > < I s E x p a n d e d > t r u e < / I s E x p a n d e d > < W i d t h > 2 0 0 < / W i d t h > < / a : V a l u e > < / a : K e y V a l u e O f D i a g r a m O b j e c t K e y a n y T y p e z b w N T n L X > < a : K e y V a l u e O f D i a g r a m O b j e c t K e y a n y T y p e z b w N T n L X > < a : K e y > < K e y > T a b l e s \ T a b _ c o n c a t \ C o l u m n s \ M o i s < / K e y > < / a : K e y > < a : V a l u e   i : t y p e = " D i a g r a m D i s p l a y N o d e V i e w S t a t e " > < H e i g h t > 1 5 0 < / H e i g h t > < I s E x p a n d e d > t r u e < / I s E x p a n d e d > < W i d t h > 2 0 0 < / W i d t h > < / a : V a l u e > < / a : K e y V a l u e O f D i a g r a m O b j e c t K e y a n y T y p e z b w N T n L X > < a : K e y V a l u e O f D i a g r a m O b j e c t K e y a n y T y p e z b w N T n L X > < a : K e y > < K e y > T a b l e s \ T a b _ c o n c a t \ C o l u m n s \ C o u t _ u n i t a i r e < / K e y > < / a : K e y > < a : V a l u e   i : t y p e = " D i a g r a m D i s p l a y N o d e V i e w S t a t e " > < H e i g h t > 1 5 0 < / H e i g h t > < I s E x p a n d e d > t r u e < / I s E x p a n d e d > < W i d t h > 2 0 0 < / W i d t h > < / a : V a l u e > < / a : K e y V a l u e O f D i a g r a m O b j e c t K e y a n y T y p e z b w N T n L X > < a : K e y V a l u e O f D i a g r a m O b j e c t K e y a n y T y p e z b w N T n L X > < a : K e y > < K e y > T a b l e s \ T a b _ c o n c a t \ C o l u m n s \ D a t e s   ( a n n � e ) < / K e y > < / a : K e y > < a : V a l u e   i : t y p e = " D i a g r a m D i s p l a y N o d e V i e w S t a t e " > < H e i g h t > 1 5 0 < / H e i g h t > < I s E x p a n d e d > t r u e < / I s E x p a n d e d > < W i d t h > 2 0 0 < / W i d t h > < / a : V a l u e > < / a : K e y V a l u e O f D i a g r a m O b j e c t K e y a n y T y p e z b w N T n L X > < a : K e y V a l u e O f D i a g r a m O b j e c t K e y a n y T y p e z b w N T n L X > < a : K e y > < K e y > T a b l e s \ T a b _ c o n c a t \ C o l u m n s \ D a t e s   ( t r i m e s t r e ) < / K e y > < / a : K e y > < a : V a l u e   i : t y p e = " D i a g r a m D i s p l a y N o d e V i e w S t a t e " > < H e i g h t > 1 5 0 < / H e i g h t > < I s E x p a n d e d > t r u e < / I s E x p a n d e d > < W i d t h > 2 0 0 < / W i d t h > < / a : V a l u e > < / a : K e y V a l u e O f D i a g r a m O b j e c t K e y a n y T y p e z b w N T n L X > < a : K e y V a l u e O f D i a g r a m O b j e c t K e y a n y T y p e z b w N T n L X > < a : K e y > < K e y > T a b l e s \ T a b _ c o n c a t \ C o l u m n s \ D a t e s   ( i n d e x   d e s   m o i s ) < / K e y > < / a : K e y > < a : V a l u e   i : t y p e = " D i a g r a m D i s p l a y N o d e V i e w S t a t e " > < H e i g h t > 1 5 0 < / H e i g h t > < I s E x p a n d e d > t r u e < / I s E x p a n d e d > < W i d t h > 2 0 0 < / W i d t h > < / a : V a l u e > < / a : K e y V a l u e O f D i a g r a m O b j e c t K e y a n y T y p e z b w N T n L X > < a : K e y V a l u e O f D i a g r a m O b j e c t K e y a n y T y p e z b w N T n L X > < a : K e y > < K e y > T a b l e s \ T a b _ c o n c a t \ C o l u m n s \ D a t e s   ( m o i s ) < / K e y > < / a : K e y > < a : V a l u e   i : t y p e = " D i a g r a m D i s p l a y N o d e V i e w S t a t e " > < H e i g h t > 1 5 0 < / H e i g h t > < I s E x p a n d e d > t r u e < / I s E x p a n d e d > < W i d t h > 2 0 0 < / W i d t h > < / a : V a l u e > < / a : K e y V a l u e O f D i a g r a m O b j e c t K e y a n y T y p e z b w N T n L X > < a : K e y V a l u e O f D i a g r a m O b j e c t K e y a n y T y p e z b w N T n L X > < a : K e y > < K e y > T a b l e s \ T a b _ c o n c a t \ C o l u m n s \ D J U _ q u o t _ c h a u f f a g i s t e < / K e y > < / a : K e y > < a : V a l u e   i : t y p e = " D i a g r a m D i s p l a y N o d e V i e w S t a t e " > < H e i g h t > 1 5 0 < / H e i g h t > < I s E x p a n d e d > t r u e < / I s E x p a n d e d > < W i d t h > 2 0 0 < / W i d t h > < / a : V a l u e > < / a : K e y V a l u e O f D i a g r a m O b j e c t K e y a n y T y p e z b w N T n L X > < a : K e y V a l u e O f D i a g r a m O b j e c t K e y a n y T y p e z b w N T n L X > < a : K e y > < K e y > T a b l e s \ T a b _ c o n c a t \ C o l u m n s \ D J U _ q u o t _ c l i m a t i c i e n < / K e y > < / a : K e y > < a : V a l u e   i : t y p e = " D i a g r a m D i s p l a y N o d e V i e w S t a t e " > < H e i g h t > 1 5 0 < / H e i g h t > < I s E x p a n d e d > t r u e < / I s E x p a n d e d > < W i d t h > 2 0 0 < / W i d t h > < / a : V a l u e > < / a : K e y V a l u e O f D i a g r a m O b j e c t K e y a n y T y p e z b w N T n L X > < a : K e y V a l u e O f D i a g r a m O b j e c t K e y a n y T y p e z b w N T n L X > < a : K e y > < K e y > T a b l e s \ T a b _ c o n c a t \ M e a s u r e s \ C o n s o _ D J U < / K e y > < / a : K e y > < a : V a l u e   i : t y p e = " D i a g r a m D i s p l a y N o d e V i e w S t a t e " > < H e i g h t > 1 5 0 < / H e i g h t > < I s E x p a n d e d > t r u e < / I s E x p a n d e d > < W i d t h > 2 0 0 < / W i d t h > < / a : V a l u e > < / a : K e y V a l u e O f D i a g r a m O b j e c t K e y a n y T y p e z b w N T n L X > < a : K e y V a l u e O f D i a g r a m O b j e c t K e y a n y T y p e z b w N T n L X > < a : K e y > < K e y > T a b l e s \ T a b _ c o n c a t \ M e a s u r e s \ C o u t   U n i t a i r e   M o y e n < / K e y > < / a : K e y > < a : V a l u e   i : t y p e = " D i a g r a m D i s p l a y N o d e V i e w S t a t e " > < H e i g h t > 1 5 0 < / H e i g h t > < I s E x p a n d e d > t r u e < / I s E x p a n d e d > < W i d t h > 2 0 0 < / W i d t h > < / a : V a l u e > < / a : K e y V a l u e O f D i a g r a m O b j e c t K e y a n y T y p e z b w N T n L X > < a : K e y V a l u e O f D i a g r a m O b j e c t K e y a n y T y p e z b w N T n L X > < a : K e y > < K e y > T a b l e s \ T a b _ c o n c a t \ M e a s u r e s \ S o m m e   d e   C o n s o _ k W h _ P C I < / K e y > < / a : K e y > < a : V a l u e   i : t y p e = " D i a g r a m D i s p l a y N o d e V i e w S t a t e " > < H e i g h t > 1 5 0 < / H e i g h t > < I s E x p a n d e d > t r u e < / I s E x p a n d e d > < W i d t h > 2 0 0 < / W i d t h > < / a : V a l u e > < / a : K e y V a l u e O f D i a g r a m O b j e c t K e y a n y T y p e z b w N T n L X > < a : K e y V a l u e O f D i a g r a m O b j e c t K e y a n y T y p e z b w N T n L X > < a : K e y > < K e y > T a b l e s \ T a b _ c o n c a t \ S o m m e   d e   C o n s o _ k W h _ P C I \ A d d i t i o n a l   I n f o \ M e s u r e   i m p l i c i t e < / K e y > < / a : K e y > < a : V a l u e   i : t y p e = " D i a g r a m D i s p l a y V i e w S t a t e I D i a g r a m T a g A d d i t i o n a l I n f o " / > < / a : K e y V a l u e O f D i a g r a m O b j e c t K e y a n y T y p e z b w N T n L X > < a : K e y V a l u e O f D i a g r a m O b j e c t K e y a n y T y p e z b w N T n L X > < a : K e y > < K e y > T a b l e s \ T a b _ c o n c a t \ M e a s u r e s \ S o m m e   d e   C o n s o _ k W h _ D E E T < / K e y > < / a : K e y > < a : V a l u e   i : t y p e = " D i a g r a m D i s p l a y N o d e V i e w S t a t e " > < H e i g h t > 1 5 0 < / H e i g h t > < I s E x p a n d e d > t r u e < / I s E x p a n d e d > < W i d t h > 2 0 0 < / W i d t h > < / a : V a l u e > < / a : K e y V a l u e O f D i a g r a m O b j e c t K e y a n y T y p e z b w N T n L X > < a : K e y V a l u e O f D i a g r a m O b j e c t K e y a n y T y p e z b w N T n L X > < a : K e y > < K e y > T a b l e s \ T a b _ c o n c a t \ S o m m e   d e   C o n s o _ k W h _ D E E T \ A d d i t i o n a l   I n f o \ M e s u r e   i m p l i c i t e < / K e y > < / a : K e y > < a : V a l u e   i : t y p e = " D i a g r a m D i s p l a y V i e w S t a t e I D i a g r a m T a g A d d i t i o n a l I n f o " / > < / a : K e y V a l u e O f D i a g r a m O b j e c t K e y a n y T y p e z b w N T n L X > < a : K e y V a l u e O f D i a g r a m O b j e c t K e y a n y T y p e z b w N T n L X > < a : K e y > < K e y > T a b l e s \ T a b _ c o n c a t \ M e a s u r e s \ S o m m e   d e   C o u t _ j o u r < / K e y > < / a : K e y > < a : V a l u e   i : t y p e = " D i a g r a m D i s p l a y N o d e V i e w S t a t e " > < H e i g h t > 1 5 0 < / H e i g h t > < I s E x p a n d e d > t r u e < / I s E x p a n d e d > < W i d t h > 2 0 0 < / W i d t h > < / a : V a l u e > < / a : K e y V a l u e O f D i a g r a m O b j e c t K e y a n y T y p e z b w N T n L X > < a : K e y V a l u e O f D i a g r a m O b j e c t K e y a n y T y p e z b w N T n L X > < a : K e y > < K e y > T a b l e s \ T a b _ c o n c a t \ S o m m e   d e   C o u t _ j o u r \ A d d i t i o n a l   I n f o \ M e s u r e   i m p l i c i t e < / K e y > < / a : K e y > < a : V a l u e   i : t y p e = " D i a g r a m D i s p l a y V i e w S t a t e I D i a g r a m T a g A d d i t i o n a l I n f o " / > < / a : K e y V a l u e O f D i a g r a m O b j e c t K e y a n y T y p e z b w N T n L X > < a : K e y V a l u e O f D i a g r a m O b j e c t K e y a n y T y p e z b w N T n L X > < a : K e y > < K e y > T a b l e s \ T a b _ c o n c a t \ M e a s u r e s \ S o m m e   d e   C o n s o _ k W h E P < / K e y > < / a : K e y > < a : V a l u e   i : t y p e = " D i a g r a m D i s p l a y N o d e V i e w S t a t e " > < H e i g h t > 1 5 0 < / H e i g h t > < I s E x p a n d e d > t r u e < / I s E x p a n d e d > < W i d t h > 2 0 0 < / W i d t h > < / a : V a l u e > < / a : K e y V a l u e O f D i a g r a m O b j e c t K e y a n y T y p e z b w N T n L X > < a : K e y V a l u e O f D i a g r a m O b j e c t K e y a n y T y p e z b w N T n L X > < a : K e y > < K e y > T a b l e s \ T a b _ c o n c a t \ S o m m e   d e   C o n s o _ k W h E P \ A d d i t i o n a l   I n f o \ M e s u r e   i m p l i c i t e < / K e y > < / a : K e y > < a : V a l u e   i : t y p e = " D i a g r a m D i s p l a y V i e w S t a t e I D i a g r a m T a g A d d i t i o n a l I n f o " / > < / a : K e y V a l u e O f D i a g r a m O b j e c t K e y a n y T y p e z b w N T n L X > < a : K e y V a l u e O f D i a g r a m O b j e c t K e y a n y T y p e z b w N T n L X > < a : K e y > < K e y > T a b l e s \ T a b _ c o n c a t \ M e a s u r e s \ S o m m e   d e   D e m a n d e _ j o u r < / K e y > < / a : K e y > < a : V a l u e   i : t y p e = " D i a g r a m D i s p l a y N o d e V i e w S t a t e " > < H e i g h t > 1 5 0 < / H e i g h t > < I s E x p a n d e d > t r u e < / I s E x p a n d e d > < W i d t h > 2 0 0 < / W i d t h > < / a : V a l u e > < / a : K e y V a l u e O f D i a g r a m O b j e c t K e y a n y T y p e z b w N T n L X > < a : K e y V a l u e O f D i a g r a m O b j e c t K e y a n y T y p e z b w N T n L X > < a : K e y > < K e y > T a b l e s \ T a b _ c o n c a t \ S o m m e   d e   D e m a n d e _ j o u r \ A d d i t i o n a l   I n f o \ M e s u r e   i m p l i c i t e < / K e y > < / a : K e y > < a : V a l u e   i : t y p e = " D i a g r a m D i s p l a y V i e w S t a t e I D i a g r a m T a g A d d i t i o n a l I n f o " / > < / a : K e y V a l u e O f D i a g r a m O b j e c t K e y a n y T y p e z b w N T n L X > < a : K e y V a l u e O f D i a g r a m O b j e c t K e y a n y T y p e z b w N T n L X > < a : K e y > < K e y > T a b l e s \ T a b _ c o n c a t \ M e a s u r e s \ M o y e n n e   d e   C o n s o _ k W h _ P C I < / K e y > < / a : K e y > < a : V a l u e   i : t y p e = " D i a g r a m D i s p l a y N o d e V i e w S t a t e " > < H e i g h t > 1 5 0 < / H e i g h t > < I s E x p a n d e d > t r u e < / I s E x p a n d e d > < W i d t h > 2 0 0 < / W i d t h > < / a : V a l u e > < / a : K e y V a l u e O f D i a g r a m O b j e c t K e y a n y T y p e z b w N T n L X > < a : K e y V a l u e O f D i a g r a m O b j e c t K e y a n y T y p e z b w N T n L X > < a : K e y > < K e y > T a b l e s \ T a b _ c o n c a t \ M o y e n n e   d e   C o n s o _ k W h _ P C I \ A d d i t i o n a l   I n f o \ M e s u r e   i m p l i c i t e < / K e y > < / a : K e y > < a : V a l u e   i : t y p e = " D i a g r a m D i s p l a y V i e w S t a t e I D i a g r a m T a g A d d i t i o n a l I n f o " / > < / a : K e y V a l u e O f D i a g r a m O b j e c t K e y a n y T y p e z b w N T n L X > < a : K e y V a l u e O f D i a g r a m O b j e c t K e y a n y T y p e z b w N T n L X > < a : K e y > < K e y > T a b l e s \ T a b _ c o n c a t \ M e a s u r e s \ M o y e n n e   d e   C o n s o _ k W h _ D E E T < / K e y > < / a : K e y > < a : V a l u e   i : t y p e = " D i a g r a m D i s p l a y N o d e V i e w S t a t e " > < H e i g h t > 1 5 0 < / H e i g h t > < I s E x p a n d e d > t r u e < / I s E x p a n d e d > < W i d t h > 2 0 0 < / W i d t h > < / a : V a l u e > < / a : K e y V a l u e O f D i a g r a m O b j e c t K e y a n y T y p e z b w N T n L X > < a : K e y V a l u e O f D i a g r a m O b j e c t K e y a n y T y p e z b w N T n L X > < a : K e y > < K e y > T a b l e s \ T a b _ c o n c a t \ M o y e n n e   d e   C o n s o _ k W h _ D E E T \ A d d i t i o n a l   I n f o \ M e s u r e   i m p l i c i t e < / K e y > < / a : K e y > < a : V a l u e   i : t y p e = " D i a g r a m D i s p l a y V i e w S t a t e I D i a g r a m T a g A d d i t i o n a l I n f o " / > < / a : K e y V a l u e O f D i a g r a m O b j e c t K e y a n y T y p e z b w N T n L X > < a : K e y V a l u e O f D i a g r a m O b j e c t K e y a n y T y p e z b w N T n L X > < a : K e y > < K e y > T a b l e s \ T a b _ c o n c a t \ M e a s u r e s \ S o m m e   d e   C o u t _ u n i t a i r e < / K e y > < / a : K e y > < a : V a l u e   i : t y p e = " D i a g r a m D i s p l a y N o d e V i e w S t a t e " > < H e i g h t > 1 5 0 < / H e i g h t > < I s E x p a n d e d > t r u e < / I s E x p a n d e d > < W i d t h > 2 0 0 < / W i d t h > < / a : V a l u e > < / a : K e y V a l u e O f D i a g r a m O b j e c t K e y a n y T y p e z b w N T n L X > < a : K e y V a l u e O f D i a g r a m O b j e c t K e y a n y T y p e z b w N T n L X > < a : K e y > < K e y > T a b l e s \ T a b _ c o n c a t \ S o m m e   d e   C o u t _ u n i t a i r e \ A d d i t i o n a l   I n f o \ M e s u r e   i m p l i c i t e < / K e y > < / a : K e y > < a : V a l u e   i : t y p e = " D i a g r a m D i s p l a y V i e w S t a t e I D i a g r a m T a g A d d i t i o n a l I n f o " / > < / a : K e y V a l u e O f D i a g r a m O b j e c t K e y a n y T y p e z b w N T n L X > < a : K e y V a l u e O f D i a g r a m O b j e c t K e y a n y T y p e z b w N T n L X > < a : K e y > < K e y > T a b l e s \ T a b _ c o n c a t \ M e a s u r e s \ S o m m e   d e   D J U _ q u o t _ c h a u f f a g i s t e < / K e y > < / a : K e y > < a : V a l u e   i : t y p e = " D i a g r a m D i s p l a y N o d e V i e w S t a t e " > < H e i g h t > 1 5 0 < / H e i g h t > < I s E x p a n d e d > t r u e < / I s E x p a n d e d > < W i d t h > 2 0 0 < / W i d t h > < / a : V a l u e > < / a : K e y V a l u e O f D i a g r a m O b j e c t K e y a n y T y p e z b w N T n L X > < a : K e y V a l u e O f D i a g r a m O b j e c t K e y a n y T y p e z b w N T n L X > < a : K e y > < K e y > T a b l e s \ T a b _ c o n c a t \ S o m m e   d e   D J U _ q u o t _ c h a u f f a g i s t e \ A d d i t i o n a l   I n f o \ M e s u r e   i m p l i c i t e < / K e y > < / a : K e y > < a : V a l u e   i : t y p e = " D i a g r a m D i s p l a y V i e w S t a t e I D i a g r a m T a g A d d i t i o n a l I n f o " / > < / a : K e y V a l u e O f D i a g r a m O b j e c t K e y a n y T y p e z b w N T n L X > < a : K e y V a l u e O f D i a g r a m O b j e c t K e y a n y T y p e z b w N T n L X > < a : K e y > < K e y > T a b l e s \ T a b _ c o n c a t \ M e a s u r e s \ M o y e n n e   d e   C o u t _ u n i t a i r e < / K e y > < / a : K e y > < a : V a l u e   i : t y p e = " D i a g r a m D i s p l a y N o d e V i e w S t a t e " > < H e i g h t > 1 5 0 < / H e i g h t > < I s E x p a n d e d > t r u e < / I s E x p a n d e d > < W i d t h > 2 0 0 < / W i d t h > < / a : V a l u e > < / a : K e y V a l u e O f D i a g r a m O b j e c t K e y a n y T y p e z b w N T n L X > < a : K e y V a l u e O f D i a g r a m O b j e c t K e y a n y T y p e z b w N T n L X > < a : K e y > < K e y > T a b l e s \ T a b _ c o n c a t \ M o y e n n e   d e   C o u t _ u n i t a i r e \ A d d i t i o n a l   I n f o \ M e s u r e   i m p l i c i t e < / K e y > < / a : K e y > < a : V a l u e   i : t y p e = " D i a g r a m D i s p l a y V i e w S t a t e I D i a g r a m T a g A d d i t i o n a l I n f o " / > < / a : K e y V a l u e O f D i a g r a m O b j e c t K e y a n y T y p e z b w N T n L X > < a : K e y V a l u e O f D i a g r a m O b j e c t K e y a n y T y p e z b w N T n L X > < a : K e y > < K e y > T a b l e s \ T a b _ c o n c a t \ M e a s u r e s \ T o t a l   d i s t i n c t   d e   C o u t _ u n i t a i r e < / K e y > < / a : K e y > < a : V a l u e   i : t y p e = " D i a g r a m D i s p l a y N o d e V i e w S t a t e " > < H e i g h t > 1 5 0 < / H e i g h t > < I s E x p a n d e d > t r u e < / I s E x p a n d e d > < W i d t h > 2 0 0 < / W i d t h > < / a : V a l u e > < / a : K e y V a l u e O f D i a g r a m O b j e c t K e y a n y T y p e z b w N T n L X > < a : K e y V a l u e O f D i a g r a m O b j e c t K e y a n y T y p e z b w N T n L X > < a : K e y > < K e y > T a b l e s \ T a b _ c o n c a t \ T o t a l   d i s t i n c t   d e   C o u t _ u n i t a i r e \ A d d i t i o n a l   I n f o \ M e s u r e   i m p l i c i t e < / K e y > < / a : K e y > < a : V a l u e   i : t y p e = " D i a g r a m D i s p l a y V i e w S t a t e I D i a g r a m T a g A d d i t i o n a l I n f o " / > < / a : K e y V a l u e O f D i a g r a m O b j e c t K e y a n y T y p e z b w N T n L X > < a : K e y V a l u e O f D i a g r a m O b j e c t K e y a n y T y p e z b w N T n L X > < a : K e y > < K e y > R e l a t i o n s h i p s \ & l t ; T a b l e s \ T a b _ c o n c a t \ C o l u m n s \ C o m p t e u r & g t ; - & l t ; T a b l e s \ T a b l e a u 1 6 \ C o l u m n s \ C o m p t e u r / L i v r a i s o n & g t ; < / K e y > < / a : K e y > < a : V a l u e   i : t y p e = " D i a g r a m D i s p l a y L i n k V i e w S t a t e " > < A u t o m a t i o n P r o p e r t y H e l p e r T e x t > P o i n t   d ' a r r � t   1   :   ( 2 1 6 , 3 5 ) .   P o i n t   d ' a r r � t   2   :   ( 3 1 3 , 9 0 3 8 1 0 5 6 7 6 6 6 , 3 5 )   < / A u t o m a t i o n P r o p e r t y H e l p e r T e x t > < L a y e d O u t > t r u e < / L a y e d O u t > < P o i n t s   x m l n s : b = " h t t p : / / s c h e m a s . d a t a c o n t r a c t . o r g / 2 0 0 4 / 0 7 / S y s t e m . W i n d o w s " > < b : P o i n t > < b : _ x > 2 1 6 . 0 0 0 0 0 0 0 0 0 0 0 0 0 3 < / b : _ x > < b : _ y > 3 5 < / b : _ y > < / b : P o i n t > < b : P o i n t > < b : _ x > 3 1 3 . 9 0 3 8 1 0 5 6 7 6 6 5 8 < / b : _ x > < b : _ y > 3 5 < / b : _ y > < / b : P o i n t > < / P o i n t s > < / a : V a l u e > < / a : K e y V a l u e O f D i a g r a m O b j e c t K e y a n y T y p e z b w N T n L X > < a : K e y V a l u e O f D i a g r a m O b j e c t K e y a n y T y p e z b w N T n L X > < a : K e y > < K e y > R e l a t i o n s h i p s \ & l t ; T a b l e s \ T a b _ c o n c a t \ C o l u m n s \ C o m p t e u r & g t ; - & l t ; T a b l e s \ T a b l e a u 1 6 \ C o l u m n s \ C o m p t e u r / L i v r a i s o n & g t ; \ F K < / K e y > < / a : K e y > < a : V a l u e   i : t y p e = " D i a g r a m D i s p l a y L i n k E n d p o i n t V i e w S t a t e " > < H e i g h t > 1 6 < / H e i g h t > < L a b e l L o c a t i o n   x m l n s : b = " h t t p : / / s c h e m a s . d a t a c o n t r a c t . o r g / 2 0 0 4 / 0 7 / S y s t e m . W i n d o w s " > < b : _ x > 2 0 0 . 0 0 0 0 0 0 0 0 0 0 0 0 0 3 < / b : _ x > < b : _ y > 2 7 < / b : _ y > < / L a b e l L o c a t i o n > < L o c a t i o n   x m l n s : b = " h t t p : / / s c h e m a s . d a t a c o n t r a c t . o r g / 2 0 0 4 / 0 7 / S y s t e m . W i n d o w s " > < b : _ x > 2 0 0 < / b : _ x > < b : _ y > 3 5 < / b : _ y > < / L o c a t i o n > < S h a p e R o t a t e A n g l e > 3 6 0 < / S h a p e R o t a t e A n g l e > < W i d t h > 1 6 < / W i d t h > < / a : V a l u e > < / a : K e y V a l u e O f D i a g r a m O b j e c t K e y a n y T y p e z b w N T n L X > < a : K e y V a l u e O f D i a g r a m O b j e c t K e y a n y T y p e z b w N T n L X > < a : K e y > < K e y > R e l a t i o n s h i p s \ & l t ; T a b l e s \ T a b _ c o n c a t \ C o l u m n s \ C o m p t e u r & g t ; - & l t ; T a b l e s \ T a b l e a u 1 6 \ C o l u m n s \ C o m p t e u r / L i v r a i s o n & g t ; \ P K < / K e y > < / a : K e y > < a : V a l u e   i : t y p e = " D i a g r a m D i s p l a y L i n k E n d p o i n t V i e w S t a t e " > < H e i g h t > 1 6 < / H e i g h t > < L a b e l L o c a t i o n   x m l n s : b = " h t t p : / / s c h e m a s . d a t a c o n t r a c t . o r g / 2 0 0 4 / 0 7 / S y s t e m . W i n d o w s " > < b : _ x > 3 1 3 . 9 0 3 8 1 0 5 6 7 6 6 5 8 < / b : _ x > < b : _ y > 2 7 < / b : _ y > < / L a b e l L o c a t i o n > < L o c a t i o n   x m l n s : b = " h t t p : / / s c h e m a s . d a t a c o n t r a c t . o r g / 2 0 0 4 / 0 7 / S y s t e m . W i n d o w s " > < b : _ x > 3 2 9 . 9 0 3 8 1 0 5 6 7 6 6 5 8 < / b : _ x > < b : _ y > 3 5 < / b : _ y > < / L o c a t i o n > < S h a p e R o t a t e A n g l e > 1 8 0 < / S h a p e R o t a t e A n g l e > < W i d t h > 1 6 < / W i d t h > < / a : V a l u e > < / a : K e y V a l u e O f D i a g r a m O b j e c t K e y a n y T y p e z b w N T n L X > < a : K e y V a l u e O f D i a g r a m O b j e c t K e y a n y T y p e z b w N T n L X > < a : K e y > < K e y > R e l a t i o n s h i p s \ & l t ; T a b l e s \ T a b _ c o n c a t \ C o l u m n s \ C o m p t e u r & g t ; - & l t ; T a b l e s \ T a b l e a u 1 6 \ C o l u m n s \ C o m p t e u r / L i v r a i s o n & g t ; \ C r o s s F i l t e r < / K e y > < / a : K e y > < a : V a l u e   i : t y p e = " D i a g r a m D i s p l a y L i n k C r o s s F i l t e r V i e w S t a t e " > < P o i n t s   x m l n s : b = " h t t p : / / s c h e m a s . d a t a c o n t r a c t . o r g / 2 0 0 4 / 0 7 / S y s t e m . W i n d o w s " > < b : P o i n t > < b : _ x > 2 1 6 . 0 0 0 0 0 0 0 0 0 0 0 0 0 3 < / b : _ x > < b : _ y > 3 5 < / b : _ y > < / b : P o i n t > < b : P o i n t > < b : _ x > 3 1 3 . 9 0 3 8 1 0 5 6 7 6 6 5 8 < / b : _ x > < b : _ y > 3 5 < / b : _ y > < / b : P o i n t > < / P o i n t s > < / a : V a l u e > < / a : K e y V a l u e O f D i a g r a m O b j e c t K e y a n y T y p e z b w N T n L X > < a : K e y V a l u e O f D i a g r a m O b j e c t K e y a n y T y p e z b w N T n L X > < a : K e y > < K e y > R e l a t i o n s h i p s \ & l t ; T a b l e s \ T a b _ c o n c a t \ C o l u m n s \ A n n e e & g t ; - & l t ; T a b l e s \ T a b l e a u _ a n n e e s \ C o l u m n s \ A n n e e & g t ; < / K e y > < / a : K e y > < a : V a l u e   i : t y p e = " D i a g r a m D i s p l a y L i n k V i e w S t a t e " > < A u t o m a t i o n P r o p e r t y H e l p e r T e x t > P o i n t   d ' a r r � t   1   :   ( 2 1 6 , 9 5 ) .   P o i n t   d ' a r r � t   2   :   ( 3 2 1 , 8 0 7 6 2 1 1 3 5 3 3 2 , 3 0 5 )   < / A u t o m a t i o n P r o p e r t y H e l p e r T e x t > < L a y e d O u t > t r u e < / L a y e d O u t > < P o i n t s   x m l n s : b = " h t t p : / / s c h e m a s . d a t a c o n t r a c t . o r g / 2 0 0 4 / 0 7 / S y s t e m . W i n d o w s " > < b : P o i n t > < b : _ x > 2 1 6 < / b : _ x > < b : _ y > 9 5 < / b : _ y > < / b : P o i n t > < b : P o i n t > < b : _ x > 2 9 4 . 3 5 5 7 1 6 < / b : _ x > < b : _ y > 9 5 < / b : _ y > < / b : P o i n t > < b : P o i n t > < b : _ x > 2 9 6 . 3 5 5 7 1 6 < / b : _ x > < b : _ y > 9 7 < / b : _ y > < / b : P o i n t > < b : P o i n t > < b : _ x > 2 9 6 . 3 5 5 7 1 6 < / b : _ x > < b : _ y > 3 0 3 < / b : _ y > < / b : P o i n t > < b : P o i n t > < b : _ x > 2 9 8 . 3 5 5 7 1 6 < / b : _ x > < b : _ y > 3 0 5 < / b : _ y > < / b : P o i n t > < b : P o i n t > < b : _ x > 3 2 1 . 8 0 7 6 2 1 1 3 5 3 3 1 6 < / b : _ x > < b : _ y > 3 0 5 < / b : _ y > < / b : P o i n t > < / P o i n t s > < / a : V a l u e > < / a : K e y V a l u e O f D i a g r a m O b j e c t K e y a n y T y p e z b w N T n L X > < a : K e y V a l u e O f D i a g r a m O b j e c t K e y a n y T y p e z b w N T n L X > < a : K e y > < K e y > R e l a t i o n s h i p s \ & l t ; T a b l e s \ T a b _ c o n c a t \ C o l u m n s \ A n n e e & g t ; - & l t ; T a b l e s \ T a b l e a u _ a n n e e s \ C o l u m n s \ A n n e e & g t ; \ F K < / K e y > < / a : K e y > < a : V a l u e   i : t y p e = " D i a g r a m D i s p l a y L i n k E n d p o i n t V i e w S t a t e " > < H e i g h t > 1 6 < / H e i g h t > < L a b e l L o c a t i o n   x m l n s : b = " h t t p : / / s c h e m a s . d a t a c o n t r a c t . o r g / 2 0 0 4 / 0 7 / S y s t e m . W i n d o w s " > < b : _ x > 2 0 0 < / b : _ x > < b : _ y > 8 7 < / b : _ y > < / L a b e l L o c a t i o n > < L o c a t i o n   x m l n s : b = " h t t p : / / s c h e m a s . d a t a c o n t r a c t . o r g / 2 0 0 4 / 0 7 / S y s t e m . W i n d o w s " > < b : _ x > 2 0 0 < / b : _ x > < b : _ y > 9 5 < / b : _ y > < / L o c a t i o n > < S h a p e R o t a t e A n g l e > 3 6 0 < / S h a p e R o t a t e A n g l e > < W i d t h > 1 6 < / W i d t h > < / a : V a l u e > < / a : K e y V a l u e O f D i a g r a m O b j e c t K e y a n y T y p e z b w N T n L X > < a : K e y V a l u e O f D i a g r a m O b j e c t K e y a n y T y p e z b w N T n L X > < a : K e y > < K e y > R e l a t i o n s h i p s \ & l t ; T a b l e s \ T a b _ c o n c a t \ C o l u m n s \ A n n e e & g t ; - & l t ; T a b l e s \ T a b l e a u _ a n n e e s \ C o l u m n s \ A n n e e & g t ; \ P K < / K e y > < / a : K e y > < a : V a l u e   i : t y p e = " D i a g r a m D i s p l a y L i n k E n d p o i n t V i e w S t a t e " > < H e i g h t > 1 6 < / H e i g h t > < L a b e l L o c a t i o n   x m l n s : b = " h t t p : / / s c h e m a s . d a t a c o n t r a c t . o r g / 2 0 0 4 / 0 7 / S y s t e m . W i n d o w s " > < b : _ x > 3 2 1 . 8 0 7 6 2 1 1 3 5 3 3 1 6 < / b : _ x > < b : _ y > 2 9 7 < / b : _ y > < / L a b e l L o c a t i o n > < L o c a t i o n   x m l n s : b = " h t t p : / / s c h e m a s . d a t a c o n t r a c t . o r g / 2 0 0 4 / 0 7 / S y s t e m . W i n d o w s " > < b : _ x > 3 3 7 . 8 0 7 6 2 1 1 3 5 3 3 1 6 < / b : _ x > < b : _ y > 3 0 5 < / b : _ y > < / L o c a t i o n > < S h a p e R o t a t e A n g l e > 1 8 0 < / S h a p e R o t a t e A n g l e > < W i d t h > 1 6 < / W i d t h > < / a : V a l u e > < / a : K e y V a l u e O f D i a g r a m O b j e c t K e y a n y T y p e z b w N T n L X > < a : K e y V a l u e O f D i a g r a m O b j e c t K e y a n y T y p e z b w N T n L X > < a : K e y > < K e y > R e l a t i o n s h i p s \ & l t ; T a b l e s \ T a b _ c o n c a t \ C o l u m n s \ A n n e e & g t ; - & l t ; T a b l e s \ T a b l e a u _ a n n e e s \ C o l u m n s \ A n n e e & g t ; \ C r o s s F i l t e r < / K e y > < / a : K e y > < a : V a l u e   i : t y p e = " D i a g r a m D i s p l a y L i n k C r o s s F i l t e r V i e w S t a t e " > < P o i n t s   x m l n s : b = " h t t p : / / s c h e m a s . d a t a c o n t r a c t . o r g / 2 0 0 4 / 0 7 / S y s t e m . W i n d o w s " > < b : P o i n t > < b : _ x > 2 1 6 < / b : _ x > < b : _ y > 9 5 < / b : _ y > < / b : P o i n t > < b : P o i n t > < b : _ x > 2 9 4 . 3 5 5 7 1 6 < / b : _ x > < b : _ y > 9 5 < / b : _ y > < / b : P o i n t > < b : P o i n t > < b : _ x > 2 9 6 . 3 5 5 7 1 6 < / b : _ x > < b : _ y > 9 7 < / b : _ y > < / b : P o i n t > < b : P o i n t > < b : _ x > 2 9 6 . 3 5 5 7 1 6 < / b : _ x > < b : _ y > 3 0 3 < / b : _ y > < / b : P o i n t > < b : P o i n t > < b : _ x > 2 9 8 . 3 5 5 7 1 6 < / b : _ x > < b : _ y > 3 0 5 < / b : _ y > < / b : P o i n t > < b : P o i n t > < b : _ x > 3 2 1 . 8 0 7 6 2 1 1 3 5 3 3 1 6 < / b : _ x > < b : _ y > 3 0 5 < / b : _ y > < / b : P o i n t > < / P o i n t s > < / a : V a l u e > < / a : K e y V a l u e O f D i a g r a m O b j e c t K e y a n y T y p e z b w N T n L X > < a : K e y V a l u e O f D i a g r a m O b j e c t K e y a n y T y p e z b w N T n L X > < a : K e y > < K e y > R e l a t i o n s h i p s \ & l t ; T a b l e s \ T a b _ c o n c a t \ C o l u m n s \ C o m b u s t i b l e & g t ; - & l t ; T a b l e s \ T a b l e a u _ c o m b u s t i b l e \ C o l u m n s \ C o m b u s t i b l e & g t ; < / K e y > < / a : K e y > < a : V a l u e   i : t y p e = " D i a g r a m D i s p l a y L i n k V i e w S t a t e " > < A u t o m a t i o n P r o p e r t y H e l p e r T e x t > P o i n t   d ' a r r � t   1   :   ( 1 0 0 , 1 6 6 ) .   P o i n t   d ' a r r � t   2   :   ( 1 0 0 , 3 7 9 )   < / A u t o m a t i o n P r o p e r t y H e l p e r T e x t > < L a y e d O u t > t r u e < / L a y e d O u t > < P o i n t s   x m l n s : b = " h t t p : / / s c h e m a s . d a t a c o n t r a c t . o r g / 2 0 0 4 / 0 7 / S y s t e m . W i n d o w s " > < b : P o i n t > < b : _ x > 1 0 0 < / b : _ x > < b : _ y > 1 6 6 < / b : _ y > < / b : P o i n t > < b : P o i n t > < b : _ x > 1 0 0 < / b : _ x > < b : _ y > 3 7 9 . 0 0 0 0 0 0 0 0 0 0 0 0 0 6 < / b : _ y > < / b : P o i n t > < / P o i n t s > < / a : V a l u e > < / a : K e y V a l u e O f D i a g r a m O b j e c t K e y a n y T y p e z b w N T n L X > < a : K e y V a l u e O f D i a g r a m O b j e c t K e y a n y T y p e z b w N T n L X > < a : K e y > < K e y > R e l a t i o n s h i p s \ & l t ; T a b l e s \ T a b _ c o n c a t \ C o l u m n s \ C o m b u s t i b l e & g t ; - & l t ; T a b l e s \ T a b l e a u _ c o m b u s t i b l e \ C o l u m n s \ C o m b u s t i b l e & g t ; \ F K < / K e y > < / a : K e y > < a : V a l u e   i : t y p e = " D i a g r a m D i s p l a y L i n k E n d p o i n t V i e w S t a t e " > < H e i g h t > 1 6 < / H e i g h t > < L a b e l L o c a t i o n   x m l n s : b = " h t t p : / / s c h e m a s . d a t a c o n t r a c t . o r g / 2 0 0 4 / 0 7 / S y s t e m . W i n d o w s " > < b : _ x > 9 2 < / b : _ x > < b : _ y > 1 5 0 < / b : _ y > < / L a b e l L o c a t i o n > < L o c a t i o n   x m l n s : b = " h t t p : / / s c h e m a s . d a t a c o n t r a c t . o r g / 2 0 0 4 / 0 7 / S y s t e m . W i n d o w s " > < b : _ x > 1 0 0 < / b : _ x > < b : _ y > 1 5 0 < / b : _ y > < / L o c a t i o n > < S h a p e R o t a t e A n g l e > 9 0 < / S h a p e R o t a t e A n g l e > < W i d t h > 1 6 < / W i d t h > < / a : V a l u e > < / a : K e y V a l u e O f D i a g r a m O b j e c t K e y a n y T y p e z b w N T n L X > < a : K e y V a l u e O f D i a g r a m O b j e c t K e y a n y T y p e z b w N T n L X > < a : K e y > < K e y > R e l a t i o n s h i p s \ & l t ; T a b l e s \ T a b _ c o n c a t \ C o l u m n s \ C o m b u s t i b l e & g t ; - & l t ; T a b l e s \ T a b l e a u _ c o m b u s t i b l e \ C o l u m n s \ C o m b u s t i b l e & g t ; \ P K < / K e y > < / a : K e y > < a : V a l u e   i : t y p e = " D i a g r a m D i s p l a y L i n k E n d p o i n t V i e w S t a t e " > < H e i g h t > 1 6 < / H e i g h t > < L a b e l L o c a t i o n   x m l n s : b = " h t t p : / / s c h e m a s . d a t a c o n t r a c t . o r g / 2 0 0 4 / 0 7 / S y s t e m . W i n d o w s " > < b : _ x > 9 2 < / b : _ x > < b : _ y > 3 7 9 . 0 0 0 0 0 0 0 0 0 0 0 0 0 6 < / b : _ y > < / L a b e l L o c a t i o n > < L o c a t i o n   x m l n s : b = " h t t p : / / s c h e m a s . d a t a c o n t r a c t . o r g / 2 0 0 4 / 0 7 / S y s t e m . W i n d o w s " > < b : _ x > 1 0 0 < / b : _ x > < b : _ y > 3 9 5 < / b : _ y > < / L o c a t i o n > < S h a p e R o t a t e A n g l e > 2 7 0 < / S h a p e R o t a t e A n g l e > < W i d t h > 1 6 < / W i d t h > < / a : V a l u e > < / a : K e y V a l u e O f D i a g r a m O b j e c t K e y a n y T y p e z b w N T n L X > < a : K e y V a l u e O f D i a g r a m O b j e c t K e y a n y T y p e z b w N T n L X > < a : K e y > < K e y > R e l a t i o n s h i p s \ & l t ; T a b l e s \ T a b _ c o n c a t \ C o l u m n s \ C o m b u s t i b l e & g t ; - & l t ; T a b l e s \ T a b l e a u _ c o m b u s t i b l e \ C o l u m n s \ C o m b u s t i b l e & g t ; \ C r o s s F i l t e r < / K e y > < / a : K e y > < a : V a l u e   i : t y p e = " D i a g r a m D i s p l a y L i n k C r o s s F i l t e r V i e w S t a t e " > < P o i n t s   x m l n s : b = " h t t p : / / s c h e m a s . d a t a c o n t r a c t . o r g / 2 0 0 4 / 0 7 / S y s t e m . W i n d o w s " > < b : P o i n t > < b : _ x > 1 0 0 < / b : _ x > < b : _ y > 1 6 6 < / b : _ y > < / b : P o i n t > < b : P o i n t > < b : _ x > 1 0 0 < / b : _ x > < b : _ y > 3 7 9 . 0 0 0 0 0 0 0 0 0 0 0 0 0 6 < / b : _ y > < / b : P o i n t > < / P o i n t s > < / a : V a l u e > < / a : K e y V a l u e O f D i a g r a m O b j e c t K e y a n y T y p e z b w N T n L X > < a : K e y V a l u e O f D i a g r a m O b j e c t K e y a n y T y p e z b w N T n L X > < a : K e y > < K e y > R e l a t i o n s h i p s \ & l t ; T a b l e s \ T a b _ c o n c a t \ C o l u m n s \ D e t a i l   u s a g e & g t ; - & l t ; T a b l e s \ T a b l e a u _ u s a g e \ C o l u m n s \ D e t a i l   u s a g e & g t ; < / K e y > < / a : K e y > < a : V a l u e   i : t y p e = " D i a g r a m D i s p l a y L i n k V i e w S t a t e " > < A u t o m a t i o n P r o p e r t y H e l p e r T e x t > P o i n t   d ' a r r � t   1   :   ( 2 1 6 , 1 3 5 ) .   P o i n t   d ' a r r � t   2   :   ( 3 6 4 , 5 1 9 0 5 2 8 3 8 3 2 9 , 5 4 9 )   < / A u t o m a t i o n P r o p e r t y H e l p e r T e x t > < L a y e d O u t > t r u e < / L a y e d O u t > < P o i n t s   x m l n s : b = " h t t p : / / s c h e m a s . d a t a c o n t r a c t . o r g / 2 0 0 4 / 0 7 / S y s t e m . W i n d o w s " > < b : P o i n t > < b : _ x > 2 1 6 < / b : _ x > < b : _ y > 1 3 5 < / b : _ y > < / b : P o i n t > < b : P o i n t > < b : _ x > 2 8 4 . 3 5 5 7 1 6 < / b : _ x > < b : _ y > 1 3 5 < / b : _ y > < / b : P o i n t > < b : P o i n t > < b : _ x > 2 8 6 . 3 5 5 7 1 6 < / b : _ x > < b : _ y > 1 3 7 < / b : _ y > < / b : P o i n t > < b : P o i n t > < b : _ x > 2 8 6 . 3 5 5 7 1 6 < / b : _ x > < b : _ y > 5 4 7 < / b : _ y > < / b : P o i n t > < b : P o i n t > < b : _ x > 2 8 8 . 3 5 5 7 1 6 < / b : _ x > < b : _ y > 5 4 9 < / b : _ y > < / b : P o i n t > < b : P o i n t > < b : _ x > 3 6 4 . 5 1 9 0 5 2 8 3 8 3 2 9 1 2 < / b : _ x > < b : _ y > 5 4 9 < / b : _ y > < / b : P o i n t > < / P o i n t s > < / a : V a l u e > < / a : K e y V a l u e O f D i a g r a m O b j e c t K e y a n y T y p e z b w N T n L X > < a : K e y V a l u e O f D i a g r a m O b j e c t K e y a n y T y p e z b w N T n L X > < a : K e y > < K e y > R e l a t i o n s h i p s \ & l t ; T a b l e s \ T a b _ c o n c a t \ C o l u m n s \ D e t a i l   u s a g e & g t ; - & l t ; T a b l e s \ T a b l e a u _ u s a g e \ C o l u m n s \ D e t a i l   u s a g e & g t ; \ F K < / K e y > < / a : K e y > < a : V a l u e   i : t y p e = " D i a g r a m D i s p l a y L i n k E n d p o i n t V i e w S t a t e " > < H e i g h t > 1 6 < / H e i g h t > < L a b e l L o c a t i o n   x m l n s : b = " h t t p : / / s c h e m a s . d a t a c o n t r a c t . o r g / 2 0 0 4 / 0 7 / S y s t e m . W i n d o w s " > < b : _ x > 2 0 0 < / b : _ x > < b : _ y > 1 2 7 < / b : _ y > < / L a b e l L o c a t i o n > < L o c a t i o n   x m l n s : b = " h t t p : / / s c h e m a s . d a t a c o n t r a c t . o r g / 2 0 0 4 / 0 7 / S y s t e m . W i n d o w s " > < b : _ x > 2 0 0 < / b : _ x > < b : _ y > 1 3 5 < / b : _ y > < / L o c a t i o n > < S h a p e R o t a t e A n g l e > 3 6 0 < / S h a p e R o t a t e A n g l e > < W i d t h > 1 6 < / W i d t h > < / a : V a l u e > < / a : K e y V a l u e O f D i a g r a m O b j e c t K e y a n y T y p e z b w N T n L X > < a : K e y V a l u e O f D i a g r a m O b j e c t K e y a n y T y p e z b w N T n L X > < a : K e y > < K e y > R e l a t i o n s h i p s \ & l t ; T a b l e s \ T a b _ c o n c a t \ C o l u m n s \ D e t a i l   u s a g e & g t ; - & l t ; T a b l e s \ T a b l e a u _ u s a g e \ C o l u m n s \ D e t a i l   u s a g e & g t ; \ P K < / K e y > < / a : K e y > < a : V a l u e   i : t y p e = " D i a g r a m D i s p l a y L i n k E n d p o i n t V i e w S t a t e " > < H e i g h t > 1 6 < / H e i g h t > < L a b e l L o c a t i o n   x m l n s : b = " h t t p : / / s c h e m a s . d a t a c o n t r a c t . o r g / 2 0 0 4 / 0 7 / S y s t e m . W i n d o w s " > < b : _ x > 3 6 4 . 5 1 9 0 5 2 8 3 8 3 2 9 1 2 < / b : _ x > < b : _ y > 5 4 1 < / b : _ y > < / L a b e l L o c a t i o n > < L o c a t i o n   x m l n s : b = " h t t p : / / s c h e m a s . d a t a c o n t r a c t . o r g / 2 0 0 4 / 0 7 / S y s t e m . W i n d o w s " > < b : _ x > 3 8 0 . 5 1 9 0 5 2 8 3 8 3 2 9 1 2 < / b : _ x > < b : _ y > 5 4 9 < / b : _ y > < / L o c a t i o n > < S h a p e R o t a t e A n g l e > 1 8 0 < / S h a p e R o t a t e A n g l e > < W i d t h > 1 6 < / W i d t h > < / a : V a l u e > < / a : K e y V a l u e O f D i a g r a m O b j e c t K e y a n y T y p e z b w N T n L X > < a : K e y V a l u e O f D i a g r a m O b j e c t K e y a n y T y p e z b w N T n L X > < a : K e y > < K e y > R e l a t i o n s h i p s \ & l t ; T a b l e s \ T a b _ c o n c a t \ C o l u m n s \ D e t a i l   u s a g e & g t ; - & l t ; T a b l e s \ T a b l e a u _ u s a g e \ C o l u m n s \ D e t a i l   u s a g e & g t ; \ C r o s s F i l t e r < / K e y > < / a : K e y > < a : V a l u e   i : t y p e = " D i a g r a m D i s p l a y L i n k C r o s s F i l t e r V i e w S t a t e " > < P o i n t s   x m l n s : b = " h t t p : / / s c h e m a s . d a t a c o n t r a c t . o r g / 2 0 0 4 / 0 7 / S y s t e m . W i n d o w s " > < b : P o i n t > < b : _ x > 2 1 6 < / b : _ x > < b : _ y > 1 3 5 < / b : _ y > < / b : P o i n t > < b : P o i n t > < b : _ x > 2 8 4 . 3 5 5 7 1 6 < / b : _ x > < b : _ y > 1 3 5 < / b : _ y > < / b : P o i n t > < b : P o i n t > < b : _ x > 2 8 6 . 3 5 5 7 1 6 < / b : _ x > < b : _ y > 1 3 7 < / b : _ y > < / b : P o i n t > < b : P o i n t > < b : _ x > 2 8 6 . 3 5 5 7 1 6 < / b : _ x > < b : _ y > 5 4 7 < / b : _ y > < / b : P o i n t > < b : P o i n t > < b : _ x > 2 8 8 . 3 5 5 7 1 6 < / b : _ x > < b : _ y > 5 4 9 < / b : _ y > < / b : P o i n t > < b : P o i n t > < b : _ x > 3 6 4 . 5 1 9 0 5 2 8 3 8 3 2 9 1 2 < / b : _ x > < b : _ y > 5 4 9 < / b : _ y > < / b : P o i n t > < / P o i n t s > < / a : V a l u e > < / a : K e y V a l u e O f D i a g r a m O b j e c t K e y a n y T y p e z b w N T n L X > < a : K e y V a l u e O f D i a g r a m O b j e c t K e y a n y T y p e z b w N T n L X > < a : K e y > < K e y > R e l a t i o n s h i p s \ & l t ; T a b l e s \ T a b _ c o n c a t \ C o l u m n s \ S o u r c e & g t ; - & l t ; T a b l e s \ T a b l e a u _ s o u r c e \ C o l u m n s \ S o u r c e & g t ; < / K e y > < / a : K e y > < a : V a l u e   i : t y p e = " D i a g r a m D i s p l a y L i n k V i e w S t a t e " > < A u t o m a t i o n P r o p e r t y H e l p e r T e x t > P o i n t   d ' a r r � t   1   :   ( 2 1 6 , 1 1 5 ) .   P o i n t   d ' a r r � t   2   :   ( 5 7 4 , 7 1 1 4 3 1 7 0 2 9 9 7 , 4 0 8 )   < / A u t o m a t i o n P r o p e r t y H e l p e r T e x t > < L a y e d O u t > t r u e < / L a y e d O u t > < P o i n t s   x m l n s : b = " h t t p : / / s c h e m a s . d a t a c o n t r a c t . o r g / 2 0 0 4 / 0 7 / S y s t e m . W i n d o w s " > < b : P o i n t > < b : _ x > 2 1 6 < / b : _ x > < b : _ y > 1 1 5 < / b : _ y > < / b : P o i n t > < b : P o i n t > < b : _ x > 2 8 9 . 3 5 5 7 1 6 < / b : _ x > < b : _ y > 1 1 5 < / b : _ y > < / b : P o i n t > < b : P o i n t > < b : _ x > 2 9 1 . 3 5 5 7 1 6 < / b : _ x > < b : _ y > 1 1 7 < / b : _ y > < / b : P o i n t > < b : P o i n t > < b : _ x > 2 9 1 . 3 5 5 7 1 6 < / b : _ x > < b : _ y > 4 0 6 < / b : _ y > < / b : P o i n t > < b : P o i n t > < b : _ x > 2 9 3 . 3 5 5 7 1 6 < / b : _ x > < b : _ y > 4 0 8 < / b : _ y > < / b : P o i n t > < b : P o i n t > < b : _ x > 5 7 4 . 7 1 1 4 3 1 7 0 2 9 9 7 4 < / b : _ x > < b : _ y > 4 0 8 < / b : _ y > < / b : P o i n t > < / P o i n t s > < / a : V a l u e > < / a : K e y V a l u e O f D i a g r a m O b j e c t K e y a n y T y p e z b w N T n L X > < a : K e y V a l u e O f D i a g r a m O b j e c t K e y a n y T y p e z b w N T n L X > < a : K e y > < K e y > R e l a t i o n s h i p s \ & l t ; T a b l e s \ T a b _ c o n c a t \ C o l u m n s \ S o u r c e & g t ; - & l t ; T a b l e s \ T a b l e a u _ s o u r c e \ C o l u m n s \ S o u r c e & g t ; \ F K < / K e y > < / a : K e y > < a : V a l u e   i : t y p e = " D i a g r a m D i s p l a y L i n k E n d p o i n t V i e w S t a t e " > < H e i g h t > 1 6 < / H e i g h t > < L a b e l L o c a t i o n   x m l n s : b = " h t t p : / / s c h e m a s . d a t a c o n t r a c t . o r g / 2 0 0 4 / 0 7 / S y s t e m . W i n d o w s " > < b : _ x > 2 0 0 < / b : _ x > < b : _ y > 1 0 7 < / b : _ y > < / L a b e l L o c a t i o n > < L o c a t i o n   x m l n s : b = " h t t p : / / s c h e m a s . d a t a c o n t r a c t . o r g / 2 0 0 4 / 0 7 / S y s t e m . W i n d o w s " > < b : _ x > 2 0 0 < / b : _ x > < b : _ y > 1 1 5 < / b : _ y > < / L o c a t i o n > < S h a p e R o t a t e A n g l e > 3 6 0 < / S h a p e R o t a t e A n g l e > < W i d t h > 1 6 < / W i d t h > < / a : V a l u e > < / a : K e y V a l u e O f D i a g r a m O b j e c t K e y a n y T y p e z b w N T n L X > < a : K e y V a l u e O f D i a g r a m O b j e c t K e y a n y T y p e z b w N T n L X > < a : K e y > < K e y > R e l a t i o n s h i p s \ & l t ; T a b l e s \ T a b _ c o n c a t \ C o l u m n s \ S o u r c e & g t ; - & l t ; T a b l e s \ T a b l e a u _ s o u r c e \ C o l u m n s \ S o u r c e & g t ; \ P K < / K e y > < / a : K e y > < a : V a l u e   i : t y p e = " D i a g r a m D i s p l a y L i n k E n d p o i n t V i e w S t a t e " > < H e i g h t > 1 6 < / H e i g h t > < L a b e l L o c a t i o n   x m l n s : b = " h t t p : / / s c h e m a s . d a t a c o n t r a c t . o r g / 2 0 0 4 / 0 7 / S y s t e m . W i n d o w s " > < b : _ x > 5 7 4 . 7 1 1 4 3 1 7 0 2 9 9 7 4 < / b : _ x > < b : _ y > 4 0 0 < / b : _ y > < / L a b e l L o c a t i o n > < L o c a t i o n   x m l n s : b = " h t t p : / / s c h e m a s . d a t a c o n t r a c t . o r g / 2 0 0 4 / 0 7 / S y s t e m . W i n d o w s " > < b : _ x > 5 9 0 . 7 1 1 4 3 1 7 0 2 9 9 7 2 9 < / b : _ x > < b : _ y > 4 0 8 < / b : _ y > < / L o c a t i o n > < S h a p e R o t a t e A n g l e > 1 8 0 < / S h a p e R o t a t e A n g l e > < W i d t h > 1 6 < / W i d t h > < / a : V a l u e > < / a : K e y V a l u e O f D i a g r a m O b j e c t K e y a n y T y p e z b w N T n L X > < a : K e y V a l u e O f D i a g r a m O b j e c t K e y a n y T y p e z b w N T n L X > < a : K e y > < K e y > R e l a t i o n s h i p s \ & l t ; T a b l e s \ T a b _ c o n c a t \ C o l u m n s \ S o u r c e & g t ; - & l t ; T a b l e s \ T a b l e a u _ s o u r c e \ C o l u m n s \ S o u r c e & g t ; \ C r o s s F i l t e r < / K e y > < / a : K e y > < a : V a l u e   i : t y p e = " D i a g r a m D i s p l a y L i n k C r o s s F i l t e r V i e w S t a t e " > < P o i n t s   x m l n s : b = " h t t p : / / s c h e m a s . d a t a c o n t r a c t . o r g / 2 0 0 4 / 0 7 / S y s t e m . W i n d o w s " > < b : P o i n t > < b : _ x > 2 1 6 < / b : _ x > < b : _ y > 1 1 5 < / b : _ y > < / b : P o i n t > < b : P o i n t > < b : _ x > 2 8 9 . 3 5 5 7 1 6 < / b : _ x > < b : _ y > 1 1 5 < / b : _ y > < / b : P o i n t > < b : P o i n t > < b : _ x > 2 9 1 . 3 5 5 7 1 6 < / b : _ x > < b : _ y > 1 1 7 < / b : _ y > < / b : P o i n t > < b : P o i n t > < b : _ x > 2 9 1 . 3 5 5 7 1 6 < / b : _ x > < b : _ y > 4 0 6 < / b : _ y > < / b : P o i n t > < b : P o i n t > < b : _ x > 2 9 3 . 3 5 5 7 1 6 < / b : _ x > < b : _ y > 4 0 8 < / b : _ y > < / b : P o i n t > < b : P o i n t > < b : _ x > 5 7 4 . 7 1 1 4 3 1 7 0 2 9 9 7 4 < / b : _ x > < b : _ y > 4 0 8 < / b : _ y > < / b : P o i n t > < / P o i n t s > < / a : V a l u e > < / a : K e y V a l u e O f D i a g r a m O b j e c t K e y a n y T y p e z b w N T n L X > < a : K e y V a l u e O f D i a g r a m O b j e c t K e y a n y T y p e z b w N T n L X > < a : K e y > < K e y > R e l a t i o n s h i p s \ & l t ; T a b l e s \ T a b _ c o n c a t \ C o l u m n s \ T y p e & g t ; - & l t ; T a b l e s \ T a b l e a u _ t y p e \ C o l u m n s \ T y p e & g t ; < / K e y > < / a : K e y > < a : V a l u e   i : t y p e = " D i a g r a m D i s p l a y L i n k V i e w S t a t e " > < A u t o m a t i o n P r o p e r t y H e l p e r T e x t > P o i n t   d ' a r r � t   1   :   ( 2 1 6 , 1 5 ) .   P o i n t   d ' a r r � t   2   :   ( 5 5 3 , 9 0 3 8 1 0 5 6 7 6 6 6 , 5 5 )   < / A u t o m a t i o n P r o p e r t y H e l p e r T e x t > < L a y e d O u t > t r u e < / L a y e d O u t > < P o i n t s   x m l n s : b = " h t t p : / / s c h e m a s . d a t a c o n t r a c t . o r g / 2 0 0 4 / 0 7 / S y s t e m . W i n d o w s " > < b : P o i n t > < b : _ x > 2 1 6 < / b : _ x > < b : _ y > 1 5 < / b : _ y > < / b : P o i n t > < b : P o i n t > < b : _ x > 3 0 8 . 4 0 3 8 1 1 0 0 9 < / b : _ x > < b : _ y > 1 5 < / b : _ y > < / b : P o i n t > < b : P o i n t > < b : _ x > 3 1 0 . 4 0 3 8 1 1 0 0 9 < / b : _ x > < b : _ y > 1 3 < / b : _ y > < / b : P o i n t > < b : P o i n t > < b : _ x > 3 1 0 . 4 0 3 8 1 1 0 0 9 < / b : _ x > < b : _ y > - 1 7 . 5 < / b : _ y > < / b : P o i n t > < b : P o i n t > < b : _ x > 3 1 2 . 4 0 3 8 1 1 0 0 9 < / b : _ x > < b : _ y > - 1 9 . 5 < / b : _ y > < / b : P o i n t > < b : P o i n t > < b : _ x > 5 4 7 . 4 0 3 8 1 0 9 9 5 5 < / b : _ x > < b : _ y > - 1 9 . 5 < / b : _ y > < / b : P o i n t > < b : P o i n t > < b : _ x > 5 4 9 . 4 0 3 8 1 0 9 9 5 5 < / b : _ x > < b : _ y > - 1 7 . 5 < / b : _ y > < / b : P o i n t > < b : P o i n t > < b : _ x > 5 4 9 . 4 0 3 8 1 0 9 9 5 5 < / b : _ x > < b : _ y > 5 3 < / b : _ y > < / b : P o i n t > < b : P o i n t > < b : _ x > 5 5 1 . 4 0 3 8 1 0 9 9 5 5 < / b : _ x > < b : _ y > 5 5 < / b : _ y > < / b : P o i n t > < b : P o i n t > < b : _ x > 5 5 3 . 9 0 3 8 1 0 5 6 7 6 6 5 8 < / b : _ x > < b : _ y > 5 5 < / b : _ y > < / b : P o i n t > < / P o i n t s > < / a : V a l u e > < / a : K e y V a l u e O f D i a g r a m O b j e c t K e y a n y T y p e z b w N T n L X > < a : K e y V a l u e O f D i a g r a m O b j e c t K e y a n y T y p e z b w N T n L X > < a : K e y > < K e y > R e l a t i o n s h i p s \ & l t ; T a b l e s \ T a b _ c o n c a t \ C o l u m n s \ T y p e & g t ; - & l t ; T a b l e s \ T a b l e a u _ t y p e \ C o l u m n s \ T y p e & g t ; \ F K < / K e y > < / a : K e y > < a : V a l u e   i : t y p e = " D i a g r a m D i s p l a y L i n k E n d p o i n t V i e w S t a t e " > < H e i g h t > 1 6 < / H e i g h t > < L a b e l L o c a t i o n   x m l n s : b = " h t t p : / / s c h e m a s . d a t a c o n t r a c t . o r g / 2 0 0 4 / 0 7 / S y s t e m . W i n d o w s " > < b : _ x > 2 0 0 < / b : _ x > < b : _ y > 7 < / b : _ y > < / L a b e l L o c a t i o n > < L o c a t i o n   x m l n s : b = " h t t p : / / s c h e m a s . d a t a c o n t r a c t . o r g / 2 0 0 4 / 0 7 / S y s t e m . W i n d o w s " > < b : _ x > 2 0 0 < / b : _ x > < b : _ y > 1 5 < / b : _ y > < / L o c a t i o n > < S h a p e R o t a t e A n g l e > 3 6 0 < / S h a p e R o t a t e A n g l e > < W i d t h > 1 6 < / W i d t h > < / a : V a l u e > < / a : K e y V a l u e O f D i a g r a m O b j e c t K e y a n y T y p e z b w N T n L X > < a : K e y V a l u e O f D i a g r a m O b j e c t K e y a n y T y p e z b w N T n L X > < a : K e y > < K e y > R e l a t i o n s h i p s \ & l t ; T a b l e s \ T a b _ c o n c a t \ C o l u m n s \ T y p e & g t ; - & l t ; T a b l e s \ T a b l e a u _ t y p e \ C o l u m n s \ T y p e & g t ; \ P K < / K e y > < / a : K e y > < a : V a l u e   i : t y p e = " D i a g r a m D i s p l a y L i n k E n d p o i n t V i e w S t a t e " > < H e i g h t > 1 6 < / H e i g h t > < L a b e l L o c a t i o n   x m l n s : b = " h t t p : / / s c h e m a s . d a t a c o n t r a c t . o r g / 2 0 0 4 / 0 7 / S y s t e m . W i n d o w s " > < b : _ x > 5 5 3 . 9 0 3 8 1 0 5 6 7 6 6 5 8 < / b : _ x > < b : _ y > 4 7 < / b : _ y > < / L a b e l L o c a t i o n > < L o c a t i o n   x m l n s : b = " h t t p : / / s c h e m a s . d a t a c o n t r a c t . o r g / 2 0 0 4 / 0 7 / S y s t e m . W i n d o w s " > < b : _ x > 5 6 9 . 9 0 3 8 1 0 5 6 7 6 6 5 8 < / b : _ x > < b : _ y > 5 5 < / b : _ y > < / L o c a t i o n > < S h a p e R o t a t e A n g l e > 1 8 0 < / S h a p e R o t a t e A n g l e > < W i d t h > 1 6 < / W i d t h > < / a : V a l u e > < / a : K e y V a l u e O f D i a g r a m O b j e c t K e y a n y T y p e z b w N T n L X > < a : K e y V a l u e O f D i a g r a m O b j e c t K e y a n y T y p e z b w N T n L X > < a : K e y > < K e y > R e l a t i o n s h i p s \ & l t ; T a b l e s \ T a b _ c o n c a t \ C o l u m n s \ T y p e & g t ; - & l t ; T a b l e s \ T a b l e a u _ t y p e \ C o l u m n s \ T y p e & g t ; \ C r o s s F i l t e r < / K e y > < / a : K e y > < a : V a l u e   i : t y p e = " D i a g r a m D i s p l a y L i n k C r o s s F i l t e r V i e w S t a t e " > < P o i n t s   x m l n s : b = " h t t p : / / s c h e m a s . d a t a c o n t r a c t . o r g / 2 0 0 4 / 0 7 / S y s t e m . W i n d o w s " > < b : P o i n t > < b : _ x > 2 1 6 < / b : _ x > < b : _ y > 1 5 < / b : _ y > < / b : P o i n t > < b : P o i n t > < b : _ x > 3 0 8 . 4 0 3 8 1 1 0 0 9 < / b : _ x > < b : _ y > 1 5 < / b : _ y > < / b : P o i n t > < b : P o i n t > < b : _ x > 3 1 0 . 4 0 3 8 1 1 0 0 9 < / b : _ x > < b : _ y > 1 3 < / b : _ y > < / b : P o i n t > < b : P o i n t > < b : _ x > 3 1 0 . 4 0 3 8 1 1 0 0 9 < / b : _ x > < b : _ y > - 1 7 . 5 < / b : _ y > < / b : P o i n t > < b : P o i n t > < b : _ x > 3 1 2 . 4 0 3 8 1 1 0 0 9 < / b : _ x > < b : _ y > - 1 9 . 5 < / b : _ y > < / b : P o i n t > < b : P o i n t > < b : _ x > 5 4 7 . 4 0 3 8 1 0 9 9 5 5 < / b : _ x > < b : _ y > - 1 9 . 5 < / b : _ y > < / b : P o i n t > < b : P o i n t > < b : _ x > 5 4 9 . 4 0 3 8 1 0 9 9 5 5 < / b : _ x > < b : _ y > - 1 7 . 5 < / b : _ y > < / b : P o i n t > < b : P o i n t > < b : _ x > 5 4 9 . 4 0 3 8 1 0 9 9 5 5 < / b : _ x > < b : _ y > 5 3 < / b : _ y > < / b : P o i n t > < b : P o i n t > < b : _ x > 5 5 1 . 4 0 3 8 1 0 9 9 5 5 < / b : _ x > < b : _ y > 5 5 < / b : _ y > < / b : P o i n t > < b : P o i n t > < b : _ x > 5 5 3 . 9 0 3 8 1 0 5 6 7 6 6 5 8 < / b : _ x > < b : _ y > 5 5 < / b : _ y > < / b : P o i n t > < / P o i n t s > < / a : V a l u e > < / a : K e y V a l u e O f D i a g r a m O b j e c t K e y a n y T y p e z b w N T n L X > < a : K e y V a l u e O f D i a g r a m O b j e c t K e y a n y T y p e z b w N T n L X > < a : K e y > < K e y > R e l a t i o n s h i p s \ & l t ; T a b l e s \ T a b _ c o n c a t \ C o l u m n s \ M o i s & g t ; - & l t ; T a b l e s \ T a b l e a u _ m o i s \ C o l u m n s \ M o i s & g t ; < / K e y > < / a : K e y > < a : V a l u e   i : t y p e = " D i a g r a m D i s p l a y L i n k V i e w S t a t e " > < A u t o m a t i o n P r o p e r t y H e l p e r T e x t > P o i n t   d ' a r r � t   1   :   ( 2 1 6 , 7 5 ) .   P o i n t   d ' a r r � t   2   :   ( 8 1 4 , 7 1 1 4 3 1 7 0 2 9 9 7 , 3 1 2 )   < / A u t o m a t i o n P r o p e r t y H e l p e r T e x t > < I s F o c u s e d > t r u e < / I s F o c u s e d > < L a y e d O u t > t r u e < / L a y e d O u t > < P o i n t s   x m l n s : b = " h t t p : / / s c h e m a s . d a t a c o n t r a c t . o r g / 2 0 0 4 / 0 7 / S y s t e m . W i n d o w s " > < b : P o i n t > < b : _ x > 2 1 6 < / b : _ x > < b : _ y > 7 5 < / b : _ y > < / b : P o i n t > < b : P o i n t > < b : _ x > 3 0 8 . 4 0 3 8 1 1 0 0 9 < / b : _ x > < b : _ y > 7 5 < / b : _ y > < / b : P o i n t > < b : P o i n t > < b : _ x > 3 1 0 . 4 0 3 8 1 1 0 0 9 < / b : _ x > < b : _ y > 7 7 < / b : _ y > < / b : P o i n t > < b : P o i n t > < b : _ x > 3 1 0 . 4 0 3 8 1 1 0 0 9 < / b : _ x > < b : _ y > 1 9 1 . 5 < / b : _ y > < / b : P o i n t > < b : P o i n t > < b : _ x > 3 1 2 . 4 0 3 8 1 1 0 0 9 < / b : _ x > < b : _ y > 1 9 3 . 5 < / b : _ y > < / b : P o i n t > < b : P o i n t > < b : _ x > 8 0 8 . 2 1 1 4 3 1 9 9 5 5 < / b : _ x > < b : _ y > 1 9 3 . 5 < / b : _ y > < / b : P o i n t > < b : P o i n t > < b : _ x > 8 1 0 . 2 1 1 4 3 1 9 9 5 5 < / b : _ x > < b : _ y > 1 9 5 . 5 < / b : _ y > < / b : P o i n t > < b : P o i n t > < b : _ x > 8 1 0 . 2 1 1 4 3 1 9 9 5 5 < / b : _ x > < b : _ y > 3 1 0 < / b : _ y > < / b : P o i n t > < b : P o i n t > < b : _ x > 8 1 2 . 2 1 1 4 3 1 9 9 5 5 < / b : _ x > < b : _ y > 3 1 2 < / b : _ y > < / b : P o i n t > < b : P o i n t > < b : _ x > 8 1 4 . 7 1 1 4 3 1 7 0 2 9 9 7 2 9 < / b : _ x > < b : _ y > 3 1 2 < / b : _ y > < / b : P o i n t > < / P o i n t s > < / a : V a l u e > < / a : K e y V a l u e O f D i a g r a m O b j e c t K e y a n y T y p e z b w N T n L X > < a : K e y V a l u e O f D i a g r a m O b j e c t K e y a n y T y p e z b w N T n L X > < a : K e y > < K e y > R e l a t i o n s h i p s \ & l t ; T a b l e s \ T a b _ c o n c a t \ C o l u m n s \ M o i s & g t ; - & l t ; T a b l e s \ T a b l e a u _ m o i s \ C o l u m n s \ M o i s & g t ; \ F K < / K e y > < / a : K e y > < a : V a l u e   i : t y p e = " D i a g r a m D i s p l a y L i n k E n d p o i n t V i e w S t a t e " > < H e i g h t > 1 6 < / H e i g h t > < L a b e l L o c a t i o n   x m l n s : b = " h t t p : / / s c h e m a s . d a t a c o n t r a c t . o r g / 2 0 0 4 / 0 7 / S y s t e m . W i n d o w s " > < b : _ x > 2 0 0 < / b : _ x > < b : _ y > 6 7 < / b : _ y > < / L a b e l L o c a t i o n > < L o c a t i o n   x m l n s : b = " h t t p : / / s c h e m a s . d a t a c o n t r a c t . o r g / 2 0 0 4 / 0 7 / S y s t e m . W i n d o w s " > < b : _ x > 2 0 0 < / b : _ x > < b : _ y > 7 5 < / b : _ y > < / L o c a t i o n > < S h a p e R o t a t e A n g l e > 3 6 0 < / S h a p e R o t a t e A n g l e > < W i d t h > 1 6 < / W i d t h > < / a : V a l u e > < / a : K e y V a l u e O f D i a g r a m O b j e c t K e y a n y T y p e z b w N T n L X > < a : K e y V a l u e O f D i a g r a m O b j e c t K e y a n y T y p e z b w N T n L X > < a : K e y > < K e y > R e l a t i o n s h i p s \ & l t ; T a b l e s \ T a b _ c o n c a t \ C o l u m n s \ M o i s & g t ; - & l t ; T a b l e s \ T a b l e a u _ m o i s \ C o l u m n s \ M o i s & g t ; \ P K < / K e y > < / a : K e y > < a : V a l u e   i : t y p e = " D i a g r a m D i s p l a y L i n k E n d p o i n t V i e w S t a t e " > < H e i g h t > 1 6 < / H e i g h t > < L a b e l L o c a t i o n   x m l n s : b = " h t t p : / / s c h e m a s . d a t a c o n t r a c t . o r g / 2 0 0 4 / 0 7 / S y s t e m . W i n d o w s " > < b : _ x > 8 1 4 . 7 1 1 4 3 1 7 0 2 9 9 7 2 9 < / b : _ x > < b : _ y > 3 0 4 < / b : _ y > < / L a b e l L o c a t i o n > < L o c a t i o n   x m l n s : b = " h t t p : / / s c h e m a s . d a t a c o n t r a c t . o r g / 2 0 0 4 / 0 7 / S y s t e m . W i n d o w s " > < b : _ x > 8 3 0 . 7 1 1 4 3 1 7 0 2 9 9 7 2 9 < / b : _ x > < b : _ y > 3 1 2 < / b : _ y > < / L o c a t i o n > < S h a p e R o t a t e A n g l e > 1 8 0 < / S h a p e R o t a t e A n g l e > < W i d t h > 1 6 < / W i d t h > < / a : V a l u e > < / a : K e y V a l u e O f D i a g r a m O b j e c t K e y a n y T y p e z b w N T n L X > < a : K e y V a l u e O f D i a g r a m O b j e c t K e y a n y T y p e z b w N T n L X > < a : K e y > < K e y > R e l a t i o n s h i p s \ & l t ; T a b l e s \ T a b _ c o n c a t \ C o l u m n s \ M o i s & g t ; - & l t ; T a b l e s \ T a b l e a u _ m o i s \ C o l u m n s \ M o i s & g t ; \ C r o s s F i l t e r < / K e y > < / a : K e y > < a : V a l u e   i : t y p e = " D i a g r a m D i s p l a y L i n k C r o s s F i l t e r V i e w S t a t e " > < P o i n t s   x m l n s : b = " h t t p : / / s c h e m a s . d a t a c o n t r a c t . o r g / 2 0 0 4 / 0 7 / S y s t e m . W i n d o w s " > < b : P o i n t > < b : _ x > 2 1 6 < / b : _ x > < b : _ y > 7 5 < / b : _ y > < / b : P o i n t > < b : P o i n t > < b : _ x > 3 0 8 . 4 0 3 8 1 1 0 0 9 < / b : _ x > < b : _ y > 7 5 < / b : _ y > < / b : P o i n t > < b : P o i n t > < b : _ x > 3 1 0 . 4 0 3 8 1 1 0 0 9 < / b : _ x > < b : _ y > 7 7 < / b : _ y > < / b : P o i n t > < b : P o i n t > < b : _ x > 3 1 0 . 4 0 3 8 1 1 0 0 9 < / b : _ x > < b : _ y > 1 9 1 . 5 < / b : _ y > < / b : P o i n t > < b : P o i n t > < b : _ x > 3 1 2 . 4 0 3 8 1 1 0 0 9 < / b : _ x > < b : _ y > 1 9 3 . 5 < / b : _ y > < / b : P o i n t > < b : P o i n t > < b : _ x > 8 0 8 . 2 1 1 4 3 1 9 9 5 5 < / b : _ x > < b : _ y > 1 9 3 . 5 < / b : _ y > < / b : P o i n t > < b : P o i n t > < b : _ x > 8 1 0 . 2 1 1 4 3 1 9 9 5 5 < / b : _ x > < b : _ y > 1 9 5 . 5 < / b : _ y > < / b : P o i n t > < b : P o i n t > < b : _ x > 8 1 0 . 2 1 1 4 3 1 9 9 5 5 < / b : _ x > < b : _ y > 3 1 0 < / b : _ y > < / b : P o i n t > < b : P o i n t > < b : _ x > 8 1 2 . 2 1 1 4 3 1 9 9 5 5 < / b : _ x > < b : _ y > 3 1 2 < / b : _ y > < / b : P o i n t > < b : P o i n t > < b : _ x > 8 1 4 . 7 1 1 4 3 1 7 0 2 9 9 7 2 9 < / b : _ x > < b : _ y > 3 1 2 < / b : _ y > < / b : P o i n t > < / P o i n t s > < / a : V a l u e > < / a : K e y V a l u e O f D i a g r a m O b j e c t K e y a n y T y p e z b w N T n L X > < a : K e y V a l u e O f D i a g r a m O b j e c t K e y a n y T y p e z b w N T n L X > < a : K e y > < K e y > R e l a t i o n s h i p s \ & l t ; T a b l e s \ T a b l e a u 1 6 \ C o l u m n s \ T y p e & g t ; - & l t ; T a b l e s \ T a b l e a u _ t y p e \ C o l u m n s \ T y p e & g t ; < / K e y > < / a : K e y > < a : V a l u e   i : t y p e = " D i a g r a m D i s p l a y L i n k V i e w S t a t e " > < A u t o m a t i o n P r o p e r t y H e l p e r T e x t > P o i n t   d ' a r r � t   1   :   ( 5 4 5 , 9 0 3 8 1 0 5 6 7 6 6 6 , 7 5 ) .   P o i n t   d ' a r r � t   2   :   ( 5 5 3 , 9 0 3 8 1 0 5 6 7 6 6 6 , 7 5 )   < / A u t o m a t i o n P r o p e r t y H e l p e r T e x t > < L a y e d O u t > t r u e < / L a y e d O u t > < P o i n t s   x m l n s : b = " h t t p : / / s c h e m a s . d a t a c o n t r a c t . o r g / 2 0 0 4 / 0 7 / S y s t e m . W i n d o w s " > < b : P o i n t > < b : _ x > 5 4 5 . 9 0 3 8 1 0 5 6 7 6 6 5 8 < / b : _ x > < b : _ y > 7 5 < / b : _ y > < / b : P o i n t > < b : P o i n t > < b : _ x > 5 5 3 . 9 0 3 8 1 0 5 6 7 6 6 5 8 < / b : _ x > < b : _ y > 7 5 < / b : _ y > < / b : P o i n t > < / P o i n t s > < / a : V a l u e > < / a : K e y V a l u e O f D i a g r a m O b j e c t K e y a n y T y p e z b w N T n L X > < a : K e y V a l u e O f D i a g r a m O b j e c t K e y a n y T y p e z b w N T n L X > < a : K e y > < K e y > R e l a t i o n s h i p s \ & l t ; T a b l e s \ T a b l e a u 1 6 \ C o l u m n s \ T y p e & g t ; - & l t ; T a b l e s \ T a b l e a u _ t y p e \ C o l u m n s \ T y p e & g t ; \ F K < / K e y > < / a : K e y > < a : V a l u e   i : t y p e = " D i a g r a m D i s p l a y L i n k E n d p o i n t V i e w S t a t e " > < H e i g h t > 1 6 < / H e i g h t > < L a b e l L o c a t i o n   x m l n s : b = " h t t p : / / s c h e m a s . d a t a c o n t r a c t . o r g / 2 0 0 4 / 0 7 / S y s t e m . W i n d o w s " > < b : _ x > 5 2 9 . 9 0 3 8 1 0 5 6 7 6 6 5 8 < / b : _ x > < b : _ y > 6 7 < / b : _ y > < / L a b e l L o c a t i o n > < L o c a t i o n   x m l n s : b = " h t t p : / / s c h e m a s . d a t a c o n t r a c t . o r g / 2 0 0 4 / 0 7 / S y s t e m . W i n d o w s " > < b : _ x > 5 2 9 . 9 0 3 8 1 0 5 6 7 6 6 5 8 < / b : _ x > < b : _ y > 7 5 < / b : _ y > < / L o c a t i o n > < S h a p e R o t a t e A n g l e > 3 6 0 < / S h a p e R o t a t e A n g l e > < W i d t h > 1 6 < / W i d t h > < / a : V a l u e > < / a : K e y V a l u e O f D i a g r a m O b j e c t K e y a n y T y p e z b w N T n L X > < a : K e y V a l u e O f D i a g r a m O b j e c t K e y a n y T y p e z b w N T n L X > < a : K e y > < K e y > R e l a t i o n s h i p s \ & l t ; T a b l e s \ T a b l e a u 1 6 \ C o l u m n s \ T y p e & g t ; - & l t ; T a b l e s \ T a b l e a u _ t y p e \ C o l u m n s \ T y p e & g t ; \ P K < / K e y > < / a : K e y > < a : V a l u e   i : t y p e = " D i a g r a m D i s p l a y L i n k E n d p o i n t V i e w S t a t e " > < H e i g h t > 1 6 < / H e i g h t > < L a b e l L o c a t i o n   x m l n s : b = " h t t p : / / s c h e m a s . d a t a c o n t r a c t . o r g / 2 0 0 4 / 0 7 / S y s t e m . W i n d o w s " > < b : _ x > 5 5 3 . 9 0 3 8 1 0 5 6 7 6 6 5 8 < / b : _ x > < b : _ y > 6 7 < / b : _ y > < / L a b e l L o c a t i o n > < L o c a t i o n   x m l n s : b = " h t t p : / / s c h e m a s . d a t a c o n t r a c t . o r g / 2 0 0 4 / 0 7 / S y s t e m . W i n d o w s " > < b : _ x > 5 6 9 . 9 0 3 8 1 0 5 6 7 6 6 5 8 < / b : _ x > < b : _ y > 7 5 < / b : _ y > < / L o c a t i o n > < S h a p e R o t a t e A n g l e > 1 8 0 < / S h a p e R o t a t e A n g l e > < W i d t h > 1 6 < / W i d t h > < / a : V a l u e > < / a : K e y V a l u e O f D i a g r a m O b j e c t K e y a n y T y p e z b w N T n L X > < a : K e y V a l u e O f D i a g r a m O b j e c t K e y a n y T y p e z b w N T n L X > < a : K e y > < K e y > R e l a t i o n s h i p s \ & l t ; T a b l e s \ T a b l e a u 1 6 \ C o l u m n s \ T y p e & g t ; - & l t ; T a b l e s \ T a b l e a u _ t y p e \ C o l u m n s \ T y p e & g t ; \ C r o s s F i l t e r < / K e y > < / a : K e y > < a : V a l u e   i : t y p e = " D i a g r a m D i s p l a y L i n k C r o s s F i l t e r V i e w S t a t e " > < P o i n t s   x m l n s : b = " h t t p : / / s c h e m a s . d a t a c o n t r a c t . o r g / 2 0 0 4 / 0 7 / S y s t e m . W i n d o w s " > < b : P o i n t > < b : _ x > 5 4 5 . 9 0 3 8 1 0 5 6 7 6 6 5 8 < / b : _ x > < b : _ y > 7 5 < / b : _ y > < / b : P o i n t > < b : P o i n t > < b : _ x > 5 5 3 . 9 0 3 8 1 0 5 6 7 6 6 5 8 < / b : _ x > < b : _ y > 7 5 < / b : _ y > < / b : P o i n t > < / P o i n t s > < / a : V a l u e > < / a : K e y V a l u e O f D i a g r a m O b j e c t K e y a n y T y p e z b w N T n L X > < a : K e y V a l u e O f D i a g r a m O b j e c t K e y a n y T y p e z b w N T n L X > < a : K e y > < K e y > R e l a t i o n s h i p s \ & l t ; T a b l e s \ T a b l e a u 1 6 \ C o l u m n s \ S o u r c e & g t ; - & l t ; T a b l e s \ T a b l e a u _ s o u r c e \ C o l u m n s \ S o u r c e & g t ; < / K e y > < / a : K e y > < a : V a l u e   i : t y p e = " D i a g r a m D i s p l a y L i n k V i e w S t a t e " > < A u t o m a t i o n P r o p e r t y H e l p e r T e x t > P o i n t   d ' a r r � t   1   :   ( 5 4 5 , 9 0 3 8 1 0 5 6 7 6 6 6 , 9 5 ) .   P o i n t   d ' a r r � t   2   :   ( 5 7 4 , 7 1 1 4 3 1 7 0 2 9 9 7 , 3 8 8 )   < / A u t o m a t i o n P r o p e r t y H e l p e r T e x t > < L a y e d O u t > t r u e < / L a y e d O u t > < P o i n t s   x m l n s : b = " h t t p : / / s c h e m a s . d a t a c o n t r a c t . o r g / 2 0 0 4 / 0 7 / S y s t e m . W i n d o w s " > < b : P o i n t > < b : _ x > 5 4 5 . 9 0 3 8 1 0 5 6 7 6 6 5 8 < / b : _ x > < b : _ y > 9 5 < / b : _ y > < / b : P o i n t > < b : P o i n t > < b : _ x > 5 5 1 . 8 5 5 7 1 6 0 0 1 0 4 8 1 1 < / b : _ x > < b : _ y > 9 5 < / b : _ y > < / b : P o i n t > < b : P o i n t > < b : _ x > 5 5 3 . 8 5 5 7 1 6 0 0 1 0 4 8 1 1 < / b : _ x > < b : _ y > 9 7 < / b : _ y > < / b : P o i n t > < b : P o i n t > < b : _ x > 5 5 3 . 8 5 5 7 1 6 0 0 1 0 4 8 1 1 < / b : _ x > < b : _ y > 3 8 6 < / b : _ y > < / b : P o i n t > < b : P o i n t > < b : _ x > 5 5 5 . 8 5 5 7 1 6 0 0 1 0 4 8 1 1 < / b : _ x > < b : _ y > 3 8 8 < / b : _ y > < / b : P o i n t > < b : P o i n t > < b : _ x > 5 7 4 . 7 1 1 4 3 1 7 0 2 9 9 7 2 9 < / b : _ x > < b : _ y > 3 8 8 < / b : _ y > < / b : P o i n t > < / P o i n t s > < / a : V a l u e > < / a : K e y V a l u e O f D i a g r a m O b j e c t K e y a n y T y p e z b w N T n L X > < a : K e y V a l u e O f D i a g r a m O b j e c t K e y a n y T y p e z b w N T n L X > < a : K e y > < K e y > R e l a t i o n s h i p s \ & l t ; T a b l e s \ T a b l e a u 1 6 \ C o l u m n s \ S o u r c e & g t ; - & l t ; T a b l e s \ T a b l e a u _ s o u r c e \ C o l u m n s \ S o u r c e & g t ; \ F K < / K e y > < / a : K e y > < a : V a l u e   i : t y p e = " D i a g r a m D i s p l a y L i n k E n d p o i n t V i e w S t a t e " > < H e i g h t > 1 6 < / H e i g h t > < L a b e l L o c a t i o n   x m l n s : b = " h t t p : / / s c h e m a s . d a t a c o n t r a c t . o r g / 2 0 0 4 / 0 7 / S y s t e m . W i n d o w s " > < b : _ x > 5 2 9 . 9 0 3 8 1 0 5 6 7 6 6 5 8 < / b : _ x > < b : _ y > 8 7 < / b : _ y > < / L a b e l L o c a t i o n > < L o c a t i o n   x m l n s : b = " h t t p : / / s c h e m a s . d a t a c o n t r a c t . o r g / 2 0 0 4 / 0 7 / S y s t e m . W i n d o w s " > < b : _ x > 5 2 9 . 9 0 3 8 1 0 5 6 7 6 6 5 8 < / b : _ x > < b : _ y > 9 5 < / b : _ y > < / L o c a t i o n > < S h a p e R o t a t e A n g l e > 3 6 0 < / S h a p e R o t a t e A n g l e > < W i d t h > 1 6 < / W i d t h > < / a : V a l u e > < / a : K e y V a l u e O f D i a g r a m O b j e c t K e y a n y T y p e z b w N T n L X > < a : K e y V a l u e O f D i a g r a m O b j e c t K e y a n y T y p e z b w N T n L X > < a : K e y > < K e y > R e l a t i o n s h i p s \ & l t ; T a b l e s \ T a b l e a u 1 6 \ C o l u m n s \ S o u r c e & g t ; - & l t ; T a b l e s \ T a b l e a u _ s o u r c e \ C o l u m n s \ S o u r c e & g t ; \ P K < / K e y > < / a : K e y > < a : V a l u e   i : t y p e = " D i a g r a m D i s p l a y L i n k E n d p o i n t V i e w S t a t e " > < H e i g h t > 1 6 < / H e i g h t > < L a b e l L o c a t i o n   x m l n s : b = " h t t p : / / s c h e m a s . d a t a c o n t r a c t . o r g / 2 0 0 4 / 0 7 / S y s t e m . W i n d o w s " > < b : _ x > 5 7 4 . 7 1 1 4 3 1 7 0 2 9 9 7 2 9 < / b : _ x > < b : _ y > 3 8 0 < / b : _ y > < / L a b e l L o c a t i o n > < L o c a t i o n   x m l n s : b = " h t t p : / / s c h e m a s . d a t a c o n t r a c t . o r g / 2 0 0 4 / 0 7 / S y s t e m . W i n d o w s " > < b : _ x > 5 9 0 . 7 1 1 4 3 1 7 0 2 9 9 7 2 9 < / b : _ x > < b : _ y > 3 8 8 < / b : _ y > < / L o c a t i o n > < S h a p e R o t a t e A n g l e > 1 8 0 < / S h a p e R o t a t e A n g l e > < W i d t h > 1 6 < / W i d t h > < / a : V a l u e > < / a : K e y V a l u e O f D i a g r a m O b j e c t K e y a n y T y p e z b w N T n L X > < a : K e y V a l u e O f D i a g r a m O b j e c t K e y a n y T y p e z b w N T n L X > < a : K e y > < K e y > R e l a t i o n s h i p s \ & l t ; T a b l e s \ T a b l e a u 1 6 \ C o l u m n s \ S o u r c e & g t ; - & l t ; T a b l e s \ T a b l e a u _ s o u r c e \ C o l u m n s \ S o u r c e & g t ; \ C r o s s F i l t e r < / K e y > < / a : K e y > < a : V a l u e   i : t y p e = " D i a g r a m D i s p l a y L i n k C r o s s F i l t e r V i e w S t a t e " > < P o i n t s   x m l n s : b = " h t t p : / / s c h e m a s . d a t a c o n t r a c t . o r g / 2 0 0 4 / 0 7 / S y s t e m . W i n d o w s " > < b : P o i n t > < b : _ x > 5 4 5 . 9 0 3 8 1 0 5 6 7 6 6 5 8 < / b : _ x > < b : _ y > 9 5 < / b : _ y > < / b : P o i n t > < b : P o i n t > < b : _ x > 5 5 1 . 8 5 5 7 1 6 0 0 1 0 4 8 1 1 < / b : _ x > < b : _ y > 9 5 < / b : _ y > < / b : P o i n t > < b : P o i n t > < b : _ x > 5 5 3 . 8 5 5 7 1 6 0 0 1 0 4 8 1 1 < / b : _ x > < b : _ y > 9 7 < / b : _ y > < / b : P o i n t > < b : P o i n t > < b : _ x > 5 5 3 . 8 5 5 7 1 6 0 0 1 0 4 8 1 1 < / b : _ x > < b : _ y > 3 8 6 < / b : _ y > < / b : P o i n t > < b : P o i n t > < b : _ x > 5 5 5 . 8 5 5 7 1 6 0 0 1 0 4 8 1 1 < / b : _ x > < b : _ y > 3 8 8 < / b : _ y > < / b : P o i n t > < b : P o i n t > < b : _ x > 5 7 4 . 7 1 1 4 3 1 7 0 2 9 9 7 2 9 < / b : _ x > < b : _ y > 3 8 8 < / b : _ y > < / b : P o i n t > < / P o i n t s > < / a : V a l u e > < / a : K e y V a l u e O f D i a g r a m O b j e c t K e y a n y T y p e z b w N T n L X > < a : K e y V a l u e O f D i a g r a m O b j e c t K e y a n y T y p e z b w N T n L X > < a : K e y > < K e y > R e l a t i o n s h i p s \ & l t ; T a b l e s \ T a b l e a u 1 6 \ C o l u m n s \ C o m b u s t i b l e & g t ; - & l t ; T a b l e s \ T a b l e a u _ c o m b u s t i b l e \ C o l u m n s \ C o m b u s t i b l e & g t ; < / K e y > < / a : K e y > < a : V a l u e   i : t y p e = " D i a g r a m D i s p l a y L i n k V i e w S t a t e " > < A u t o m a t i o n P r o p e r t y H e l p e r T e x t > P o i n t   d ' a r r � t   1   :   ( 3 1 3 , 9 0 3 8 1 0 5 6 7 6 6 6 , 5 5 ) .   P o i n t   d ' a r r � t   2   :   ( 2 1 6 , 4 7 0 )   < / A u t o m a t i o n P r o p e r t y H e l p e r T e x t > < L a y e d O u t > t r u e < / L a y e d O u t > < P o i n t s   x m l n s : b = " h t t p : / / s c h e m a s . d a t a c o n t r a c t . o r g / 2 0 0 4 / 0 7 / S y s t e m . W i n d o w s " > < b : P o i n t > < b : _ x > 3 1 3 . 9 0 3 8 1 0 5 6 7 6 6 5 8 < / b : _ x > < b : _ y > 5 5 < / b : _ y > < / b : P o i n t > < b : P o i n t > < b : _ x > 2 6 6 . 9 5 1 9 0 5 5 < / b : _ x > < b : _ y > 5 5 < / b : _ y > < / b : P o i n t > < b : P o i n t > < b : _ x > 2 6 4 . 9 5 1 9 0 5 5 < / b : _ x > < b : _ y > 5 7 < / b : _ y > < / b : P o i n t > < b : P o i n t > < b : _ x > 2 6 4 . 9 5 1 9 0 5 5 < / b : _ x > < b : _ y > 4 6 8 < / b : _ y > < / b : P o i n t > < b : P o i n t > < b : _ x > 2 6 2 . 9 5 1 9 0 5 5 < / b : _ x > < b : _ y > 4 7 0 < / b : _ y > < / b : P o i n t > < b : P o i n t > < b : _ x > 2 1 6 . 0 0 0 0 0 0 0 0 0 0 0 0 0 6 < / b : _ x > < b : _ y > 4 7 0 < / b : _ y > < / b : P o i n t > < / P o i n t s > < / a : V a l u e > < / a : K e y V a l u e O f D i a g r a m O b j e c t K e y a n y T y p e z b w N T n L X > < a : K e y V a l u e O f D i a g r a m O b j e c t K e y a n y T y p e z b w N T n L X > < a : K e y > < K e y > R e l a t i o n s h i p s \ & l t ; T a b l e s \ T a b l e a u 1 6 \ C o l u m n s \ C o m b u s t i b l e & g t ; - & l t ; T a b l e s \ T a b l e a u _ c o m b u s t i b l e \ C o l u m n s \ C o m b u s t i b l e & g t ; \ F K < / K e y > < / a : K e y > < a : V a l u e   i : t y p e = " D i a g r a m D i s p l a y L i n k E n d p o i n t V i e w S t a t e " > < H e i g h t > 1 6 < / H e i g h t > < L a b e l L o c a t i o n   x m l n s : b = " h t t p : / / s c h e m a s . d a t a c o n t r a c t . o r g / 2 0 0 4 / 0 7 / S y s t e m . W i n d o w s " > < b : _ x > 3 1 3 . 9 0 3 8 1 0 5 6 7 6 6 5 8 < / b : _ x > < b : _ y > 4 7 < / b : _ y > < / L a b e l L o c a t i o n > < L o c a t i o n   x m l n s : b = " h t t p : / / s c h e m a s . d a t a c o n t r a c t . o r g / 2 0 0 4 / 0 7 / S y s t e m . W i n d o w s " > < b : _ x > 3 2 9 . 9 0 3 8 1 0 5 6 7 6 6 5 8 < / b : _ x > < b : _ y > 5 5 < / b : _ y > < / L o c a t i o n > < S h a p e R o t a t e A n g l e > 1 8 0 < / S h a p e R o t a t e A n g l e > < W i d t h > 1 6 < / W i d t h > < / a : V a l u e > < / a : K e y V a l u e O f D i a g r a m O b j e c t K e y a n y T y p e z b w N T n L X > < a : K e y V a l u e O f D i a g r a m O b j e c t K e y a n y T y p e z b w N T n L X > < a : K e y > < K e y > R e l a t i o n s h i p s \ & l t ; T a b l e s \ T a b l e a u 1 6 \ C o l u m n s \ C o m b u s t i b l e & g t ; - & l t ; T a b l e s \ T a b l e a u _ c o m b u s t i b l e \ C o l u m n s \ C o m b u s t i b l e & g t ; \ P K < / K e y > < / a : K e y > < a : V a l u e   i : t y p e = " D i a g r a m D i s p l a y L i n k E n d p o i n t V i e w S t a t e " > < H e i g h t > 1 6 < / H e i g h t > < L a b e l L o c a t i o n   x m l n s : b = " h t t p : / / s c h e m a s . d a t a c o n t r a c t . o r g / 2 0 0 4 / 0 7 / S y s t e m . W i n d o w s " > < b : _ x > 2 0 0 . 0 0 0 0 0 0 0 0 0 0 0 0 0 6 < / b : _ x > < b : _ y > 4 6 2 < / b : _ y > < / L a b e l L o c a t i o n > < L o c a t i o n   x m l n s : b = " h t t p : / / s c h e m a s . d a t a c o n t r a c t . o r g / 2 0 0 4 / 0 7 / S y s t e m . W i n d o w s " > < b : _ x > 2 0 0 . 0 0 0 0 0 0 0 0 0 0 0 0 0 9 < / b : _ x > < b : _ y > 4 7 0 < / b : _ y > < / L o c a t i o n > < S h a p e R o t a t e A n g l e > 3 6 0 < / S h a p e R o t a t e A n g l e > < W i d t h > 1 6 < / W i d t h > < / a : V a l u e > < / a : K e y V a l u e O f D i a g r a m O b j e c t K e y a n y T y p e z b w N T n L X > < a : K e y V a l u e O f D i a g r a m O b j e c t K e y a n y T y p e z b w N T n L X > < a : K e y > < K e y > R e l a t i o n s h i p s \ & l t ; T a b l e s \ T a b l e a u 1 6 \ C o l u m n s \ C o m b u s t i b l e & g t ; - & l t ; T a b l e s \ T a b l e a u _ c o m b u s t i b l e \ C o l u m n s \ C o m b u s t i b l e & g t ; \ C r o s s F i l t e r < / K e y > < / a : K e y > < a : V a l u e   i : t y p e = " D i a g r a m D i s p l a y L i n k C r o s s F i l t e r V i e w S t a t e " > < P o i n t s   x m l n s : b = " h t t p : / / s c h e m a s . d a t a c o n t r a c t . o r g / 2 0 0 4 / 0 7 / S y s t e m . W i n d o w s " > < b : P o i n t > < b : _ x > 3 1 3 . 9 0 3 8 1 0 5 6 7 6 6 5 8 < / b : _ x > < b : _ y > 5 5 < / b : _ y > < / b : P o i n t > < b : P o i n t > < b : _ x > 2 6 6 . 9 5 1 9 0 5 5 < / b : _ x > < b : _ y > 5 5 < / b : _ y > < / b : P o i n t > < b : P o i n t > < b : _ x > 2 6 4 . 9 5 1 9 0 5 5 < / b : _ x > < b : _ y > 5 7 < / b : _ y > < / b : P o i n t > < b : P o i n t > < b : _ x > 2 6 4 . 9 5 1 9 0 5 5 < / b : _ x > < b : _ y > 4 6 8 < / b : _ y > < / b : P o i n t > < b : P o i n t > < b : _ x > 2 6 2 . 9 5 1 9 0 5 5 < / b : _ x > < b : _ y > 4 7 0 < / b : _ y > < / b : P o i n t > < b : P o i n t > < b : _ x > 2 1 6 . 0 0 0 0 0 0 0 0 0 0 0 0 0 6 < / b : _ x > < b : _ y > 4 7 0 < / b : _ y > < / b : P o i n t > < / P o i n t s > < / a : V a l u e > < / a : K e y V a l u e O f D i a g r a m O b j e c t K e y a n y T y p e z b w N T n L X > < / V i e w S t a t e s > < / D i a g r a m M a n a g e r . S e r i a l i z a b l e D i a g r a m > < D i a g r a m M a n a g e r . S e r i a l i z a b l e D i a g r a m > < A d a p t e r   i : t y p e = " M e a s u r e D i a g r a m S a n d b o x A d a p t e r " > < T a b l e N a m e > T a b l e a u _ m o i s 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 T a b l e a u _ m o i s 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 M e a s u r e s \ S o m m e   d e   M o i s < / K e y > < / D i a g r a m O b j e c t K e y > < D i a g r a m O b j e c t K e y > < K e y > M e a s u r e s \ S o m m e   d e   M o i s \ T a g I n f o \ F o r m u l e < / K e y > < / D i a g r a m O b j e c t K e y > < D i a g r a m O b j e c t K e y > < K e y > M e a s u r e s \ S o m m e   d e   M o i s \ T a g I n f o \ V a l e u r < / K e y > < / D i a g r a m O b j e c t K e y > < D i a g r a m O b j e c t K e y > < K e y > C o l u m n s \ M o i s < / K e y > < / D i a g r a m O b j e c t K e y > < D i a g r a m O b j e c t K e y > < K e y > L i n k s \ & l t ; C o l u m n s \ S o m m e   d e   M o i s & g t ; - & l t ; M e a s u r e s \ M o i s & g t ; < / K e y > < / D i a g r a m O b j e c t K e y > < D i a g r a m O b j e c t K e y > < K e y > L i n k s \ & l t ; C o l u m n s \ S o m m e   d e   M o i s & g t ; - & l t ; M e a s u r e s \ M o i s & g t ; \ C O L U M N < / K e y > < / D i a g r a m O b j e c t K e y > < D i a g r a m O b j e c t K e y > < K e y > L i n k s \ & l t ; C o l u m n s \ S o m m e   d e   M o i s & g t ; - & l t ; M e a s u r e s \ M o i s & g t ; \ M E A S U R E 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 M e a s u r e s \ S o m m e   d e   M o i s < / K e y > < / a : K e y > < a : V a l u e   i : t y p e = " M e a s u r e G r i d N o d e V i e w S t a t e " > < L a y e d O u t > t r u e < / L a y e d O u t > < W a s U I I n v i s i b l e > t r u e < / W a s U I I n v i s i b l e > < / a : V a l u e > < / a : K e y V a l u e O f D i a g r a m O b j e c t K e y a n y T y p e z b w N T n L X > < a : K e y V a l u e O f D i a g r a m O b j e c t K e y a n y T y p e z b w N T n L X > < a : K e y > < K e y > M e a s u r e s \ S o m m e   d e   M o i s \ T a g I n f o \ F o r m u l e < / K e y > < / a : K e y > < a : V a l u e   i : t y p e = " M e a s u r e G r i d V i e w S t a t e I D i a g r a m T a g A d d i t i o n a l I n f o " / > < / a : K e y V a l u e O f D i a g r a m O b j e c t K e y a n y T y p e z b w N T n L X > < a : K e y V a l u e O f D i a g r a m O b j e c t K e y a n y T y p e z b w N T n L X > < a : K e y > < K e y > M e a s u r e s \ S o m m e   d e   M o i s \ T a g I n f o \ V a l e u r < / K e y > < / a : K e y > < a : V a l u e   i : t y p e = " M e a s u r e G r i d V i e w S t a t e I D i a g r a m T a g A d d i t i o n a l I n f o " / > < / a : K e y V a l u e O f D i a g r a m O b j e c t K e y a n y T y p e z b w N T n L X > < a : K e y V a l u e O f D i a g r a m O b j e c t K e y a n y T y p e z b w N T n L X > < a : K e y > < K e y > C o l u m n s \ M o i s < / K e y > < / a : K e y > < a : V a l u e   i : t y p e = " M e a s u r e G r i d N o d e V i e w S t a t e " > < L a y e d O u t > t r u e < / L a y e d O u t > < / a : V a l u e > < / a : K e y V a l u e O f D i a g r a m O b j e c t K e y a n y T y p e z b w N T n L X > < a : K e y V a l u e O f D i a g r a m O b j e c t K e y a n y T y p e z b w N T n L X > < a : K e y > < K e y > L i n k s \ & l t ; C o l u m n s \ S o m m e   d e   M o i s & g t ; - & l t ; M e a s u r e s \ M o i s & g t ; < / K e y > < / a : K e y > < a : V a l u e   i : t y p e = " M e a s u r e G r i d V i e w S t a t e I D i a g r a m L i n k " / > < / a : K e y V a l u e O f D i a g r a m O b j e c t K e y a n y T y p e z b w N T n L X > < a : K e y V a l u e O f D i a g r a m O b j e c t K e y a n y T y p e z b w N T n L X > < a : K e y > < K e y > L i n k s \ & l t ; C o l u m n s \ S o m m e   d e   M o i s & g t ; - & l t ; M e a s u r e s \ M o i s & g t ; \ C O L U M N < / K e y > < / a : K e y > < a : V a l u e   i : t y p e = " M e a s u r e G r i d V i e w S t a t e I D i a g r a m L i n k E n d p o i n t " / > < / a : K e y V a l u e O f D i a g r a m O b j e c t K e y a n y T y p e z b w N T n L X > < a : K e y V a l u e O f D i a g r a m O b j e c t K e y a n y T y p e z b w N T n L X > < a : K e y > < K e y > L i n k s \ & l t ; C o l u m n s \ S o m m e   d e   M o i s & g t ; - & l t ; M e a s u r e s \ M o i s & g t ; \ M E A S U R E < / K e y > < / a : K e y > < a : V a l u e   i : t y p e = " M e a s u r e G r i d V i e w S t a t e I D i a g r a m L i n k E n d p o i n t " / > < / a : K e y V a l u e O f D i a g r a m O b j e c t K e y a n y T y p e z b w N T n L X > < / V i e w S t a t e s > < / D i a g r a m M a n a g e r . S e r i a l i z a b l e D i a g r a m > < D i a g r a m M a n a g e r . S e r i a l i z a b l e D i a g r a m > < A d a p t e r   i : t y p e = " M e a s u r e D i a g r a m S a n d b o x A d a p t e r " > < T a b l e N a m e > T a b l e a u _ s o u r c e 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 T a b l e a u _ s o u r c e 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 C o l u m n s \ S o u r c e 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 C o l u m n s \ S o u r c e < / K e y > < / a : K e y > < a : V a l u e   i : t y p e = " M e a s u r e G r i d N o d e V i e w S t a t e " > < L a y e d O u t > t r u e < / L a y e d O u t > < / a : V a l u e > < / a : K e y V a l u e O f D i a g r a m O b j e c t K e y a n y T y p e z b w N T n L X > < / V i e w S t a t e s > < / D i a g r a m M a n a g e r . S e r i a l i z a b l e D i a g r a m > < D i a g r a m M a n a g e r . S e r i a l i z a b l e D i a g r a m > < A d a p t e r   i : t y p e = " M e a s u r e D i a g r a m S a n d b o x A d a p t e r " > < T a b l e N a m e > T a b l e a u _ t y p e 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 T a b l e a u _ t y p e 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 C o l u m n s \ T y p e 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 C o l u m n s \ T y p e < / K e y > < / a : K e y > < a : V a l u e   i : t y p e = " M e a s u r e G r i d N o d e V i e w S t a t e " > < L a y e d O u t > t r u e < / L a y e d O u t > < / a : V a l u e > < / a : K e y V a l u e O f D i a g r a m O b j e c t K e y a n y T y p e z b w N T n L X > < / V i e w S t a t e s > < / D i a g r a m M a n a g e r . S e r i a l i z a b l e D i a g r a m > < D i a g r a m M a n a g e r . S e r i a l i z a b l e D i a g r a m > < A d a p t e r   i : t y p e = " M e a s u r e D i a g r a m S a n d b o x A d a p t e r " > < T a b l e N a m e > T a b l e a u _ a n n e e s 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 T a b l e a u _ a n n e e s 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 C o l u m n s \ A n n e e 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 C o l u m n s \ A n n e e < / K e y > < / a : K e y > < a : V a l u e   i : t y p e = " M e a s u r e G r i d N o d e V i e w S t a t e " > < L a y e d O u t > t r u e < / L a y e d O u t > < / a : V a l u e > < / a : K e y V a l u e O f D i a g r a m O b j e c t K e y a n y T y p e z b w N T n L X > < / V i e w S t a t e s > < / D i a g r a m M a n a g e r . S e r i a l i z a b l e D i a g r a m > < D i a g r a m M a n a g e r . S e r i a l i z a b l e D i a g r a m > < A d a p t e r   i : t y p e = " M e a s u r e D i a g r a m S a n d b o x A d a p t e r " > < T a b l e N a m e > T a b l e a u _ c o m b u s t i b l e 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 T a b l e a u _ c o m b u s t i b l e 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 C o l u m n s \ C o m b u s t i b l e 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 C o l u m n s \ C o m b u s t i b l e < / K e y > < / a : K e y > < a : V a l u e   i : t y p e = " M e a s u r e G r i d N o d e V i e w S t a t e " > < L a y e d O u t > t r u e < / L a y e d O u t > < / a : V a l u e > < / a : K e y V a l u e O f D i a g r a m O b j e c t K e y a n y T y p e z b w N T n L X > < / V i e w S t a t e s > < / D i a g r a m M a n a g e r . S e r i a l i z a b l e D i a g r a m > < D i a g r a m M a n a g e r . S e r i a l i z a b l e D i a g r a m > < A d a p t e r   i : t y p e = " M e a s u r e D i a g r a m S a n d b o x A d a p t e r " > < T a b l e N a m e > T a b l e a u _ u s a g e 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 T a b l e a u _ u s a g e 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 C o l u m n s \ D e t a i l   u s a g e 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 C o l u m n s \ D e t a i l   u s a g e < / K e y > < / a : K e y > < a : V a l u e   i : t y p e = " M e a s u r e G r i d N o d e V i e w S t a t e " > < L a y e d O u t > t r u e < / L a y e d O u t > < / a : V a l u e > < / a : K e y V a l u e O f D i a g r a m O b j e c t K e y a n y T y p e z b w N T n L X > < / V i e w S t a t e s > < / D i a g r a m M a n a g e r . S e r i a l i z a b l e D i a g r a m > < D i a g r a m M a n a g e r . S e r i a l i z a b l e D i a g r a m > < A d a p t e r   i : t y p e = " M e a s u r e D i a g r a m S a n d b o x A d a p t e r " > < T a b l e N a m e > T a b _ c o n c a t < / 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 T a b _ c o n c a t < / 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 M e a s u r e s \ C o n s o _ D J U < / K e y > < / D i a g r a m O b j e c t K e y > < D i a g r a m O b j e c t K e y > < K e y > M e a s u r e s \ C o n s o _ D J U \ T a g I n f o \ F o r m u l e < / K e y > < / D i a g r a m O b j e c t K e y > < D i a g r a m O b j e c t K e y > < K e y > M e a s u r e s \ C o n s o _ D J U \ T a g I n f o \ V a l e u r < / K e y > < / D i a g r a m O b j e c t K e y > < D i a g r a m O b j e c t K e y > < K e y > M e a s u r e s \ C o u t   U n i t a i r e   M o y e n < / K e y > < / D i a g r a m O b j e c t K e y > < D i a g r a m O b j e c t K e y > < K e y > M e a s u r e s \ C o u t   U n i t a i r e   M o y e n \ T a g I n f o \ F o r m u l e < / K e y > < / D i a g r a m O b j e c t K e y > < D i a g r a m O b j e c t K e y > < K e y > M e a s u r e s \ C o u t   U n i t a i r e   M o y e n \ T a g I n f o \ V a l e u r < / K e y > < / D i a g r a m O b j e c t K e y > < D i a g r a m O b j e c t K e y > < K e y > M e a s u r e s \ S o m m e   d e   C o n s o _ k W h _ P C I < / K e y > < / D i a g r a m O b j e c t K e y > < D i a g r a m O b j e c t K e y > < K e y > M e a s u r e s \ S o m m e   d e   C o n s o _ k W h _ P C I \ T a g I n f o \ F o r m u l e < / K e y > < / D i a g r a m O b j e c t K e y > < D i a g r a m O b j e c t K e y > < K e y > M e a s u r e s \ S o m m e   d e   C o n s o _ k W h _ P C I \ T a g I n f o \ V a l e u r < / K e y > < / D i a g r a m O b j e c t K e y > < D i a g r a m O b j e c t K e y > < K e y > M e a s u r e s \ S o m m e   d e   C o n s o _ k W h _ D E E T < / K e y > < / D i a g r a m O b j e c t K e y > < D i a g r a m O b j e c t K e y > < K e y > M e a s u r e s \ S o m m e   d e   C o n s o _ k W h _ D E E T \ T a g I n f o \ F o r m u l e < / K e y > < / D i a g r a m O b j e c t K e y > < D i a g r a m O b j e c t K e y > < K e y > M e a s u r e s \ S o m m e   d e   C o n s o _ k W h _ D E E T \ T a g I n f o \ V a l e u r < / K e y > < / D i a g r a m O b j e c t K e y > < D i a g r a m O b j e c t K e y > < K e y > M e a s u r e s \ S o m m e   d e   C o u t _ j o u r < / K e y > < / D i a g r a m O b j e c t K e y > < D i a g r a m O b j e c t K e y > < K e y > M e a s u r e s \ S o m m e   d e   C o u t _ j o u r \ T a g I n f o \ F o r m u l e < / K e y > < / D i a g r a m O b j e c t K e y > < D i a g r a m O b j e c t K e y > < K e y > M e a s u r e s \ S o m m e   d e   C o u t _ j o u r \ T a g I n f o \ V a l e u r < / K e y > < / D i a g r a m O b j e c t K e y > < D i a g r a m O b j e c t K e y > < K e y > M e a s u r e s \ S o m m e   d e   C o n s o _ k W h E P < / K e y > < / D i a g r a m O b j e c t K e y > < D i a g r a m O b j e c t K e y > < K e y > M e a s u r e s \ S o m m e   d e   C o n s o _ k W h E P \ T a g I n f o \ F o r m u l e < / K e y > < / D i a g r a m O b j e c t K e y > < D i a g r a m O b j e c t K e y > < K e y > M e a s u r e s \ S o m m e   d e   C o n s o _ k W h E P \ T a g I n f o \ V a l e u r < / K e y > < / D i a g r a m O b j e c t K e y > < D i a g r a m O b j e c t K e y > < K e y > M e a s u r e s \ S o m m e   d e   D e m a n d e _ j o u r < / K e y > < / D i a g r a m O b j e c t K e y > < D i a g r a m O b j e c t K e y > < K e y > M e a s u r e s \ S o m m e   d e   D e m a n d e _ j o u r \ T a g I n f o \ F o r m u l e < / K e y > < / D i a g r a m O b j e c t K e y > < D i a g r a m O b j e c t K e y > < K e y > M e a s u r e s \ S o m m e   d e   D e m a n d e _ j o u r \ T a g I n f o \ V a l e u r < / K e y > < / D i a g r a m O b j e c t K e y > < D i a g r a m O b j e c t K e y > < K e y > M e a s u r e s \ M o y e n n e   d e   C o n s o _ k W h _ P C I < / K e y > < / D i a g r a m O b j e c t K e y > < D i a g r a m O b j e c t K e y > < K e y > M e a s u r e s \ M o y e n n e   d e   C o n s o _ k W h _ P C I \ T a g I n f o \ F o r m u l e < / K e y > < / D i a g r a m O b j e c t K e y > < D i a g r a m O b j e c t K e y > < K e y > M e a s u r e s \ M o y e n n e   d e   C o n s o _ k W h _ P C I \ T a g I n f o \ V a l e u r < / K e y > < / D i a g r a m O b j e c t K e y > < D i a g r a m O b j e c t K e y > < K e y > M e a s u r e s \ M o y e n n e   d e   C o n s o _ k W h _ D E E T < / K e y > < / D i a g r a m O b j e c t K e y > < D i a g r a m O b j e c t K e y > < K e y > M e a s u r e s \ M o y e n n e   d e   C o n s o _ k W h _ D E E T \ T a g I n f o \ F o r m u l e < / K e y > < / D i a g r a m O b j e c t K e y > < D i a g r a m O b j e c t K e y > < K e y > M e a s u r e s \ M o y e n n e   d e   C o n s o _ k W h _ D E E T \ T a g I n f o \ V a l e u r < / K e y > < / D i a g r a m O b j e c t K e y > < D i a g r a m O b j e c t K e y > < K e y > M e a s u r e s \ S o m m e   d e   C o u t _ u n i t a i r e < / K e y > < / D i a g r a m O b j e c t K e y > < D i a g r a m O b j e c t K e y > < K e y > M e a s u r e s \ S o m m e   d e   C o u t _ u n i t a i r e \ T a g I n f o \ F o r m u l e < / K e y > < / D i a g r a m O b j e c t K e y > < D i a g r a m O b j e c t K e y > < K e y > M e a s u r e s \ S o m m e   d e   C o u t _ u n i t a i r e \ T a g I n f o \ V a l e u r < / K e y > < / D i a g r a m O b j e c t K e y > < D i a g r a m O b j e c t K e y > < K e y > M e a s u r e s \ S o m m e   d e   D J U _ q u o t _ c h a u f f a g i s t e < / K e y > < / D i a g r a m O b j e c t K e y > < D i a g r a m O b j e c t K e y > < K e y > M e a s u r e s \ S o m m e   d e   D J U _ q u o t _ c h a u f f a g i s t e \ T a g I n f o \ F o r m u l e < / K e y > < / D i a g r a m O b j e c t K e y > < D i a g r a m O b j e c t K e y > < K e y > M e a s u r e s \ S o m m e   d e   D J U _ q u o t _ c h a u f f a g i s t e \ T a g I n f o \ V a l e u r < / K e y > < / D i a g r a m O b j e c t K e y > < D i a g r a m O b j e c t K e y > < K e y > M e a s u r e s \ M o y e n n e   d e   C o u t _ u n i t a i r e < / K e y > < / D i a g r a m O b j e c t K e y > < D i a g r a m O b j e c t K e y > < K e y > M e a s u r e s \ M o y e n n e   d e   C o u t _ u n i t a i r e \ T a g I n f o \ F o r m u l e < / K e y > < / D i a g r a m O b j e c t K e y > < D i a g r a m O b j e c t K e y > < K e y > M e a s u r e s \ M o y e n n e   d e   C o u t _ u n i t a i r e \ T a g I n f o \ V a l e u r < / K e y > < / D i a g r a m O b j e c t K e y > < D i a g r a m O b j e c t K e y > < K e y > M e a s u r e s \ T o t a l   d i s t i n c t   d e   C o u t _ u n i t a i r e < / K e y > < / D i a g r a m O b j e c t K e y > < D i a g r a m O b j e c t K e y > < K e y > M e a s u r e s \ T o t a l   d i s t i n c t   d e   C o u t _ u n i t a i r e \ T a g I n f o \ F o r m u l e < / K e y > < / D i a g r a m O b j e c t K e y > < D i a g r a m O b j e c t K e y > < K e y > M e a s u r e s \ T o t a l   d i s t i n c t   d e   C o u t _ u n i t a i r e \ T a g I n f o \ V a l e u r < / K e y > < / D i a g r a m O b j e c t K e y > < D i a g r a m O b j e c t K e y > < K e y > C o l u m n s \ C o m p t e u r < / K e y > < / D i a g r a m O b j e c t K e y > < D i a g r a m O b j e c t K e y > < K e y > C o l u m n s \ D a t e s < / K e y > < / D i a g r a m O b j e c t K e y > < D i a g r a m O b j e c t K e y > < K e y > C o l u m n s \ D e m a n d e _ j o u r < / K e y > < / D i a g r a m O b j e c t K e y > < D i a g r a m O b j e c t K e y > < K e y > C o l u m n s \ C o u t _ j o u r < / K e y > < / D i a g r a m O b j e c t K e y > < D i a g r a m O b j e c t K e y > < K e y > C o l u m n s \ D J U _ c h a u f f a g i s t e < / K e y > < / D i a g r a m O b j e c t K e y > < D i a g r a m O b j e c t K e y > < K e y > C o l u m n s \ D J U _ c l i m a t i c i e n < / K e y > < / D i a g r a m O b j e c t K e y > < D i a g r a m O b j e c t K e y > < K e y > C o l u m n s \ C o l o n n e 2 < / K e y > < / D i a g r a m O b j e c t K e y > < D i a g r a m O b j e c t K e y > < K e y > C o l u m n s \ T y p e < / K e y > < / D i a g r a m O b j e c t K e y > < D i a g r a m O b j e c t K e y > < K e y > C o l u m n s \ S o u r c e < / K e y > < / D i a g r a m O b j e c t K e y > < D i a g r a m O b j e c t K e y > < K e y > C o l u m n s \ C o m b u s t i b l e < / K e y > < / D i a g r a m O b j e c t K e y > < D i a g r a m O b j e c t K e y > < K e y > C o l u m n s \ C o n s o _ k W h _ P C I < / K e y > < / D i a g r a m O b j e c t K e y > < D i a g r a m O b j e c t K e y > < K e y > C o l u m n s \ C o n s o _ k W h _ D E E T < / K e y > < / D i a g r a m O b j e c t K e y > < D i a g r a m O b j e c t K e y > < K e y > C o l u m n s \ N o m < / K e y > < / D i a g r a m O b j e c t K e y > < D i a g r a m O b j e c t K e y > < K e y > C o l u m n s \ D e t a i l   u s a g e < / K e y > < / D i a g r a m O b j e c t K e y > < D i a g r a m O b j e c t K e y > < K e y > C o l u m n s \ C o n s o _ k W h E P < / K e y > < / D i a g r a m O b j e c t K e y > < D i a g r a m O b j e c t K e y > < K e y > C o l u m n s \ A n n e e < / K e y > < / D i a g r a m O b j e c t K e y > < D i a g r a m O b j e c t K e y > < K e y > C o l u m n s \ M o i s < / K e y > < / D i a g r a m O b j e c t K e y > < D i a g r a m O b j e c t K e y > < K e y > C o l u m n s \ C o u t _ u n i t a i r e < / K e y > < / D i a g r a m O b j e c t K e y > < D i a g r a m O b j e c t K e y > < K e y > C o l u m n s \ D a t e s   ( a n n � e ) < / K e y > < / D i a g r a m O b j e c t K e y > < D i a g r a m O b j e c t K e y > < K e y > C o l u m n s \ D a t e s   ( t r i m e s t r e ) < / K e y > < / D i a g r a m O b j e c t K e y > < D i a g r a m O b j e c t K e y > < K e y > C o l u m n s \ D a t e s   ( i n d e x   d e s   m o i s ) < / K e y > < / D i a g r a m O b j e c t K e y > < D i a g r a m O b j e c t K e y > < K e y > C o l u m n s \ D a t e s   ( m o i s ) < / K e y > < / D i a g r a m O b j e c t K e y > < D i a g r a m O b j e c t K e y > < K e y > C o l u m n s \ D J U _ q u o t _ c h a u f f a g i s t e < / K e y > < / D i a g r a m O b j e c t K e y > < D i a g r a m O b j e c t K e y > < K e y > C o l u m n s \ D J U _ q u o t _ c l i m a t i c i e n < / K e y > < / D i a g r a m O b j e c t K e y > < D i a g r a m O b j e c t K e y > < K e y > L i n k s \ & l t ; C o l u m n s \ S o m m e   d e   C o n s o _ k W h _ P C I & g t ; - & l t ; M e a s u r e s \ C o n s o _ k W h _ P C I & g t ; < / K e y > < / D i a g r a m O b j e c t K e y > < D i a g r a m O b j e c t K e y > < K e y > L i n k s \ & l t ; C o l u m n s \ S o m m e   d e   C o n s o _ k W h _ P C I & g t ; - & l t ; M e a s u r e s \ C o n s o _ k W h _ P C I & g t ; \ C O L U M N < / K e y > < / D i a g r a m O b j e c t K e y > < D i a g r a m O b j e c t K e y > < K e y > L i n k s \ & l t ; C o l u m n s \ S o m m e   d e   C o n s o _ k W h _ P C I & g t ; - & l t ; M e a s u r e s \ C o n s o _ k W h _ P C I & g t ; \ M E A S U R E < / K e y > < / D i a g r a m O b j e c t K e y > < D i a g r a m O b j e c t K e y > < K e y > L i n k s \ & l t ; C o l u m n s \ S o m m e   d e   C o n s o _ k W h _ D E E T & g t ; - & l t ; M e a s u r e s \ C o n s o _ k W h _ D E E T & g t ; < / K e y > < / D i a g r a m O b j e c t K e y > < D i a g r a m O b j e c t K e y > < K e y > L i n k s \ & l t ; C o l u m n s \ S o m m e   d e   C o n s o _ k W h _ D E E T & g t ; - & l t ; M e a s u r e s \ C o n s o _ k W h _ D E E T & g t ; \ C O L U M N < / K e y > < / D i a g r a m O b j e c t K e y > < D i a g r a m O b j e c t K e y > < K e y > L i n k s \ & l t ; C o l u m n s \ S o m m e   d e   C o n s o _ k W h _ D E E T & g t ; - & l t ; M e a s u r e s \ C o n s o _ k W h _ D E E T & g t ; \ M E A S U R E < / K e y > < / D i a g r a m O b j e c t K e y > < D i a g r a m O b j e c t K e y > < K e y > L i n k s \ & l t ; C o l u m n s \ S o m m e   d e   C o u t _ j o u r & g t ; - & l t ; M e a s u r e s \ C o u t _ j o u r & g t ; < / K e y > < / D i a g r a m O b j e c t K e y > < D i a g r a m O b j e c t K e y > < K e y > L i n k s \ & l t ; C o l u m n s \ S o m m e   d e   C o u t _ j o u r & g t ; - & l t ; M e a s u r e s \ C o u t _ j o u r & g t ; \ C O L U M N < / K e y > < / D i a g r a m O b j e c t K e y > < D i a g r a m O b j e c t K e y > < K e y > L i n k s \ & l t ; C o l u m n s \ S o m m e   d e   C o u t _ j o u r & g t ; - & l t ; M e a s u r e s \ C o u t _ j o u r & g t ; \ M E A S U R E < / K e y > < / D i a g r a m O b j e c t K e y > < D i a g r a m O b j e c t K e y > < K e y > L i n k s \ & l t ; C o l u m n s \ S o m m e   d e   C o n s o _ k W h E P & g t ; - & l t ; M e a s u r e s \ C o n s o _ k W h E P & g t ; < / K e y > < / D i a g r a m O b j e c t K e y > < D i a g r a m O b j e c t K e y > < K e y > L i n k s \ & l t ; C o l u m n s \ S o m m e   d e   C o n s o _ k W h E P & g t ; - & l t ; M e a s u r e s \ C o n s o _ k W h E P & g t ; \ C O L U M N < / K e y > < / D i a g r a m O b j e c t K e y > < D i a g r a m O b j e c t K e y > < K e y > L i n k s \ & l t ; C o l u m n s \ S o m m e   d e   C o n s o _ k W h E P & g t ; - & l t ; M e a s u r e s \ C o n s o _ k W h E P & g t ; \ M E A S U R E < / K e y > < / D i a g r a m O b j e c t K e y > < D i a g r a m O b j e c t K e y > < K e y > L i n k s \ & l t ; C o l u m n s \ S o m m e   d e   D e m a n d e _ j o u r & g t ; - & l t ; M e a s u r e s \ D e m a n d e _ j o u r & g t ; < / K e y > < / D i a g r a m O b j e c t K e y > < D i a g r a m O b j e c t K e y > < K e y > L i n k s \ & l t ; C o l u m n s \ S o m m e   d e   D e m a n d e _ j o u r & g t ; - & l t ; M e a s u r e s \ D e m a n d e _ j o u r & g t ; \ C O L U M N < / K e y > < / D i a g r a m O b j e c t K e y > < D i a g r a m O b j e c t K e y > < K e y > L i n k s \ & l t ; C o l u m n s \ S o m m e   d e   D e m a n d e _ j o u r & g t ; - & l t ; M e a s u r e s \ D e m a n d e _ j o u r & g t ; \ M E A S U R E < / K e y > < / D i a g r a m O b j e c t K e y > < D i a g r a m O b j e c t K e y > < K e y > L i n k s \ & l t ; C o l u m n s \ M o y e n n e   d e   C o n s o _ k W h _ P C I & g t ; - & l t ; M e a s u r e s \ C o n s o _ k W h _ P C I & g t ; < / K e y > < / D i a g r a m O b j e c t K e y > < D i a g r a m O b j e c t K e y > < K e y > L i n k s \ & l t ; C o l u m n s \ M o y e n n e   d e   C o n s o _ k W h _ P C I & g t ; - & l t ; M e a s u r e s \ C o n s o _ k W h _ P C I & g t ; \ C O L U M N < / K e y > < / D i a g r a m O b j e c t K e y > < D i a g r a m O b j e c t K e y > < K e y > L i n k s \ & l t ; C o l u m n s \ M o y e n n e   d e   C o n s o _ k W h _ P C I & g t ; - & l t ; M e a s u r e s \ C o n s o _ k W h _ P C I & g t ; \ M E A S U R E < / K e y > < / D i a g r a m O b j e c t K e y > < D i a g r a m O b j e c t K e y > < K e y > L i n k s \ & l t ; C o l u m n s \ M o y e n n e   d e   C o n s o _ k W h _ D E E T & g t ; - & l t ; M e a s u r e s \ C o n s o _ k W h _ D E E T & g t ; < / K e y > < / D i a g r a m O b j e c t K e y > < D i a g r a m O b j e c t K e y > < K e y > L i n k s \ & l t ; C o l u m n s \ M o y e n n e   d e   C o n s o _ k W h _ D E E T & g t ; - & l t ; M e a s u r e s \ C o n s o _ k W h _ D E E T & g t ; \ C O L U M N < / K e y > < / D i a g r a m O b j e c t K e y > < D i a g r a m O b j e c t K e y > < K e y > L i n k s \ & l t ; C o l u m n s \ M o y e n n e   d e   C o n s o _ k W h _ D E E T & g t ; - & l t ; M e a s u r e s \ C o n s o _ k W h _ D E E T & g t ; \ M E A S U R E < / K e y > < / D i a g r a m O b j e c t K e y > < D i a g r a m O b j e c t K e y > < K e y > L i n k s \ & l t ; C o l u m n s \ S o m m e   d e   C o u t _ u n i t a i r e & g t ; - & l t ; M e a s u r e s \ C o u t _ u n i t a i r e & g t ; < / K e y > < / D i a g r a m O b j e c t K e y > < D i a g r a m O b j e c t K e y > < K e y > L i n k s \ & l t ; C o l u m n s \ S o m m e   d e   C o u t _ u n i t a i r e & g t ; - & l t ; M e a s u r e s \ C o u t _ u n i t a i r e & g t ; \ C O L U M N < / K e y > < / D i a g r a m O b j e c t K e y > < D i a g r a m O b j e c t K e y > < K e y > L i n k s \ & l t ; C o l u m n s \ S o m m e   d e   C o u t _ u n i t a i r e & g t ; - & l t ; M e a s u r e s \ C o u t _ u n i t a i r e & g t ; \ M E A S U R E < / K e y > < / D i a g r a m O b j e c t K e y > < D i a g r a m O b j e c t K e y > < K e y > L i n k s \ & l t ; C o l u m n s \ S o m m e   d e   D J U _ q u o t _ c h a u f f a g i s t e & g t ; - & l t ; M e a s u r e s \ D J U _ q u o t _ c h a u f f a g i s t e & g t ; < / K e y > < / D i a g r a m O b j e c t K e y > < D i a g r a m O b j e c t K e y > < K e y > L i n k s \ & l t ; C o l u m n s \ S o m m e   d e   D J U _ q u o t _ c h a u f f a g i s t e & g t ; - & l t ; M e a s u r e s \ D J U _ q u o t _ c h a u f f a g i s t e & g t ; \ C O L U M N < / K e y > < / D i a g r a m O b j e c t K e y > < D i a g r a m O b j e c t K e y > < K e y > L i n k s \ & l t ; C o l u m n s \ S o m m e   d e   D J U _ q u o t _ c h a u f f a g i s t e & g t ; - & l t ; M e a s u r e s \ D J U _ q u o t _ c h a u f f a g i s t e & g t ; \ M E A S U R E < / K e y > < / D i a g r a m O b j e c t K e y > < D i a g r a m O b j e c t K e y > < K e y > L i n k s \ & l t ; C o l u m n s \ M o y e n n e   d e   C o u t _ u n i t a i r e & g t ; - & l t ; M e a s u r e s \ C o u t _ u n i t a i r e & g t ; < / K e y > < / D i a g r a m O b j e c t K e y > < D i a g r a m O b j e c t K e y > < K e y > L i n k s \ & l t ; C o l u m n s \ M o y e n n e   d e   C o u t _ u n i t a i r e & g t ; - & l t ; M e a s u r e s \ C o u t _ u n i t a i r e & g t ; \ C O L U M N < / K e y > < / D i a g r a m O b j e c t K e y > < D i a g r a m O b j e c t K e y > < K e y > L i n k s \ & l t ; C o l u m n s \ M o y e n n e   d e   C o u t _ u n i t a i r e & g t ; - & l t ; M e a s u r e s \ C o u t _ u n i t a i r e & g t ; \ M E A S U R E < / K e y > < / D i a g r a m O b j e c t K e y > < D i a g r a m O b j e c t K e y > < K e y > L i n k s \ & l t ; C o l u m n s \ T o t a l   d i s t i n c t   d e   C o u t _ u n i t a i r e & g t ; - & l t ; M e a s u r e s \ C o u t _ u n i t a i r e & g t ; < / K e y > < / D i a g r a m O b j e c t K e y > < D i a g r a m O b j e c t K e y > < K e y > L i n k s \ & l t ; C o l u m n s \ T o t a l   d i s t i n c t   d e   C o u t _ u n i t a i r e & g t ; - & l t ; M e a s u r e s \ C o u t _ u n i t a i r e & g t ; \ C O L U M N < / K e y > < / D i a g r a m O b j e c t K e y > < D i a g r a m O b j e c t K e y > < K e y > L i n k s \ & l t ; C o l u m n s \ T o t a l   d i s t i n c t   d e   C o u t _ u n i t a i r e & g t ; - & l t ; M e a s u r e s \ C o u t _ u n i t a i r e & g t ; \ M E A S U R E 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 M e a s u r e s \ C o n s o _ D J U < / K e y > < / a : K e y > < a : V a l u e   i : t y p e = " M e a s u r e G r i d N o d e V i e w S t a t e " > < L a y e d O u t > t r u e < / L a y e d O u t > < / a : V a l u e > < / a : K e y V a l u e O f D i a g r a m O b j e c t K e y a n y T y p e z b w N T n L X > < a : K e y V a l u e O f D i a g r a m O b j e c t K e y a n y T y p e z b w N T n L X > < a : K e y > < K e y > M e a s u r e s \ C o n s o _ D J U \ T a g I n f o \ F o r m u l e < / K e y > < / a : K e y > < a : V a l u e   i : t y p e = " M e a s u r e G r i d V i e w S t a t e I D i a g r a m T a g A d d i t i o n a l I n f o " / > < / a : K e y V a l u e O f D i a g r a m O b j e c t K e y a n y T y p e z b w N T n L X > < a : K e y V a l u e O f D i a g r a m O b j e c t K e y a n y T y p e z b w N T n L X > < a : K e y > < K e y > M e a s u r e s \ C o n s o _ D J U \ T a g I n f o \ V a l e u r < / K e y > < / a : K e y > < a : V a l u e   i : t y p e = " M e a s u r e G r i d V i e w S t a t e I D i a g r a m T a g A d d i t i o n a l I n f o " / > < / a : K e y V a l u e O f D i a g r a m O b j e c t K e y a n y T y p e z b w N T n L X > < a : K e y V a l u e O f D i a g r a m O b j e c t K e y a n y T y p e z b w N T n L X > < a : K e y > < K e y > M e a s u r e s \ C o u t   U n i t a i r e   M o y e n < / K e y > < / a : K e y > < a : V a l u e   i : t y p e = " M e a s u r e G r i d N o d e V i e w S t a t e " > < L a y e d O u t > t r u e < / L a y e d O u t > < R o w > 1 < / R o w > < / a : V a l u e > < / a : K e y V a l u e O f D i a g r a m O b j e c t K e y a n y T y p e z b w N T n L X > < a : K e y V a l u e O f D i a g r a m O b j e c t K e y a n y T y p e z b w N T n L X > < a : K e y > < K e y > M e a s u r e s \ C o u t   U n i t a i r e   M o y e n \ T a g I n f o \ F o r m u l e < / K e y > < / a : K e y > < a : V a l u e   i : t y p e = " M e a s u r e G r i d V i e w S t a t e I D i a g r a m T a g A d d i t i o n a l I n f o " / > < / a : K e y V a l u e O f D i a g r a m O b j e c t K e y a n y T y p e z b w N T n L X > < a : K e y V a l u e O f D i a g r a m O b j e c t K e y a n y T y p e z b w N T n L X > < a : K e y > < K e y > M e a s u r e s \ C o u t   U n i t a i r e   M o y e n \ T a g I n f o \ V a l e u r < / K e y > < / a : K e y > < a : V a l u e   i : t y p e = " M e a s u r e G r i d V i e w S t a t e I D i a g r a m T a g A d d i t i o n a l I n f o " / > < / a : K e y V a l u e O f D i a g r a m O b j e c t K e y a n y T y p e z b w N T n L X > < a : K e y V a l u e O f D i a g r a m O b j e c t K e y a n y T y p e z b w N T n L X > < a : K e y > < K e y > M e a s u r e s \ S o m m e   d e   C o n s o _ k W h _ P C I < / K e y > < / a : K e y > < a : V a l u e   i : t y p e = " M e a s u r e G r i d N o d e V i e w S t a t e " > < C o l u m n > 7 < / C o l u m n > < L a y e d O u t > t r u e < / L a y e d O u t > < W a s U I I n v i s i b l e > t r u e < / W a s U I I n v i s i b l e > < / a : V a l u e > < / a : K e y V a l u e O f D i a g r a m O b j e c t K e y a n y T y p e z b w N T n L X > < a : K e y V a l u e O f D i a g r a m O b j e c t K e y a n y T y p e z b w N T n L X > < a : K e y > < K e y > M e a s u r e s \ S o m m e   d e   C o n s o _ k W h _ P C I \ T a g I n f o \ F o r m u l e < / K e y > < / a : K e y > < a : V a l u e   i : t y p e = " M e a s u r e G r i d V i e w S t a t e I D i a g r a m T a g A d d i t i o n a l I n f o " / > < / a : K e y V a l u e O f D i a g r a m O b j e c t K e y a n y T y p e z b w N T n L X > < a : K e y V a l u e O f D i a g r a m O b j e c t K e y a n y T y p e z b w N T n L X > < a : K e y > < K e y > M e a s u r e s \ S o m m e   d e   C o n s o _ k W h _ P C I \ T a g I n f o \ V a l e u r < / K e y > < / a : K e y > < a : V a l u e   i : t y p e = " M e a s u r e G r i d V i e w S t a t e I D i a g r a m T a g A d d i t i o n a l I n f o " / > < / a : K e y V a l u e O f D i a g r a m O b j e c t K e y a n y T y p e z b w N T n L X > < a : K e y V a l u e O f D i a g r a m O b j e c t K e y a n y T y p e z b w N T n L X > < a : K e y > < K e y > M e a s u r e s \ S o m m e   d e   C o n s o _ k W h _ D E E T < / K e y > < / a : K e y > < a : V a l u e   i : t y p e = " M e a s u r e G r i d N o d e V i e w S t a t e " > < C o l u m n > 8 < / C o l u m n > < L a y e d O u t > t r u e < / L a y e d O u t > < W a s U I I n v i s i b l e > t r u e < / W a s U I I n v i s i b l e > < / a : V a l u e > < / a : K e y V a l u e O f D i a g r a m O b j e c t K e y a n y T y p e z b w N T n L X > < a : K e y V a l u e O f D i a g r a m O b j e c t K e y a n y T y p e z b w N T n L X > < a : K e y > < K e y > M e a s u r e s \ S o m m e   d e   C o n s o _ k W h _ D E E T \ T a g I n f o \ F o r m u l e < / K e y > < / a : K e y > < a : V a l u e   i : t y p e = " M e a s u r e G r i d V i e w S t a t e I D i a g r a m T a g A d d i t i o n a l I n f o " / > < / a : K e y V a l u e O f D i a g r a m O b j e c t K e y a n y T y p e z b w N T n L X > < a : K e y V a l u e O f D i a g r a m O b j e c t K e y a n y T y p e z b w N T n L X > < a : K e y > < K e y > M e a s u r e s \ S o m m e   d e   C o n s o _ k W h _ D E E T \ T a g I n f o \ V a l e u r < / K e y > < / a : K e y > < a : V a l u e   i : t y p e = " M e a s u r e G r i d V i e w S t a t e I D i a g r a m T a g A d d i t i o n a l I n f o " / > < / a : K e y V a l u e O f D i a g r a m O b j e c t K e y a n y T y p e z b w N T n L X > < a : K e y V a l u e O f D i a g r a m O b j e c t K e y a n y T y p e z b w N T n L X > < a : K e y > < K e y > M e a s u r e s \ S o m m e   d e   C o u t _ j o u r < / K e y > < / a : K e y > < a : V a l u e   i : t y p e = " M e a s u r e G r i d N o d e V i e w S t a t e " > < C o l u m n > 1 < / C o l u m n > < L a y e d O u t > t r u e < / L a y e d O u t > < W a s U I I n v i s i b l e > t r u e < / W a s U I I n v i s i b l e > < / a : V a l u e > < / a : K e y V a l u e O f D i a g r a m O b j e c t K e y a n y T y p e z b w N T n L X > < a : K e y V a l u e O f D i a g r a m O b j e c t K e y a n y T y p e z b w N T n L X > < a : K e y > < K e y > M e a s u r e s \ S o m m e   d e   C o u t _ j o u r \ T a g I n f o \ F o r m u l e < / K e y > < / a : K e y > < a : V a l u e   i : t y p e = " M e a s u r e G r i d V i e w S t a t e I D i a g r a m T a g A d d i t i o n a l I n f o " / > < / a : K e y V a l u e O f D i a g r a m O b j e c t K e y a n y T y p e z b w N T n L X > < a : K e y V a l u e O f D i a g r a m O b j e c t K e y a n y T y p e z b w N T n L X > < a : K e y > < K e y > M e a s u r e s \ S o m m e   d e   C o u t _ j o u r \ T a g I n f o \ V a l e u r < / K e y > < / a : K e y > < a : V a l u e   i : t y p e = " M e a s u r e G r i d V i e w S t a t e I D i a g r a m T a g A d d i t i o n a l I n f o " / > < / a : K e y V a l u e O f D i a g r a m O b j e c t K e y a n y T y p e z b w N T n L X > < a : K e y V a l u e O f D i a g r a m O b j e c t K e y a n y T y p e z b w N T n L X > < a : K e y > < K e y > M e a s u r e s \ S o m m e   d e   C o n s o _ k W h E P < / K e y > < / a : K e y > < a : V a l u e   i : t y p e = " M e a s u r e G r i d N o d e V i e w S t a t e " > < C o l u m n > 1 1 < / C o l u m n > < L a y e d O u t > t r u e < / L a y e d O u t > < W a s U I I n v i s i b l e > t r u e < / W a s U I I n v i s i b l e > < / a : V a l u e > < / a : K e y V a l u e O f D i a g r a m O b j e c t K e y a n y T y p e z b w N T n L X > < a : K e y V a l u e O f D i a g r a m O b j e c t K e y a n y T y p e z b w N T n L X > < a : K e y > < K e y > M e a s u r e s \ S o m m e   d e   C o n s o _ k W h E P \ T a g I n f o \ F o r m u l e < / K e y > < / a : K e y > < a : V a l u e   i : t y p e = " M e a s u r e G r i d V i e w S t a t e I D i a g r a m T a g A d d i t i o n a l I n f o " / > < / a : K e y V a l u e O f D i a g r a m O b j e c t K e y a n y T y p e z b w N T n L X > < a : K e y V a l u e O f D i a g r a m O b j e c t K e y a n y T y p e z b w N T n L X > < a : K e y > < K e y > M e a s u r e s \ S o m m e   d e   C o n s o _ k W h E P \ T a g I n f o \ V a l e u r < / K e y > < / a : K e y > < a : V a l u e   i : t y p e = " M e a s u r e G r i d V i e w S t a t e I D i a g r a m T a g A d d i t i o n a l I n f o " / > < / a : K e y V a l u e O f D i a g r a m O b j e c t K e y a n y T y p e z b w N T n L X > < a : K e y V a l u e O f D i a g r a m O b j e c t K e y a n y T y p e z b w N T n L X > < a : K e y > < K e y > M e a s u r e s \ S o m m e   d e   D e m a n d e _ j o u r < / K e y > < / a : K e y > < a : V a l u e   i : t y p e = " M e a s u r e G r i d N o d e V i e w S t a t e " > < L a y e d O u t > t r u e < / L a y e d O u t > < W a s U I I n v i s i b l e > t r u e < / W a s U I I n v i s i b l e > < / a : V a l u e > < / a : K e y V a l u e O f D i a g r a m O b j e c t K e y a n y T y p e z b w N T n L X > < a : K e y V a l u e O f D i a g r a m O b j e c t K e y a n y T y p e z b w N T n L X > < a : K e y > < K e y > M e a s u r e s \ S o m m e   d e   D e m a n d e _ j o u r \ T a g I n f o \ F o r m u l e < / K e y > < / a : K e y > < a : V a l u e   i : t y p e = " M e a s u r e G r i d V i e w S t a t e I D i a g r a m T a g A d d i t i o n a l I n f o " / > < / a : K e y V a l u e O f D i a g r a m O b j e c t K e y a n y T y p e z b w N T n L X > < a : K e y V a l u e O f D i a g r a m O b j e c t K e y a n y T y p e z b w N T n L X > < a : K e y > < K e y > M e a s u r e s \ S o m m e   d e   D e m a n d e _ j o u r \ T a g I n f o \ V a l e u r < / K e y > < / a : K e y > < a : V a l u e   i : t y p e = " M e a s u r e G r i d V i e w S t a t e I D i a g r a m T a g A d d i t i o n a l I n f o " / > < / a : K e y V a l u e O f D i a g r a m O b j e c t K e y a n y T y p e z b w N T n L X > < a : K e y V a l u e O f D i a g r a m O b j e c t K e y a n y T y p e z b w N T n L X > < a : K e y > < K e y > M e a s u r e s \ M o y e n n e   d e   C o n s o _ k W h _ P C I < / K e y > < / a : K e y > < a : V a l u e   i : t y p e = " M e a s u r e G r i d N o d e V i e w S t a t e " > < C o l u m n > 7 < / C o l u m n > < L a y e d O u t > t r u e < / L a y e d O u t > < W a s U I I n v i s i b l e > t r u e < / W a s U I I n v i s i b l e > < / a : V a l u e > < / a : K e y V a l u e O f D i a g r a m O b j e c t K e y a n y T y p e z b w N T n L X > < a : K e y V a l u e O f D i a g r a m O b j e c t K e y a n y T y p e z b w N T n L X > < a : K e y > < K e y > M e a s u r e s \ M o y e n n e   d e   C o n s o _ k W h _ P C I \ T a g I n f o \ F o r m u l e < / K e y > < / a : K e y > < a : V a l u e   i : t y p e = " M e a s u r e G r i d V i e w S t a t e I D i a g r a m T a g A d d i t i o n a l I n f o " / > < / a : K e y V a l u e O f D i a g r a m O b j e c t K e y a n y T y p e z b w N T n L X > < a : K e y V a l u e O f D i a g r a m O b j e c t K e y a n y T y p e z b w N T n L X > < a : K e y > < K e y > M e a s u r e s \ M o y e n n e   d e   C o n s o _ k W h _ P C I \ T a g I n f o \ V a l e u r < / K e y > < / a : K e y > < a : V a l u e   i : t y p e = " M e a s u r e G r i d V i e w S t a t e I D i a g r a m T a g A d d i t i o n a l I n f o " / > < / a : K e y V a l u e O f D i a g r a m O b j e c t K e y a n y T y p e z b w N T n L X > < a : K e y V a l u e O f D i a g r a m O b j e c t K e y a n y T y p e z b w N T n L X > < a : K e y > < K e y > M e a s u r e s \ M o y e n n e   d e   C o n s o _ k W h _ D E E T < / K e y > < / a : K e y > < a : V a l u e   i : t y p e = " M e a s u r e G r i d N o d e V i e w S t a t e " > < C o l u m n > 8 < / C o l u m n > < L a y e d O u t > t r u e < / L a y e d O u t > < W a s U I I n v i s i b l e > t r u e < / W a s U I I n v i s i b l e > < / a : V a l u e > < / a : K e y V a l u e O f D i a g r a m O b j e c t K e y a n y T y p e z b w N T n L X > < a : K e y V a l u e O f D i a g r a m O b j e c t K e y a n y T y p e z b w N T n L X > < a : K e y > < K e y > M e a s u r e s \ M o y e n n e   d e   C o n s o _ k W h _ D E E T \ T a g I n f o \ F o r m u l e < / K e y > < / a : K e y > < a : V a l u e   i : t y p e = " M e a s u r e G r i d V i e w S t a t e I D i a g r a m T a g A d d i t i o n a l I n f o " / > < / a : K e y V a l u e O f D i a g r a m O b j e c t K e y a n y T y p e z b w N T n L X > < a : K e y V a l u e O f D i a g r a m O b j e c t K e y a n y T y p e z b w N T n L X > < a : K e y > < K e y > M e a s u r e s \ M o y e n n e   d e   C o n s o _ k W h _ D E E T \ T a g I n f o \ V a l e u r < / K e y > < / a : K e y > < a : V a l u e   i : t y p e = " M e a s u r e G r i d V i e w S t a t e I D i a g r a m T a g A d d i t i o n a l I n f o " / > < / a : K e y V a l u e O f D i a g r a m O b j e c t K e y a n y T y p e z b w N T n L X > < a : K e y V a l u e O f D i a g r a m O b j e c t K e y a n y T y p e z b w N T n L X > < a : K e y > < K e y > M e a s u r e s \ S o m m e   d e   C o u t _ u n i t a i r e < / K e y > < / a : K e y > < a : V a l u e   i : t y p e = " M e a s u r e G r i d N o d e V i e w S t a t e " > < C o l u m n > 1 4 < / C o l u m n > < L a y e d O u t > t r u e < / L a y e d O u t > < W a s U I I n v i s i b l e > t r u e < / W a s U I I n v i s i b l e > < / a : V a l u e > < / a : K e y V a l u e O f D i a g r a m O b j e c t K e y a n y T y p e z b w N T n L X > < a : K e y V a l u e O f D i a g r a m O b j e c t K e y a n y T y p e z b w N T n L X > < a : K e y > < K e y > M e a s u r e s \ S o m m e   d e   C o u t _ u n i t a i r e \ T a g I n f o \ F o r m u l e < / K e y > < / a : K e y > < a : V a l u e   i : t y p e = " M e a s u r e G r i d V i e w S t a t e I D i a g r a m T a g A d d i t i o n a l I n f o " / > < / a : K e y V a l u e O f D i a g r a m O b j e c t K e y a n y T y p e z b w N T n L X > < a : K e y V a l u e O f D i a g r a m O b j e c t K e y a n y T y p e z b w N T n L X > < a : K e y > < K e y > M e a s u r e s \ S o m m e   d e   C o u t _ u n i t a i r e \ T a g I n f o \ V a l e u r < / K e y > < / a : K e y > < a : V a l u e   i : t y p e = " M e a s u r e G r i d V i e w S t a t e I D i a g r a m T a g A d d i t i o n a l I n f o " / > < / a : K e y V a l u e O f D i a g r a m O b j e c t K e y a n y T y p e z b w N T n L X > < a : K e y V a l u e O f D i a g r a m O b j e c t K e y a n y T y p e z b w N T n L X > < a : K e y > < K e y > M e a s u r e s \ S o m m e   d e   D J U _ q u o t _ c h a u f f a g i s t e < / K e y > < / a : K e y > < a : V a l u e   i : t y p e = " M e a s u r e G r i d N o d e V i e w S t a t e " > < C o l u m n > 2 1 < / C o l u m n > < L a y e d O u t > t r u e < / L a y e d O u t > < W a s U I I n v i s i b l e > t r u e < / W a s U I I n v i s i b l e > < / a : V a l u e > < / a : K e y V a l u e O f D i a g r a m O b j e c t K e y a n y T y p e z b w N T n L X > < a : K e y V a l u e O f D i a g r a m O b j e c t K e y a n y T y p e z b w N T n L X > < a : K e y > < K e y > M e a s u r e s \ S o m m e   d e   D J U _ q u o t _ c h a u f f a g i s t e \ T a g I n f o \ F o r m u l e < / K e y > < / a : K e y > < a : V a l u e   i : t y p e = " M e a s u r e G r i d V i e w S t a t e I D i a g r a m T a g A d d i t i o n a l I n f o " / > < / a : K e y V a l u e O f D i a g r a m O b j e c t K e y a n y T y p e z b w N T n L X > < a : K e y V a l u e O f D i a g r a m O b j e c t K e y a n y T y p e z b w N T n L X > < a : K e y > < K e y > M e a s u r e s \ S o m m e   d e   D J U _ q u o t _ c h a u f f a g i s t e \ T a g I n f o \ V a l e u r < / K e y > < / a : K e y > < a : V a l u e   i : t y p e = " M e a s u r e G r i d V i e w S t a t e I D i a g r a m T a g A d d i t i o n a l I n f o " / > < / a : K e y V a l u e O f D i a g r a m O b j e c t K e y a n y T y p e z b w N T n L X > < a : K e y V a l u e O f D i a g r a m O b j e c t K e y a n y T y p e z b w N T n L X > < a : K e y > < K e y > M e a s u r e s \ M o y e n n e   d e   C o u t _ u n i t a i r e < / K e y > < / a : K e y > < a : V a l u e   i : t y p e = " M e a s u r e G r i d N o d e V i e w S t a t e " > < C o l u m n > 1 4 < / C o l u m n > < L a y e d O u t > t r u e < / L a y e d O u t > < W a s U I I n v i s i b l e > t r u e < / W a s U I I n v i s i b l e > < / a : V a l u e > < / a : K e y V a l u e O f D i a g r a m O b j e c t K e y a n y T y p e z b w N T n L X > < a : K e y V a l u e O f D i a g r a m O b j e c t K e y a n y T y p e z b w N T n L X > < a : K e y > < K e y > M e a s u r e s \ M o y e n n e   d e   C o u t _ u n i t a i r e \ T a g I n f o \ F o r m u l e < / K e y > < / a : K e y > < a : V a l u e   i : t y p e = " M e a s u r e G r i d V i e w S t a t e I D i a g r a m T a g A d d i t i o n a l I n f o " / > < / a : K e y V a l u e O f D i a g r a m O b j e c t K e y a n y T y p e z b w N T n L X > < a : K e y V a l u e O f D i a g r a m O b j e c t K e y a n y T y p e z b w N T n L X > < a : K e y > < K e y > M e a s u r e s \ M o y e n n e   d e   C o u t _ u n i t a i r e \ T a g I n f o \ V a l e u r < / K e y > < / a : K e y > < a : V a l u e   i : t y p e = " M e a s u r e G r i d V i e w S t a t e I D i a g r a m T a g A d d i t i o n a l I n f o " / > < / a : K e y V a l u e O f D i a g r a m O b j e c t K e y a n y T y p e z b w N T n L X > < a : K e y V a l u e O f D i a g r a m O b j e c t K e y a n y T y p e z b w N T n L X > < a : K e y > < K e y > M e a s u r e s \ T o t a l   d i s t i n c t   d e   C o u t _ u n i t a i r e < / K e y > < / a : K e y > < a : V a l u e   i : t y p e = " M e a s u r e G r i d N o d e V i e w S t a t e " > < C o l u m n > 1 4 < / C o l u m n > < L a y e d O u t > t r u e < / L a y e d O u t > < W a s U I I n v i s i b l e > t r u e < / W a s U I I n v i s i b l e > < / a : V a l u e > < / a : K e y V a l u e O f D i a g r a m O b j e c t K e y a n y T y p e z b w N T n L X > < a : K e y V a l u e O f D i a g r a m O b j e c t K e y a n y T y p e z b w N T n L X > < a : K e y > < K e y > M e a s u r e s \ T o t a l   d i s t i n c t   d e   C o u t _ u n i t a i r e \ T a g I n f o \ F o r m u l e < / K e y > < / a : K e y > < a : V a l u e   i : t y p e = " M e a s u r e G r i d V i e w S t a t e I D i a g r a m T a g A d d i t i o n a l I n f o " / > < / a : K e y V a l u e O f D i a g r a m O b j e c t K e y a n y T y p e z b w N T n L X > < a : K e y V a l u e O f D i a g r a m O b j e c t K e y a n y T y p e z b w N T n L X > < a : K e y > < K e y > M e a s u r e s \ T o t a l   d i s t i n c t   d e   C o u t _ u n i t a i r e \ T a g I n f o \ V a l e u r < / K e y > < / a : K e y > < a : V a l u e   i : t y p e = " M e a s u r e G r i d V i e w S t a t e I D i a g r a m T a g A d d i t i o n a l I n f o " / > < / a : K e y V a l u e O f D i a g r a m O b j e c t K e y a n y T y p e z b w N T n L X > < a : K e y V a l u e O f D i a g r a m O b j e c t K e y a n y T y p e z b w N T n L X > < a : K e y > < K e y > C o l u m n s \ C o m p t e u r < / K e y > < / a : K e y > < a : V a l u e   i : t y p e = " M e a s u r e G r i d N o d e V i e w S t a t e " > < C o l u m n > 2 < / C o l u m n > < L a y e d O u t > t r u e < / L a y e d O u t > < / a : V a l u e > < / a : K e y V a l u e O f D i a g r a m O b j e c t K e y a n y T y p e z b w N T n L X > < a : K e y V a l u e O f D i a g r a m O b j e c t K e y a n y T y p e z b w N T n L X > < a : K e y > < K e y > C o l u m n s \ D a t e s < / K e y > < / a : K e y > < a : V a l u e   i : t y p e = " M e a s u r e G r i d N o d e V i e w S t a t e " > < C o l u m n > 3 < / C o l u m n > < L a y e d O u t > t r u e < / L a y e d O u t > < / a : V a l u e > < / a : K e y V a l u e O f D i a g r a m O b j e c t K e y a n y T y p e z b w N T n L X > < a : K e y V a l u e O f D i a g r a m O b j e c t K e y a n y T y p e z b w N T n L X > < a : K e y > < K e y > C o l u m n s \ D e m a n d e _ j o u r < / K e y > < / a : K e y > < a : V a l u e   i : t y p e = " M e a s u r e G r i d N o d e V i e w S t a t e " > < L a y e d O u t > t r u e < / L a y e d O u t > < / a : V a l u e > < / a : K e y V a l u e O f D i a g r a m O b j e c t K e y a n y T y p e z b w N T n L X > < a : K e y V a l u e O f D i a g r a m O b j e c t K e y a n y T y p e z b w N T n L X > < a : K e y > < K e y > C o l u m n s \ C o u t _ j o u r < / K e y > < / a : K e y > < a : V a l u e   i : t y p e = " M e a s u r e G r i d N o d e V i e w S t a t e " > < C o l u m n > 1 < / C o l u m n > < L a y e d O u t > t r u e < / L a y e d O u t > < / a : V a l u e > < / a : K e y V a l u e O f D i a g r a m O b j e c t K e y a n y T y p e z b w N T n L X > < a : K e y V a l u e O f D i a g r a m O b j e c t K e y a n y T y p e z b w N T n L X > < a : K e y > < K e y > C o l u m n s \ D J U _ c h a u f f a g i s t e < / K e y > < / a : K e y > < a : V a l u e   i : t y p e = " M e a s u r e G r i d N o d e V i e w S t a t e " > < C o l u m n > 1 9 < / C o l u m n > < L a y e d O u t > t r u e < / L a y e d O u t > < / a : V a l u e > < / a : K e y V a l u e O f D i a g r a m O b j e c t K e y a n y T y p e z b w N T n L X > < a : K e y V a l u e O f D i a g r a m O b j e c t K e y a n y T y p e z b w N T n L X > < a : K e y > < K e y > C o l u m n s \ D J U _ c l i m a t i c i e n < / K e y > < / a : K e y > < a : V a l u e   i : t y p e = " M e a s u r e G r i d N o d e V i e w S t a t e " > < C o l u m n > 2 0 < / C o l u m n > < L a y e d O u t > t r u e < / L a y e d O u t > < / a : V a l u e > < / a : K e y V a l u e O f D i a g r a m O b j e c t K e y a n y T y p e z b w N T n L X > < a : K e y V a l u e O f D i a g r a m O b j e c t K e y a n y T y p e z b w N T n L X > < a : K e y > < K e y > C o l u m n s \ C o l o n n e 2 < / K e y > < / a : K e y > < a : V a l u e   i : t y p e = " M e a s u r e G r i d N o d e V i e w S t a t e " > < C o l u m n > 2 3 < / C o l u m n > < L a y e d O u t > t r u e < / L a y e d O u t > < / a : V a l u e > < / a : K e y V a l u e O f D i a g r a m O b j e c t K e y a n y T y p e z b w N T n L X > < a : K e y V a l u e O f D i a g r a m O b j e c t K e y a n y T y p e z b w N T n L X > < a : K e y > < K e y > C o l u m n s \ T y p e < / K e y > < / a : K e y > < a : V a l u e   i : t y p e = " M e a s u r e G r i d N o d e V i e w S t a t e " > < C o l u m n > 4 < / C o l u m n > < L a y e d O u t > t r u e < / L a y e d O u t > < / a : V a l u e > < / a : K e y V a l u e O f D i a g r a m O b j e c t K e y a n y T y p e z b w N T n L X > < a : K e y V a l u e O f D i a g r a m O b j e c t K e y a n y T y p e z b w N T n L X > < a : K e y > < K e y > C o l u m n s \ S o u r c e < / K e y > < / a : K e y > < a : V a l u e   i : t y p e = " M e a s u r e G r i d N o d e V i e w S t a t e " > < C o l u m n > 5 < / C o l u m n > < L a y e d O u t > t r u e < / L a y e d O u t > < / a : V a l u e > < / a : K e y V a l u e O f D i a g r a m O b j e c t K e y a n y T y p e z b w N T n L X > < a : K e y V a l u e O f D i a g r a m O b j e c t K e y a n y T y p e z b w N T n L X > < a : K e y > < K e y > C o l u m n s \ C o m b u s t i b l e < / K e y > < / a : K e y > < a : V a l u e   i : t y p e = " M e a s u r e G r i d N o d e V i e w S t a t e " > < C o l u m n > 6 < / C o l u m n > < L a y e d O u t > t r u e < / L a y e d O u t > < / a : V a l u e > < / a : K e y V a l u e O f D i a g r a m O b j e c t K e y a n y T y p e z b w N T n L X > < a : K e y V a l u e O f D i a g r a m O b j e c t K e y a n y T y p e z b w N T n L X > < a : K e y > < K e y > C o l u m n s \ C o n s o _ k W h _ P C I < / K e y > < / a : K e y > < a : V a l u e   i : t y p e = " M e a s u r e G r i d N o d e V i e w S t a t e " > < C o l u m n > 7 < / C o l u m n > < L a y e d O u t > t r u e < / L a y e d O u t > < / a : V a l u e > < / a : K e y V a l u e O f D i a g r a m O b j e c t K e y a n y T y p e z b w N T n L X > < a : K e y V a l u e O f D i a g r a m O b j e c t K e y a n y T y p e z b w N T n L X > < a : K e y > < K e y > C o l u m n s \ C o n s o _ k W h _ D E E T < / K e y > < / a : K e y > < a : V a l u e   i : t y p e = " M e a s u r e G r i d N o d e V i e w S t a t e " > < C o l u m n > 8 < / C o l u m n > < L a y e d O u t > t r u e < / L a y e d O u t > < / a : V a l u e > < / a : K e y V a l u e O f D i a g r a m O b j e c t K e y a n y T y p e z b w N T n L X > < a : K e y V a l u e O f D i a g r a m O b j e c t K e y a n y T y p e z b w N T n L X > < a : K e y > < K e y > C o l u m n s \ N o m < / K e y > < / a : K e y > < a : V a l u e   i : t y p e = " M e a s u r e G r i d N o d e V i e w S t a t e " > < C o l u m n > 9 < / C o l u m n > < L a y e d O u t > t r u e < / L a y e d O u t > < / a : V a l u e > < / a : K e y V a l u e O f D i a g r a m O b j e c t K e y a n y T y p e z b w N T n L X > < a : K e y V a l u e O f D i a g r a m O b j e c t K e y a n y T y p e z b w N T n L X > < a : K e y > < K e y > C o l u m n s \ D e t a i l   u s a g e < / K e y > < / a : K e y > < a : V a l u e   i : t y p e = " M e a s u r e G r i d N o d e V i e w S t a t e " > < C o l u m n > 1 0 < / C o l u m n > < L a y e d O u t > t r u e < / L a y e d O u t > < / a : V a l u e > < / a : K e y V a l u e O f D i a g r a m O b j e c t K e y a n y T y p e z b w N T n L X > < a : K e y V a l u e O f D i a g r a m O b j e c t K e y a n y T y p e z b w N T n L X > < a : K e y > < K e y > C o l u m n s \ C o n s o _ k W h E P < / K e y > < / a : K e y > < a : V a l u e   i : t y p e = " M e a s u r e G r i d N o d e V i e w S t a t e " > < C o l u m n > 1 1 < / C o l u m n > < L a y e d O u t > t r u e < / L a y e d O u t > < / a : V a l u e > < / a : K e y V a l u e O f D i a g r a m O b j e c t K e y a n y T y p e z b w N T n L X > < a : K e y V a l u e O f D i a g r a m O b j e c t K e y a n y T y p e z b w N T n L X > < a : K e y > < K e y > C o l u m n s \ A n n e e < / K e y > < / a : K e y > < a : V a l u e   i : t y p e = " M e a s u r e G r i d N o d e V i e w S t a t e " > < C o l u m n > 1 2 < / C o l u m n > < L a y e d O u t > t r u e < / L a y e d O u t > < / a : V a l u e > < / a : K e y V a l u e O f D i a g r a m O b j e c t K e y a n y T y p e z b w N T n L X > < a : K e y V a l u e O f D i a g r a m O b j e c t K e y a n y T y p e z b w N T n L X > < a : K e y > < K e y > C o l u m n s \ M o i s < / K e y > < / a : K e y > < a : V a l u e   i : t y p e = " M e a s u r e G r i d N o d e V i e w S t a t e " > < C o l u m n > 1 3 < / C o l u m n > < L a y e d O u t > t r u e < / L a y e d O u t > < / a : V a l u e > < / a : K e y V a l u e O f D i a g r a m O b j e c t K e y a n y T y p e z b w N T n L X > < a : K e y V a l u e O f D i a g r a m O b j e c t K e y a n y T y p e z b w N T n L X > < a : K e y > < K e y > C o l u m n s \ C o u t _ u n i t a i r e < / K e y > < / a : K e y > < a : V a l u e   i : t y p e = " M e a s u r e G r i d N o d e V i e w S t a t e " > < C o l u m n > 1 4 < / C o l u m n > < L a y e d O u t > t r u e < / L a y e d O u t > < / a : V a l u e > < / a : K e y V a l u e O f D i a g r a m O b j e c t K e y a n y T y p e z b w N T n L X > < a : K e y V a l u e O f D i a g r a m O b j e c t K e y a n y T y p e z b w N T n L X > < a : K e y > < K e y > C o l u m n s \ D a t e s   ( a n n � e ) < / K e y > < / a : K e y > < a : V a l u e   i : t y p e = " M e a s u r e G r i d N o d e V i e w S t a t e " > < C o l u m n > 1 5 < / C o l u m n > < L a y e d O u t > t r u e < / L a y e d O u t > < / a : V a l u e > < / a : K e y V a l u e O f D i a g r a m O b j e c t K e y a n y T y p e z b w N T n L X > < a : K e y V a l u e O f D i a g r a m O b j e c t K e y a n y T y p e z b w N T n L X > < a : K e y > < K e y > C o l u m n s \ D a t e s   ( t r i m e s t r e ) < / K e y > < / a : K e y > < a : V a l u e   i : t y p e = " M e a s u r e G r i d N o d e V i e w S t a t e " > < C o l u m n > 1 6 < / C o l u m n > < L a y e d O u t > t r u e < / L a y e d O u t > < / a : V a l u e > < / a : K e y V a l u e O f D i a g r a m O b j e c t K e y a n y T y p e z b w N T n L X > < a : K e y V a l u e O f D i a g r a m O b j e c t K e y a n y T y p e z b w N T n L X > < a : K e y > < K e y > C o l u m n s \ D a t e s   ( i n d e x   d e s   m o i s ) < / K e y > < / a : K e y > < a : V a l u e   i : t y p e = " M e a s u r e G r i d N o d e V i e w S t a t e " > < C o l u m n > 1 7 < / C o l u m n > < L a y e d O u t > t r u e < / L a y e d O u t > < / a : V a l u e > < / a : K e y V a l u e O f D i a g r a m O b j e c t K e y a n y T y p e z b w N T n L X > < a : K e y V a l u e O f D i a g r a m O b j e c t K e y a n y T y p e z b w N T n L X > < a : K e y > < K e y > C o l u m n s \ D a t e s   ( m o i s ) < / K e y > < / a : K e y > < a : V a l u e   i : t y p e = " M e a s u r e G r i d N o d e V i e w S t a t e " > < C o l u m n > 1 8 < / C o l u m n > < L a y e d O u t > t r u e < / L a y e d O u t > < / a : V a l u e > < / a : K e y V a l u e O f D i a g r a m O b j e c t K e y a n y T y p e z b w N T n L X > < a : K e y V a l u e O f D i a g r a m O b j e c t K e y a n y T y p e z b w N T n L X > < a : K e y > < K e y > C o l u m n s \ D J U _ q u o t _ c h a u f f a g i s t e < / K e y > < / a : K e y > < a : V a l u e   i : t y p e = " M e a s u r e G r i d N o d e V i e w S t a t e " > < C o l u m n > 2 1 < / C o l u m n > < L a y e d O u t > t r u e < / L a y e d O u t > < / a : V a l u e > < / a : K e y V a l u e O f D i a g r a m O b j e c t K e y a n y T y p e z b w N T n L X > < a : K e y V a l u e O f D i a g r a m O b j e c t K e y a n y T y p e z b w N T n L X > < a : K e y > < K e y > C o l u m n s \ D J U _ q u o t _ c l i m a t i c i e n < / K e y > < / a : K e y > < a : V a l u e   i : t y p e = " M e a s u r e G r i d N o d e V i e w S t a t e " > < C o l u m n > 2 2 < / C o l u m n > < L a y e d O u t > t r u e < / L a y e d O u t > < / a : V a l u e > < / a : K e y V a l u e O f D i a g r a m O b j e c t K e y a n y T y p e z b w N T n L X > < a : K e y V a l u e O f D i a g r a m O b j e c t K e y a n y T y p e z b w N T n L X > < a : K e y > < K e y > L i n k s \ & l t ; C o l u m n s \ S o m m e   d e   C o n s o _ k W h _ P C I & g t ; - & l t ; M e a s u r e s \ C o n s o _ k W h _ P C I & g t ; < / K e y > < / a : K e y > < a : V a l u e   i : t y p e = " M e a s u r e G r i d V i e w S t a t e I D i a g r a m L i n k " / > < / a : K e y V a l u e O f D i a g r a m O b j e c t K e y a n y T y p e z b w N T n L X > < a : K e y V a l u e O f D i a g r a m O b j e c t K e y a n y T y p e z b w N T n L X > < a : K e y > < K e y > L i n k s \ & l t ; C o l u m n s \ S o m m e   d e   C o n s o _ k W h _ P C I & g t ; - & l t ; M e a s u r e s \ C o n s o _ k W h _ P C I & g t ; \ C O L U M N < / K e y > < / a : K e y > < a : V a l u e   i : t y p e = " M e a s u r e G r i d V i e w S t a t e I D i a g r a m L i n k E n d p o i n t " / > < / a : K e y V a l u e O f D i a g r a m O b j e c t K e y a n y T y p e z b w N T n L X > < a : K e y V a l u e O f D i a g r a m O b j e c t K e y a n y T y p e z b w N T n L X > < a : K e y > < K e y > L i n k s \ & l t ; C o l u m n s \ S o m m e   d e   C o n s o _ k W h _ P C I & g t ; - & l t ; M e a s u r e s \ C o n s o _ k W h _ P C I & g t ; \ M E A S U R E < / K e y > < / a : K e y > < a : V a l u e   i : t y p e = " M e a s u r e G r i d V i e w S t a t e I D i a g r a m L i n k E n d p o i n t " / > < / a : K e y V a l u e O f D i a g r a m O b j e c t K e y a n y T y p e z b w N T n L X > < a : K e y V a l u e O f D i a g r a m O b j e c t K e y a n y T y p e z b w N T n L X > < a : K e y > < K e y > L i n k s \ & l t ; C o l u m n s \ S o m m e   d e   C o n s o _ k W h _ D E E T & g t ; - & l t ; M e a s u r e s \ C o n s o _ k W h _ D E E T & g t ; < / K e y > < / a : K e y > < a : V a l u e   i : t y p e = " M e a s u r e G r i d V i e w S t a t e I D i a g r a m L i n k " / > < / a : K e y V a l u e O f D i a g r a m O b j e c t K e y a n y T y p e z b w N T n L X > < a : K e y V a l u e O f D i a g r a m O b j e c t K e y a n y T y p e z b w N T n L X > < a : K e y > < K e y > L i n k s \ & l t ; C o l u m n s \ S o m m e   d e   C o n s o _ k W h _ D E E T & g t ; - & l t ; M e a s u r e s \ C o n s o _ k W h _ D E E T & g t ; \ C O L U M N < / K e y > < / a : K e y > < a : V a l u e   i : t y p e = " M e a s u r e G r i d V i e w S t a t e I D i a g r a m L i n k E n d p o i n t " / > < / a : K e y V a l u e O f D i a g r a m O b j e c t K e y a n y T y p e z b w N T n L X > < a : K e y V a l u e O f D i a g r a m O b j e c t K e y a n y T y p e z b w N T n L X > < a : K e y > < K e y > L i n k s \ & l t ; C o l u m n s \ S o m m e   d e   C o n s o _ k W h _ D E E T & g t ; - & l t ; M e a s u r e s \ C o n s o _ k W h _ D E E T & g t ; \ M E A S U R E < / K e y > < / a : K e y > < a : V a l u e   i : t y p e = " M e a s u r e G r i d V i e w S t a t e I D i a g r a m L i n k E n d p o i n t " / > < / a : K e y V a l u e O f D i a g r a m O b j e c t K e y a n y T y p e z b w N T n L X > < a : K e y V a l u e O f D i a g r a m O b j e c t K e y a n y T y p e z b w N T n L X > < a : K e y > < K e y > L i n k s \ & l t ; C o l u m n s \ S o m m e   d e   C o u t _ j o u r & g t ; - & l t ; M e a s u r e s \ C o u t _ j o u r & g t ; < / K e y > < / a : K e y > < a : V a l u e   i : t y p e = " M e a s u r e G r i d V i e w S t a t e I D i a g r a m L i n k " / > < / a : K e y V a l u e O f D i a g r a m O b j e c t K e y a n y T y p e z b w N T n L X > < a : K e y V a l u e O f D i a g r a m O b j e c t K e y a n y T y p e z b w N T n L X > < a : K e y > < K e y > L i n k s \ & l t ; C o l u m n s \ S o m m e   d e   C o u t _ j o u r & g t ; - & l t ; M e a s u r e s \ C o u t _ j o u r & g t ; \ C O L U M N < / K e y > < / a : K e y > < a : V a l u e   i : t y p e = " M e a s u r e G r i d V i e w S t a t e I D i a g r a m L i n k E n d p o i n t " / > < / a : K e y V a l u e O f D i a g r a m O b j e c t K e y a n y T y p e z b w N T n L X > < a : K e y V a l u e O f D i a g r a m O b j e c t K e y a n y T y p e z b w N T n L X > < a : K e y > < K e y > L i n k s \ & l t ; C o l u m n s \ S o m m e   d e   C o u t _ j o u r & g t ; - & l t ; M e a s u r e s \ C o u t _ j o u r & g t ; \ M E A S U R E < / K e y > < / a : K e y > < a : V a l u e   i : t y p e = " M e a s u r e G r i d V i e w S t a t e I D i a g r a m L i n k E n d p o i n t " / > < / a : K e y V a l u e O f D i a g r a m O b j e c t K e y a n y T y p e z b w N T n L X > < a : K e y V a l u e O f D i a g r a m O b j e c t K e y a n y T y p e z b w N T n L X > < a : K e y > < K e y > L i n k s \ & l t ; C o l u m n s \ S o m m e   d e   C o n s o _ k W h E P & g t ; - & l t ; M e a s u r e s \ C o n s o _ k W h E P & g t ; < / K e y > < / a : K e y > < a : V a l u e   i : t y p e = " M e a s u r e G r i d V i e w S t a t e I D i a g r a m L i n k " / > < / a : K e y V a l u e O f D i a g r a m O b j e c t K e y a n y T y p e z b w N T n L X > < a : K e y V a l u e O f D i a g r a m O b j e c t K e y a n y T y p e z b w N T n L X > < a : K e y > < K e y > L i n k s \ & l t ; C o l u m n s \ S o m m e   d e   C o n s o _ k W h E P & g t ; - & l t ; M e a s u r e s \ C o n s o _ k W h E P & g t ; \ C O L U M N < / K e y > < / a : K e y > < a : V a l u e   i : t y p e = " M e a s u r e G r i d V i e w S t a t e I D i a g r a m L i n k E n d p o i n t " / > < / a : K e y V a l u e O f D i a g r a m O b j e c t K e y a n y T y p e z b w N T n L X > < a : K e y V a l u e O f D i a g r a m O b j e c t K e y a n y T y p e z b w N T n L X > < a : K e y > < K e y > L i n k s \ & l t ; C o l u m n s \ S o m m e   d e   C o n s o _ k W h E P & g t ; - & l t ; M e a s u r e s \ C o n s o _ k W h E P & g t ; \ M E A S U R E < / K e y > < / a : K e y > < a : V a l u e   i : t y p e = " M e a s u r e G r i d V i e w S t a t e I D i a g r a m L i n k E n d p o i n t " / > < / a : K e y V a l u e O f D i a g r a m O b j e c t K e y a n y T y p e z b w N T n L X > < a : K e y V a l u e O f D i a g r a m O b j e c t K e y a n y T y p e z b w N T n L X > < a : K e y > < K e y > L i n k s \ & l t ; C o l u m n s \ S o m m e   d e   D e m a n d e _ j o u r & g t ; - & l t ; M e a s u r e s \ D e m a n d e _ j o u r & g t ; < / K e y > < / a : K e y > < a : V a l u e   i : t y p e = " M e a s u r e G r i d V i e w S t a t e I D i a g r a m L i n k " / > < / a : K e y V a l u e O f D i a g r a m O b j e c t K e y a n y T y p e z b w N T n L X > < a : K e y V a l u e O f D i a g r a m O b j e c t K e y a n y T y p e z b w N T n L X > < a : K e y > < K e y > L i n k s \ & l t ; C o l u m n s \ S o m m e   d e   D e m a n d e _ j o u r & g t ; - & l t ; M e a s u r e s \ D e m a n d e _ j o u r & g t ; \ C O L U M N < / K e y > < / a : K e y > < a : V a l u e   i : t y p e = " M e a s u r e G r i d V i e w S t a t e I D i a g r a m L i n k E n d p o i n t " / > < / a : K e y V a l u e O f D i a g r a m O b j e c t K e y a n y T y p e z b w N T n L X > < a : K e y V a l u e O f D i a g r a m O b j e c t K e y a n y T y p e z b w N T n L X > < a : K e y > < K e y > L i n k s \ & l t ; C o l u m n s \ S o m m e   d e   D e m a n d e _ j o u r & g t ; - & l t ; M e a s u r e s \ D e m a n d e _ j o u r & g t ; \ M E A S U R E < / K e y > < / a : K e y > < a : V a l u e   i : t y p e = " M e a s u r e G r i d V i e w S t a t e I D i a g r a m L i n k E n d p o i n t " / > < / a : K e y V a l u e O f D i a g r a m O b j e c t K e y a n y T y p e z b w N T n L X > < a : K e y V a l u e O f D i a g r a m O b j e c t K e y a n y T y p e z b w N T n L X > < a : K e y > < K e y > L i n k s \ & l t ; C o l u m n s \ M o y e n n e   d e   C o n s o _ k W h _ P C I & g t ; - & l t ; M e a s u r e s \ C o n s o _ k W h _ P C I & g t ; < / K e y > < / a : K e y > < a : V a l u e   i : t y p e = " M e a s u r e G r i d V i e w S t a t e I D i a g r a m L i n k " / > < / a : K e y V a l u e O f D i a g r a m O b j e c t K e y a n y T y p e z b w N T n L X > < a : K e y V a l u e O f D i a g r a m O b j e c t K e y a n y T y p e z b w N T n L X > < a : K e y > < K e y > L i n k s \ & l t ; C o l u m n s \ M o y e n n e   d e   C o n s o _ k W h _ P C I & g t ; - & l t ; M e a s u r e s \ C o n s o _ k W h _ P C I & g t ; \ C O L U M N < / K e y > < / a : K e y > < a : V a l u e   i : t y p e = " M e a s u r e G r i d V i e w S t a t e I D i a g r a m L i n k E n d p o i n t " / > < / a : K e y V a l u e O f D i a g r a m O b j e c t K e y a n y T y p e z b w N T n L X > < a : K e y V a l u e O f D i a g r a m O b j e c t K e y a n y T y p e z b w N T n L X > < a : K e y > < K e y > L i n k s \ & l t ; C o l u m n s \ M o y e n n e   d e   C o n s o _ k W h _ P C I & g t ; - & l t ; M e a s u r e s \ C o n s o _ k W h _ P C I & g t ; \ M E A S U R E < / K e y > < / a : K e y > < a : V a l u e   i : t y p e = " M e a s u r e G r i d V i e w S t a t e I D i a g r a m L i n k E n d p o i n t " / > < / a : K e y V a l u e O f D i a g r a m O b j e c t K e y a n y T y p e z b w N T n L X > < a : K e y V a l u e O f D i a g r a m O b j e c t K e y a n y T y p e z b w N T n L X > < a : K e y > < K e y > L i n k s \ & l t ; C o l u m n s \ M o y e n n e   d e   C o n s o _ k W h _ D E E T & g t ; - & l t ; M e a s u r e s \ C o n s o _ k W h _ D E E T & g t ; < / K e y > < / a : K e y > < a : V a l u e   i : t y p e = " M e a s u r e G r i d V i e w S t a t e I D i a g r a m L i n k " / > < / a : K e y V a l u e O f D i a g r a m O b j e c t K e y a n y T y p e z b w N T n L X > < a : K e y V a l u e O f D i a g r a m O b j e c t K e y a n y T y p e z b w N T n L X > < a : K e y > < K e y > L i n k s \ & l t ; C o l u m n s \ M o y e n n e   d e   C o n s o _ k W h _ D E E T & g t ; - & l t ; M e a s u r e s \ C o n s o _ k W h _ D E E T & g t ; \ C O L U M N < / K e y > < / a : K e y > < a : V a l u e   i : t y p e = " M e a s u r e G r i d V i e w S t a t e I D i a g r a m L i n k E n d p o i n t " / > < / a : K e y V a l u e O f D i a g r a m O b j e c t K e y a n y T y p e z b w N T n L X > < a : K e y V a l u e O f D i a g r a m O b j e c t K e y a n y T y p e z b w N T n L X > < a : K e y > < K e y > L i n k s \ & l t ; C o l u m n s \ M o y e n n e   d e   C o n s o _ k W h _ D E E T & g t ; - & l t ; M e a s u r e s \ C o n s o _ k W h _ D E E T & g t ; \ M E A S U R E < / K e y > < / a : K e y > < a : V a l u e   i : t y p e = " M e a s u r e G r i d V i e w S t a t e I D i a g r a m L i n k E n d p o i n t " / > < / a : K e y V a l u e O f D i a g r a m O b j e c t K e y a n y T y p e z b w N T n L X > < a : K e y V a l u e O f D i a g r a m O b j e c t K e y a n y T y p e z b w N T n L X > < a : K e y > < K e y > L i n k s \ & l t ; C o l u m n s \ S o m m e   d e   C o u t _ u n i t a i r e & g t ; - & l t ; M e a s u r e s \ C o u t _ u n i t a i r e & g t ; < / K e y > < / a : K e y > < a : V a l u e   i : t y p e = " M e a s u r e G r i d V i e w S t a t e I D i a g r a m L i n k " / > < / a : K e y V a l u e O f D i a g r a m O b j e c t K e y a n y T y p e z b w N T n L X > < a : K e y V a l u e O f D i a g r a m O b j e c t K e y a n y T y p e z b w N T n L X > < a : K e y > < K e y > L i n k s \ & l t ; C o l u m n s \ S o m m e   d e   C o u t _ u n i t a i r e & g t ; - & l t ; M e a s u r e s \ C o u t _ u n i t a i r e & g t ; \ C O L U M N < / K e y > < / a : K e y > < a : V a l u e   i : t y p e = " M e a s u r e G r i d V i e w S t a t e I D i a g r a m L i n k E n d p o i n t " / > < / a : K e y V a l u e O f D i a g r a m O b j e c t K e y a n y T y p e z b w N T n L X > < a : K e y V a l u e O f D i a g r a m O b j e c t K e y a n y T y p e z b w N T n L X > < a : K e y > < K e y > L i n k s \ & l t ; C o l u m n s \ S o m m e   d e   C o u t _ u n i t a i r e & g t ; - & l t ; M e a s u r e s \ C o u t _ u n i t a i r e & g t ; \ M E A S U R E < / K e y > < / a : K e y > < a : V a l u e   i : t y p e = " M e a s u r e G r i d V i e w S t a t e I D i a g r a m L i n k E n d p o i n t " / > < / a : K e y V a l u e O f D i a g r a m O b j e c t K e y a n y T y p e z b w N T n L X > < a : K e y V a l u e O f D i a g r a m O b j e c t K e y a n y T y p e z b w N T n L X > < a : K e y > < K e y > L i n k s \ & l t ; C o l u m n s \ S o m m e   d e   D J U _ q u o t _ c h a u f f a g i s t e & g t ; - & l t ; M e a s u r e s \ D J U _ q u o t _ c h a u f f a g i s t e & g t ; < / K e y > < / a : K e y > < a : V a l u e   i : t y p e = " M e a s u r e G r i d V i e w S t a t e I D i a g r a m L i n k " / > < / a : K e y V a l u e O f D i a g r a m O b j e c t K e y a n y T y p e z b w N T n L X > < a : K e y V a l u e O f D i a g r a m O b j e c t K e y a n y T y p e z b w N T n L X > < a : K e y > < K e y > L i n k s \ & l t ; C o l u m n s \ S o m m e   d e   D J U _ q u o t _ c h a u f f a g i s t e & g t ; - & l t ; M e a s u r e s \ D J U _ q u o t _ c h a u f f a g i s t e & g t ; \ C O L U M N < / K e y > < / a : K e y > < a : V a l u e   i : t y p e = " M e a s u r e G r i d V i e w S t a t e I D i a g r a m L i n k E n d p o i n t " / > < / a : K e y V a l u e O f D i a g r a m O b j e c t K e y a n y T y p e z b w N T n L X > < a : K e y V a l u e O f D i a g r a m O b j e c t K e y a n y T y p e z b w N T n L X > < a : K e y > < K e y > L i n k s \ & l t ; C o l u m n s \ S o m m e   d e   D J U _ q u o t _ c h a u f f a g i s t e & g t ; - & l t ; M e a s u r e s \ D J U _ q u o t _ c h a u f f a g i s t e & g t ; \ M E A S U R E < / K e y > < / a : K e y > < a : V a l u e   i : t y p e = " M e a s u r e G r i d V i e w S t a t e I D i a g r a m L i n k E n d p o i n t " / > < / a : K e y V a l u e O f D i a g r a m O b j e c t K e y a n y T y p e z b w N T n L X > < a : K e y V a l u e O f D i a g r a m O b j e c t K e y a n y T y p e z b w N T n L X > < a : K e y > < K e y > L i n k s \ & l t ; C o l u m n s \ M o y e n n e   d e   C o u t _ u n i t a i r e & g t ; - & l t ; M e a s u r e s \ C o u t _ u n i t a i r e & g t ; < / K e y > < / a : K e y > < a : V a l u e   i : t y p e = " M e a s u r e G r i d V i e w S t a t e I D i a g r a m L i n k " / > < / a : K e y V a l u e O f D i a g r a m O b j e c t K e y a n y T y p e z b w N T n L X > < a : K e y V a l u e O f D i a g r a m O b j e c t K e y a n y T y p e z b w N T n L X > < a : K e y > < K e y > L i n k s \ & l t ; C o l u m n s \ M o y e n n e   d e   C o u t _ u n i t a i r e & g t ; - & l t ; M e a s u r e s \ C o u t _ u n i t a i r e & g t ; \ C O L U M N < / K e y > < / a : K e y > < a : V a l u e   i : t y p e = " M e a s u r e G r i d V i e w S t a t e I D i a g r a m L i n k E n d p o i n t " / > < / a : K e y V a l u e O f D i a g r a m O b j e c t K e y a n y T y p e z b w N T n L X > < a : K e y V a l u e O f D i a g r a m O b j e c t K e y a n y T y p e z b w N T n L X > < a : K e y > < K e y > L i n k s \ & l t ; C o l u m n s \ M o y e n n e   d e   C o u t _ u n i t a i r e & g t ; - & l t ; M e a s u r e s \ C o u t _ u n i t a i r e & g t ; \ M E A S U R E < / K e y > < / a : K e y > < a : V a l u e   i : t y p e = " M e a s u r e G r i d V i e w S t a t e I D i a g r a m L i n k E n d p o i n t " / > < / a : K e y V a l u e O f D i a g r a m O b j e c t K e y a n y T y p e z b w N T n L X > < a : K e y V a l u e O f D i a g r a m O b j e c t K e y a n y T y p e z b w N T n L X > < a : K e y > < K e y > L i n k s \ & l t ; C o l u m n s \ T o t a l   d i s t i n c t   d e   C o u t _ u n i t a i r e & g t ; - & l t ; M e a s u r e s \ C o u t _ u n i t a i r e & g t ; < / K e y > < / a : K e y > < a : V a l u e   i : t y p e = " M e a s u r e G r i d V i e w S t a t e I D i a g r a m L i n k " / > < / a : K e y V a l u e O f D i a g r a m O b j e c t K e y a n y T y p e z b w N T n L X > < a : K e y V a l u e O f D i a g r a m O b j e c t K e y a n y T y p e z b w N T n L X > < a : K e y > < K e y > L i n k s \ & l t ; C o l u m n s \ T o t a l   d i s t i n c t   d e   C o u t _ u n i t a i r e & g t ; - & l t ; M e a s u r e s \ C o u t _ u n i t a i r e & g t ; \ C O L U M N < / K e y > < / a : K e y > < a : V a l u e   i : t y p e = " M e a s u r e G r i d V i e w S t a t e I D i a g r a m L i n k E n d p o i n t " / > < / a : K e y V a l u e O f D i a g r a m O b j e c t K e y a n y T y p e z b w N T n L X > < a : K e y V a l u e O f D i a g r a m O b j e c t K e y a n y T y p e z b w N T n L X > < a : K e y > < K e y > L i n k s \ & l t ; C o l u m n s \ T o t a l   d i s t i n c t   d e   C o u t _ u n i t a i r e & g t ; - & l t ; M e a s u r e s \ C o u t _ u n i t a i r e & g t ; \ M E A S U R E < / K e y > < / a : K e y > < a : V a l u e   i : t y p e = " M e a s u r e G r i d V i e w S t a t e I D i a g r a m L i n k E n d p o i n t " / > < / a : K e y V a l u e O f D i a g r a m O b j e c t K e y a n y T y p e z b w N T n L X > < / V i e w S t a t e s > < / D i a g r a m M a n a g e r . S e r i a l i z a b l e D i a g r a m > < D i a g r a m M a n a g e r . S e r i a l i z a b l e D i a g r a m > < A d a p t e r   i : t y p e = " M e a s u r e D i a g r a m S a n d b o x A d a p t e r " > < T a b l e N a m e > T a b l e a u 1 6 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 T a b l e a u 1 6 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 C o l u m n s \ C o m p t e u r / L i v r a i s o n < / K e y > < / D i a g r a m O b j e c t K e y > < D i a g r a m O b j e c t K e y > < K e y > C o l u m n s \ T y p e < / K e y > < / D i a g r a m O b j e c t K e y > < D i a g r a m O b j e c t K e y > < K e y > C o l u m n s \ S o u r c e < / K e y > < / D i a g r a m O b j e c t K e y > < D i a g r a m O b j e c t K e y > < K e y > C o l u m n s \ D e t a i l   u s a g e < / K e y > < / D i a g r a m O b j e c t K e y > < D i a g r a m O b j e c t K e y > < K e y > C o l u m n s \ C o m b u s t i b l e < / K e y > < / D i a g r a m O b j e c t K e y > < D i a g r a m O b j e c t K e y > < K e y > C o l u m n s \ P C I < / K e y > < / D i a g r a m O b j e c t K e y > < D i a g r a m O b j e c t K e y > < K e y > C o l u m n s \ P C I _ D E E T < / K e y > < / D i a g r a m O b j e c t K e y > < D i a g r a m O b j e c t K e y > < K e y > C o l u m n s \ N o m < / K e y > < / D i a g r a m O b j e c t K e y > < D i a g r a m O b j e c t K e y > < K e y > C o l u m n s \ P C I _ E P < / 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S e l e c t i o n E n d C o l u m n > 1 < / S e l e c t i o n E n d C o l u m n > < S e l e c t i o n S t a r t C o l u m n > 1 < / S e l e c t i o n S t a r t C o l u m n > < 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 C o l u m n s \ C o m p t e u r / L i v r a i s o n < / K e y > < / a : K e y > < a : V a l u e   i : t y p e = " M e a s u r e G r i d N o d e V i e w S t a t e " > < L a y e d O u t > t r u e < / L a y e d O u t > < / a : V a l u e > < / a : K e y V a l u e O f D i a g r a m O b j e c t K e y a n y T y p e z b w N T n L X > < a : K e y V a l u e O f D i a g r a m O b j e c t K e y a n y T y p e z b w N T n L X > < a : K e y > < K e y > C o l u m n s \ T y p e < / K e y > < / a : K e y > < a : V a l u e   i : t y p e = " M e a s u r e G r i d N o d e V i e w S t a t e " > < C o l u m n > 1 < / C o l u m n > < L a y e d O u t > t r u e < / L a y e d O u t > < / a : V a l u e > < / a : K e y V a l u e O f D i a g r a m O b j e c t K e y a n y T y p e z b w N T n L X > < a : K e y V a l u e O f D i a g r a m O b j e c t K e y a n y T y p e z b w N T n L X > < a : K e y > < K e y > C o l u m n s \ S o u r c e < / K e y > < / a : K e y > < a : V a l u e   i : t y p e = " M e a s u r e G r i d N o d e V i e w S t a t e " > < C o l u m n > 2 < / C o l u m n > < L a y e d O u t > t r u e < / L a y e d O u t > < / a : V a l u e > < / a : K e y V a l u e O f D i a g r a m O b j e c t K e y a n y T y p e z b w N T n L X > < a : K e y V a l u e O f D i a g r a m O b j e c t K e y a n y T y p e z b w N T n L X > < a : K e y > < K e y > C o l u m n s \ D e t a i l   u s a g e < / K e y > < / a : K e y > < a : V a l u e   i : t y p e = " M e a s u r e G r i d N o d e V i e w S t a t e " > < C o l u m n > 3 < / C o l u m n > < L a y e d O u t > t r u e < / L a y e d O u t > < / a : V a l u e > < / a : K e y V a l u e O f D i a g r a m O b j e c t K e y a n y T y p e z b w N T n L X > < a : K e y V a l u e O f D i a g r a m O b j e c t K e y a n y T y p e z b w N T n L X > < a : K e y > < K e y > C o l u m n s \ C o m b u s t i b l e < / K e y > < / a : K e y > < a : V a l u e   i : t y p e = " M e a s u r e G r i d N o d e V i e w S t a t e " > < C o l u m n > 4 < / C o l u m n > < L a y e d O u t > t r u e < / L a y e d O u t > < / a : V a l u e > < / a : K e y V a l u e O f D i a g r a m O b j e c t K e y a n y T y p e z b w N T n L X > < a : K e y V a l u e O f D i a g r a m O b j e c t K e y a n y T y p e z b w N T n L X > < a : K e y > < K e y > C o l u m n s \ P C I < / K e y > < / a : K e y > < a : V a l u e   i : t y p e = " M e a s u r e G r i d N o d e V i e w S t a t e " > < C o l u m n > 5 < / C o l u m n > < L a y e d O u t > t r u e < / L a y e d O u t > < / a : V a l u e > < / a : K e y V a l u e O f D i a g r a m O b j e c t K e y a n y T y p e z b w N T n L X > < a : K e y V a l u e O f D i a g r a m O b j e c t K e y a n y T y p e z b w N T n L X > < a : K e y > < K e y > C o l u m n s \ P C I _ D E E T < / K e y > < / a : K e y > < a : V a l u e   i : t y p e = " M e a s u r e G r i d N o d e V i e w S t a t e " > < C o l u m n > 6 < / C o l u m n > < L a y e d O u t > t r u e < / L a y e d O u t > < / a : V a l u e > < / a : K e y V a l u e O f D i a g r a m O b j e c t K e y a n y T y p e z b w N T n L X > < a : K e y V a l u e O f D i a g r a m O b j e c t K e y a n y T y p e z b w N T n L X > < a : K e y > < K e y > C o l u m n s \ N o m < / K e y > < / a : K e y > < a : V a l u e   i : t y p e = " M e a s u r e G r i d N o d e V i e w S t a t e " > < C o l u m n > 7 < / C o l u m n > < L a y e d O u t > t r u e < / L a y e d O u t > < / a : V a l u e > < / a : K e y V a l u e O f D i a g r a m O b j e c t K e y a n y T y p e z b w N T n L X > < a : K e y V a l u e O f D i a g r a m O b j e c t K e y a n y T y p e z b w N T n L X > < a : K e y > < K e y > C o l u m n s \ P C I _ E P < / K e y > < / a : K e y > < a : V a l u e   i : t y p e = " M e a s u r e G r i d N o d e V i e w S t a t e " > < C o l u m n > 8 < / C o l u m n > < L a y e d O u t > t r u e < / L a y e d O u t > < / a : V a l u e > < / a : K e y V a l u e O f D i a g r a m O b j e c t K e y a n y T y p e z b w N T n L X > < / V i e w S t a t e s > < / D i a g r a m M a n a g e r . S e r i a l i z a b l e D i a g r a m > < / A r r a y O f D i a g r a m M a n a g e r . S e r i a l i z a b l e D i a g r a m > ] ] > < / C u s t o m C o n t e n t > < / G e m i n i > 
</file>

<file path=customXml/item18.xml>��< ? x m l   v e r s i o n = " 1 . 0 "   e n c o d i n g = " U T F - 1 6 " ? > < G e m i n i   x m l n s = " h t t p : / / g e m i n i / p i v o t c u s t o m i z a t i o n / d 5 8 8 d 4 e 5 - c 8 a 7 - 4 7 e a - a c a 4 - 3 3 c 1 8 e 3 5 5 8 9 6 " > < C u s t o m C o n t e n t > < ! [ C D A T A [ < ? x m l   v e r s i o n = " 1 . 0 "   e n c o d i n g = " u t f - 1 6 " ? > < S e t t i n g s > < C a l c u l a t e d F i e l d s > < i t e m > < M e a s u r e N a m e > C o n s o _ D J U < / M e a s u r e N a m e > < D i s p l a y N a m e > C o n s o _ D J U < / D i s p l a y N a m e > < V i s i b l e > F a l s e < / V i s i b l e > < / i t e m > < / C a l c u l a t e d F i e l d s > < S A H o s t H a s h > 0 < / S A H o s t H a s h > < G e m i n i F i e l d L i s t V i s i b l e > T r u e < / G e m i n i F i e l d L i s t V i s i b l e > < / S e t t i n g s > ] ] > < / C u s t o m C o n t e n t > < / G e m i n i > 
</file>

<file path=customXml/item19.xml>��< ? x m l   v e r s i o n = " 1 . 0 "   e n c o d i n g = " U T F - 1 6 " ? > < G e m i n i   x m l n s = " h t t p : / / g e m i n i / p i v o t c u s t o m i z a t i o n / 1 4 9 0 0 a 2 3 - 5 1 3 b - 4 c 7 c - 8 d 5 c - 8 3 2 6 7 f 7 8 b 9 b 7 " > < C u s t o m C o n t e n t > < ! [ C D A T A [ < ? x m l   v e r s i o n = " 1 . 0 "   e n c o d i n g = " u t f - 1 6 " ? > < S e t t i n g s > < C a l c u l a t e d F i e l d s > < i t e m > < M e a s u r e N a m e > C o n s o _ D J U < / M e a s u r e N a m e > < D i s p l a y N a m e > C o n s o _ D J U < / D i s p l a y N a m e > < V i s i b l e > F a l s e < / V i s i b l e > < / i t e m > < i t e m > < M e a s u r e N a m e > C o u t   U n i t a i r e   M o y e n < / M e a s u r e N a m e > < D i s p l a y N a m e > C o u t   U n i t a i r e   M o y e n < / D i s p l a y N a m e > < V i s i b l e > F a l s e < / V i s i b l e > < / i t e m > < / C a l c u l a t e d F i e l d s > < S A H o s t H a s h > 0 < / S A H o s t H a s h > < G e m i n i F i e l d L i s t V i s i b l e > T r u e < / G e m i n i F i e l d L i s t V i s i b l e > < / S e t t i n g s > ] ] > < / C u s t o m C o n t e n t > < / G e m i n i > 
</file>

<file path=customXml/item2.xml>��< ? x m l   v e r s i o n = " 1 . 0 "   e n c o d i n g = " U T F - 1 6 " ? > < G e m i n i   x m l n s = " h t t p : / / g e m i n i / p i v o t c u s t o m i z a t i o n / T a b l e X M L _ T a b l e a u _ m o i s " > < C u s t o m C o n t e n t > < ! [ C D A T A [ < T a b l e W i d g e t G r i d S e r i a l i z a t i o n   x m l n s : x s i = " h t t p : / / w w w . w 3 . o r g / 2 0 0 1 / X M L S c h e m a - i n s t a n c e "   x m l n s : x s d = " h t t p : / / w w w . w 3 . o r g / 2 0 0 1 / X M L S c h e m a " > < C o l u m n S u g g e s t e d T y p e   / > < C o l u m n F o r m a t   / > < C o l u m n A c c u r a c y   / > < C o l u m n C u r r e n c y S y m b o l   / > < C o l u m n P o s i t i v e P a t t e r n   / > < C o l u m n N e g a t i v e P a t t e r n   / > < C o l u m n W i d t h s > < i t e m > < k e y > < s t r i n g > M o i s < / s t r i n g > < / k e y > < v a l u e > < i n t > 6 6 < / i n t > < / v a l u e > < / i t e m > < / C o l u m n W i d t h s > < C o l u m n D i s p l a y I n d e x > < i t e m > < k e y > < s t r i n g > M o i s < / s t r i n g > < / k e y > < v a l u e > < i n t > 0 < / i n t > < / v a l u e > < / i t e m > < / C o l u m n D i s p l a y I n d e x > < C o l u m n F r o z e n   / > < C o l u m n C h e c k e d   / > < C o l u m n F i l t e r   / > < S e l e c t i o n F i l t e r   / > < F i l t e r P a r a m e t e r s   / > < I s S o r t D e s c e n d i n g > f a l s e < / I s S o r t D e s c e n d i n g > < / T a b l e W i d g e t G r i d S e r i a l i z a t i o n > ] ] > < / C u s t o m C o n t e n t > < / G e m i n i > 
</file>

<file path=customXml/item20.xml>��< ? x m l   v e r s i o n = " 1 . 0 "   e n c o d i n g = " U T F - 1 6 " ? > < G e m i n i   x m l n s = " h t t p : / / g e m i n i / p i v o t c u s t o m i z a t i o n / d 5 d 9 7 7 9 d - 3 a 9 e - 4 b c e - 8 7 c f - 1 7 f 7 2 4 1 3 a 1 6 3 " > < C u s t o m C o n t e n t > < ! [ C D A T A [ < ? x m l   v e r s i o n = " 1 . 0 "   e n c o d i n g = " u t f - 1 6 " ? > < S e t t i n g s > < C a l c u l a t e d F i e l d s > < i t e m > < M e a s u r e N a m e > C o n s o _ D J U < / M e a s u r e N a m e > < D i s p l a y N a m e > C o n s o _ D J U < / D i s p l a y N a m e > < V i s i b l e > F a l s e < / V i s i b l e > < / i t e m > < i t e m > < M e a s u r e N a m e > C o u t   U n i t a i r e   M o y e n < / M e a s u r e N a m e > < D i s p l a y N a m e > C o u t   U n i t a i r e   M o y e n < / D i s p l a y N a m e > < V i s i b l e > F a l s e < / V i s i b l e > < / i t e m > < / C a l c u l a t e d F i e l d s > < S A H o s t H a s h > 0 < / S A H o s t H a s h > < G e m i n i F i e l d L i s t V i s i b l e > T r u e < / G e m i n i F i e l d L i s t V i s i b l e > < / S e t t i n g s > ] ] > < / C u s t o m C o n t e n t > < / G e m i n i > 
</file>

<file path=customXml/item21.xml>��< ? x m l   v e r s i o n = " 1 . 0 "   e n c o d i n g = " U T F - 1 6 " ? > < G e m i n i   x m l n s = " h t t p : / / g e m i n i / p i v o t c u s t o m i z a t i o n / 2 3 4 1 6 6 b 8 - f 2 f 5 - 4 4 2 7 - b c b 1 - 2 7 9 e 1 f 3 d d 4 7 5 " > < C u s t o m C o n t e n t > < ! [ C D A T A [ < ? x m l   v e r s i o n = " 1 . 0 "   e n c o d i n g = " u t f - 1 6 " ? > < S e t t i n g s > < C a l c u l a t e d F i e l d s > < i t e m > < M e a s u r e N a m e > C o n s o _ D J U < / M e a s u r e N a m e > < D i s p l a y N a m e > C o n s o _ D J U < / D i s p l a y N a m e > < V i s i b l e > F a l s e < / V i s i b l e > < / i t e m > < i t e m > < M e a s u r e N a m e > C o u t   U n i t a i r e   M o y e n < / M e a s u r e N a m e > < D i s p l a y N a m e > C o u t   U n i t a i r e   M o y e n < / D i s p l a y N a m e > < V i s i b l e > F a l s e < / V i s i b l e > < / i t e m > < / C a l c u l a t e d F i e l d s > < S A H o s t H a s h > 0 < / S A H o s t H a s h > < G e m i n i F i e l d L i s t V i s i b l e > T r u e < / G e m i n i F i e l d L i s t V i s i b l e > < / S e t t i n g s > ] ] > < / C u s t o m C o n t e n t > < / G e m i n i > 
</file>

<file path=customXml/item22.xml>��< ? x m l   v e r s i o n = " 1 . 0 "   e n c o d i n g = " u t f - 1 6 " ? > < D a t a M a s h u p   s q m i d = " 7 b f a 5 8 7 9 - a 6 8 7 - 4 7 f 9 - a a e 6 - 1 a 0 5 b 5 0 5 9 6 5 4 "   x m l n s = " h t t p : / / s c h e m a s . m i c r o s o f t . c o m / D a t a M a s h u p " > A A A A A B w I A A B Q S w M E F A A C A A g A u X P e X G R n Y d y m A A A A 9 g A A A B I A H A B D b 2 5 m a W c v U G F j a 2 F n Z S 5 4 b W w g o h g A K K A U A A A A A A A A A A A A A A A A A A A A A A A A A A A A e 7 9 7 v 4 1 9 R W 6 O Q l l q U X F m f p 6 t k q G e g Z J C a l 5 y f k p m X r q t U m l J m q 6 F k r 2 d T U B i c n Z i e q o C U H F e s V V F c a a t U k Z J S Y G V v n 5 5 e b l e u b F e f l G 6 v p G B g a F + h K 9 P c H J G a m 6 i b m Z e c U l i X n K q E l x X C m F d S n Y 2 Y R D H 2 B n p W Z r p G Z m Y A d 1 k o w 8 T t P H N z E M o M A L K g W S R B G 2 c S 3 N K S o t S 7 d K K d N 2 C b P R h X B t 9 q B / s A F B L A w Q U A A I A C A C 5 c 9 5 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u X P e X G t e u U o U B Q A A J k c A A B M A H A B G b 3 J t d W x h c y 9 T Z W N 0 a W 9 u M S 5 t I K I Y A C i g F A A A A A A A A A A A A A A A A A A A A A A A A A A A A O 2 b X 2 8 i N x D A 3 5 H 4 D t b m B X R 7 9 J Y Q k u p 6 l U 4 h l S 5 N 7 q 4 h V R 8 Q Q g t r L m 5 2 b e r 1 X o l Q v k + 5 r 8 E X q 7 1 / 2 H / e A C E S D 5 n k I d i e 9 c z Y M / M b I q 2 P J 4 I w i v r R X + t 9 v V a v + X c 2 x w 6 6 t c c u t o O f 0 Q f k Y l G v I f n T Z w G f Y D l z M Z 9 g t 3 U e c I 6 p + I v x + z F j 9 4 3 m Y v D Z 9 v A H I 3 n W G D 4 O z h k V U m h o R l s c G b c P M 4 w 8 5 p A p W S 0 N u V k o 3 b r l N v W n j H v n z A 0 8 q q T 8 R q T Q X C y M v r B D U 6 9 X S 7 F a M s N E Q u 0 j 8 F w 8 m m h h 2 J R i L G c / U d H t t N T T 4 b T H i F + S V Z M j G n i Y s / I T v c s / G 5 M 7 O 5 h O 7 W / E F 7 h Z I e I S T 1 o 0 I Z g W J B 6 b a 1 e / Y u 4 z S m 2 X + K s l R v b f L J D G 4 9 T p j 4 4 T u d s o n o u J j J 4 t l E f Y n t y h I 0 c O G o P Q y 6 G J B h k X 5 N B q N v X H a 2 0 4 3 2 o T 1 Z n H B o S H p / R v 4 Z q 1 h W + W c m 5 K 6 C i + n N B B p a t 1 Q Z 0 v 0 2 s Z M H e N g Z o Y N j c q b O s V V p o X n + t a 7 5 W 8 4 1 Y 4 E 6 s 0 U S / g Y a z J 6 Q c 5 m 1 g 6 f B v b 9 M Y y j 5 x Y p m G Z 7 9 R v s 8 p S 5 K y W 3 7 H L Z r N s s F / M Z z Z 1 l O 5 N F r d T i 1 M N 8 i E p i n 3 k B 7 M Z J 5 6 U 8 9 P N b 7 D H v u N o 4 9 I V 5 + w x d X m 1 T q U k e Q r 5 k o R F e o W P G s t k Y W B e y T A q y 0 N q m N a N M P A 0 O a g m R 9 l J o y o X I 8 l 0 z s j G 7 R X 5 p j R O i S t 4 3 r o + d m U Z v G H / 5 k z L + B F H z K B o y B D 9 8 i u i g e s i e a c V y 4 Z R b Y J V Y U P J 1 N i A x q D g o M 6 A w q r U 3 6 z X C K 2 2 o V D 7 R + f M m w k c 8 F H 7 m Q T I 7 L A 3 B 6 J n U g P M d G K R f g y H R m + 1 H A c C O R j J E O e E O f k a Z h b l f y N 0 e + E / A p s K I s I C H Y r J t B h j X h a M A 8 j a J N f D n r w 0 P J L p z j f v G Y i t B D / J H e e J k E 0 f d F t R n / 1 0 W d 4 r F Y w / Z u o a x x 5 Z / c d l 3 L h R + G j L T / + e z M o 4 s 0 o 1 A i X x s Y G L T 6 u V 6 Z 7 s k + S H k Q m 8 5 y a + x r g k / Q v x s k 6 + V N V H 9 U h I F o y i 0 q 1 x L D 1 o X a a n q w m u 0 p k i t 6 K V Q T n u k 1 w L Z a / t e W P x r k S 3 k j d v t T s 1 0 R t k p W W 0 h L 9 6 r V k M l 1 4 C G s x l / f C L J 6 F B Y P n c 9 m a f 3 g i z o k p o a k E u 4 7 N Z L T P X F T a K U y h J u W x i 6 b A o 7 f D C c M r Z z L i D + U Y u Z g L d S I 8 n X z 8 y N e I J 6 F U R R 2 f m m n p K Y 5 E 0 6 7 k s 3 3 b s Q M v G J b 2 n n 6 / F K H s C m Z Y + 4 + g N / i d Y / R B q u 8 C X 8 U n z J / 0 Z y 9 B y L h n R 9 q S J U q k p + Q K T m 0 y / 1 p h I 7 f E 7 o U 7 r C k / F l 0 B g n v E / + e b 0 R O s X f l 4 H v t 7 s v M Z F u Q H S t T p b C 1 Z H R 7 s i O r R + x e E h e I C f b D D a 1 Q 3 G 8 d 4 N x v E r b D D U 1 y Q p C v 3 F A f u L Y + g v 1 B L 0 F y / V X 6 R J D e 1 F V X u h M 9 + q v i F d e 6 F c 9 S Q r b M J x 7 t 8 X u / Q P e j t e X R u R h b 7 W 5 E r u d / b m f g e 4 D 9 w / A P c 7 w H 2 1 B N w H 7 g P 3 g f s 7 c v 9 k b + 6 f A P e B + w f g / g l w X y 0 B 9 4 H 7 w H 3 g / o 7 c 7 + 7 N / S 5 w H 7 h / A O 5 3 g f t q C b g P 3 A f u A / d 3 5 P 7 p 3 t w / B e 4 D 9 w / A / V P g v l o C 7 g P 3 g f v A / R 2 5 f 7 Y 3 9 8 + A + 8 D 9 A 3 D / D L i v l o D 7 w H 3 g P n B / O + 5 P G J 3 Y Y m / m W 8 B 8 Y P 4 B m G 8 B 8 9 U S M P 9 1 M z + X i u 0 N l b Y C / d r X 9 1 7 i L b 3 2 6 8 N w 6 d A 0 F V B e 9 p h Q 3 F h U v q O X I 2 y 7 M D 4 u j D u F 8 U l h 3 C 2 M T w v j s 2 e 0 k G X v s i 8 W 6 q P z 5 V 4 t L X Q 7 e S X v / w d Q S w E C L Q A U A A I A C A C 5 c 9 5 c Z G d h 3 K Y A A A D 2 A A A A E g A A A A A A A A A A A A A A A A A A A A A A Q 2 9 u Z m l n L 1 B h Y 2 t h Z 2 U u e G 1 s U E s B A i 0 A F A A C A A g A u X P e X A / K 6 a u k A A A A 6 Q A A A B M A A A A A A A A A A A A A A A A A 8 g A A A F t D b 2 5 0 Z W 5 0 X 1 R 5 c G V z X S 5 4 b W x Q S w E C L Q A U A A I A C A C 5 c 9 5 c a 1 6 5 S h Q F A A A m R w A A E w A A A A A A A A A A A A A A A A D j A Q A A R m 9 y b X V s Y X M v U 2 V j d G l v b j E u b V B L B Q Y A A A A A A w A D A M I A A A B E B 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1 c g A A A A A A A J N y 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f Q 2 9 t c H R l d X J f M j w v S X R l b V B h d G g + P C 9 J d G V t T G 9 j Y X R p b 2 4 + P F N 0 Y W J s Z U V u d H J p Z X M + P E V u d H J 5 I F R 5 c G U 9 I k l z U H J p d m F 0 Z S I g V m F s d W U 9 I m w w I i A v P j x F b n R y e S B U e X B l P S J G a W x s R W 5 h Y m x l Z C I g V m F s d W U 9 I m w w I i A v P j x F b n R y e S B U e X B l P S J S Z X N 1 b H R U e X B l I i B W Y W x 1 Z T 0 i c 1 R h Y m x l I i A v P j x F b n R y e S B U e X B l P S J G a W x s Z W R D b 2 1 w b G V 0 Z V J l c 3 V s d F R v V 2 9 y a 3 N o Z W V 0 I i B W Y W x 1 Z T 0 i b D A i I C 8 + P E V u d H J 5 I F R 5 c G U 9 I k Z p b G x P Y m p l Y 3 R U e X B l I i B W Y W x 1 Z T 0 i c 0 N v b m 5 l Y 3 R p b 2 5 P b m x 5 I i A v P j x F b n R y e S B U e X B l P S J G a W x s V G 9 E Y X R h T W 9 k Z W x F b m F i b G V k I i B W Y W x 1 Z T 0 i b D A i I C 8 + P E V u d H J 5 I F R 5 c G U 9 I k 5 h d m l n Y X R p b 2 5 T d G V w T m F t Z S I g V m F s d W U 9 I n N O Y X Z p Z 2 F 0 a W 9 u I i A v P j x F b n R y e S B U e X B l P S J G a W x s U 3 R h d H V z I i B W Y W x 1 Z T 0 i c 0 N v b X B s Z X R l I i A v P j x F b n R y e S B U e X B l P S J C d W Z m Z X J O Z X h 0 U m V m c m V z a C I g V m F s d W U 9 I m w x I i A v P j x F b n R y e S B U e X B l P S J G a W x s T G F z d F V w Z G F 0 Z W Q i I F Z h b H V l P S J k M j A y N S 0 x M S 0 x N F Q x N T o z N T o w N C 4 z N z g z N z Q 0 W i I g L z 4 8 R W 5 0 c n k g V H l w Z T 0 i R m l s b E V y c m 9 y Q 2 9 k Z S I g V m F s d W U 9 I n N V b m t u b 3 d u I i A v P j x F b n R y e S B U e X B l P S J B Z G R l Z F R v R G F 0 Y U 1 v Z G V s I i B W Y W x 1 Z T 0 i b D A i I C 8 + P C 9 T d G F i b G V F b n R y a W V z P j w v S X R l b T 4 8 S X R l b T 4 8 S X R l b U x v Y 2 F 0 a W 9 u P j x J d G V t V H l w Z T 5 G b 3 J t d W x h P C 9 J d G V t V H l w Z T 4 8 S X R l b V B h d G g + U 2 V j d G l v b j E v V G F i X 0 N v b X B 0 Z X V y X z 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R m l s b G V k Q 2 9 t c G x l d G V S Z X N 1 b H R U b 1 d v c m t z a G V l d C I g V m F s d W U 9 I m w w I i A v P j x F b n R y e S B U e X B l P S J G a W x s R X J y b 3 J D b 2 R l I i B W Y W x 1 Z T 0 i c 1 V u a 2 5 v d 2 4 i I C 8 + P E V u d H J 5 I F R 5 c G U 9 I k J 1 Z m Z l c k 5 l e H R S Z W Z y Z X N o I i B W Y W x 1 Z T 0 i b D E i I C 8 + P E V u d H J 5 I F R 5 c G U 9 I k F k Z G V k V G 9 E Y X R h T W 9 k Z W w i I F Z h b H V l P S J s M C I g L z 4 8 R W 5 0 c n k g V H l w Z T 0 i T m F 2 a W d h d G l v b l N 0 Z X B O Y W 1 l I i B W Y W x 1 Z T 0 i c 0 5 h d m l n Y X R p b 2 4 i I C 8 + P E V u d H J 5 I F R 5 c G U 9 I k Z p b G x M Y X N 0 V X B k Y X R l Z C I g V m F s d W U 9 I m Q y M D I 1 L T E x L T E 0 V D E 1 O j M 1 O j A 0 L j Q w O T c 1 M j h a I i A v P j x F b n R y e S B U e X B l P S J G a W x s U 3 R h d H V z I i B W Y W x 1 Z T 0 i c 0 N v b X B s Z X R l I i A v P j w v U 3 R h Y m x l R W 5 0 c m l l c z 4 8 L 0 l 0 Z W 0 + P E l 0 Z W 0 + P E l 0 Z W 1 M b 2 N h d G l v b j 4 8 S X R l b V R 5 c G U + R m 9 y b X V s Y T w v S X R l b V R 5 c G U + P E l 0 Z W 1 Q Y X R o P l N l Y 3 R p b 2 4 x L 1 R h Y l 9 D b 2 1 w d G V 1 c l 8 z L 1 N v d X J j Z T w v S X R l b V B h d G g + P C 9 J d G V t T G 9 j Y X R p b 2 4 + P F N 0 Y W J s Z U V u d H J p Z X M g L z 4 8 L 0 l 0 Z W 0 + P E l 0 Z W 0 + P E l 0 Z W 1 M b 2 N h d G l v b j 4 8 S X R l b V R 5 c G U + R m 9 y b X V s Y T w v S X R l b V R 5 c G U + P E l 0 Z W 1 Q Y X R o P l N l Y 3 R p b 2 4 x L 1 R h Y l 9 D b 2 1 w d G V 1 c l 8 z L 1 R 5 c G U l M j B t b 2 R p Z m k l Q z M l Q T k 8 L 0 l 0 Z W 1 Q Y X R o P j w v S X R l b U x v Y 2 F 0 a W 9 u P j x T d G F i b G V F b n R y a W V z I C 8 + P C 9 J d G V t P j x J d G V t P j x J d G V t T G 9 j Y X R p b 2 4 + P E l 0 Z W 1 U e X B l P k Z v c m 1 1 b G E 8 L 0 l 0 Z W 1 U e X B l P j x J d G V t U G F 0 a D 5 T Z W N 0 a W 9 u M S 9 U Y W J f Y 2 9 u Y 2 F 0 P C 9 J d G V t U G F 0 a D 4 8 L 0 l 0 Z W 1 M b 2 N h d G l v b j 4 8 U 3 R h Y m x l R W 5 0 c m l l c z 4 8 R W 5 0 c n k g V H l w Z T 0 i S X N Q c m l 2 Y X R l I i B W Y W x 1 Z T 0 i b D A i I C 8 + P E V u d H J 5 I F R 5 c G U 9 I k Z p b G x F b m F i b G V k I i B W Y W x 1 Z T 0 i b D A i I C 8 + P E V u d H J 5 I F R 5 c G U 9 I k Z p b G x P Y m p l Y 3 R U e X B l I i B W Y W x 1 Z T 0 i c 1 B p d m 9 0 V G F i b G U i I C 8 + P E V u d H J 5 I F R 5 c G U 9 I k Z p b G x U b 0 R h d G F N b 2 R l b E V u Y W J s Z W Q i I F Z h b H V l P S J s M 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C I g L z 4 8 R W 5 0 c n k g V H l w Z T 0 i U X V l c n l J R C I g V m F s d W U 9 I n M y O D A 4 Z j h m N C 0 z M G I 2 L T R h Y W Q t O W F m O C 0 2 M z A y O T d m M W J i Y W Q i I C 8 + P E V u d H J 5 I F R 5 c G U 9 I l B p d m 9 0 T 2 J q Z W N 0 T m F t Z S I g V m F s d W U 9 I n N U Q 0 R f Q 2 9 u c 2 8 h V E N E X 0 N v b n N v X 1 h f Y W 5 u Z W U i I C 8 + P E V u d H J 5 I F R 5 c G U 9 I k Z p b G x M Y X N 0 V X B k Y X R l Z C I g V m F s d W U 9 I m Q y M D I 2 L T A 2 L T M w V D E y O j I 5 O j I 4 L j U 4 M T A 2 N T R a I i A v P j x F b n R y e S B U e X B l P S J G a W x s Q 2 9 s d W 1 u V H l w Z X M i I F Z h b H V l P S J z Q U F r Q U J R V U R B d 0 E 9 I i A v P j x F b n R y e S B U e X B l P S J G a W x s R X J y b 3 J D b 3 V u d C I g V m F s d W U 9 I m w w I i A v P j x F b n R y e S B U e X B l P S J G a W x s R X J y b 3 J D b 2 R l I i B W Y W x 1 Z T 0 i c 1 V u a 2 5 v d 2 4 i I C 8 + P E V u d H J 5 I F R 5 c G U 9 I k Z p b G x D b 2 x 1 b W 5 O Y W 1 l c y I g V m F s d W U 9 I n N b J n F 1 b 3 Q 7 Q 2 9 t c H R l d X I m c X V v d D s s J n F 1 b 3 Q 7 R G F 0 Z X M m c X V v d D s s J n F 1 b 3 Q 7 Q 2 9 s b 2 5 u Z T E m c X V v d D s s J n F 1 b 3 Q 7 R G V t Y W 5 k Z V 9 q b 3 V y J n F 1 b 3 Q 7 L C Z x d W 9 0 O 0 N v d X R f a m 9 1 c i Z x d W 9 0 O y w m c X V v d D t E S l V f Y 2 h h d W Z m Y W d p c 3 R l J n F 1 b 3 Q 7 L C Z x d W 9 0 O 0 R K V V 9 j b G l t Y X R p Y 2 l l b i Z x d W 9 0 O y w m c X V v d D t D b 2 x v b m 5 l M i Z x d W 9 0 O 1 0 i I C 8 + P E V u d H J 5 I F R 5 c G U 9 I k Z p b G x D b 3 V u d C I g V m F s d W U 9 I m w x M z k 1 O S I g L z 4 8 R W 5 0 c n k g V H l w Z T 0 i R m l s b F N 0 Y X R 1 c y I g V m F s d W U 9 I n N D b 2 1 w b G V 0 Z S I g L z 4 8 R W 5 0 c n k g V H l w Z T 0 i Q W R k Z W R U b 0 R h d G F N b 2 R l b C I g V m F s d W U 9 I m w x I i A v P j x F b n R y e S B U e X B l P S J S Z W x h d G l v b n N o a X B J b m Z v Q 2 9 u d G F p b m V y I i B W Y W x 1 Z T 0 i c 3 s m c X V v d D t j b 2 x 1 b W 5 D b 3 V u d C Z x d W 9 0 O z o 4 L C Z x d W 9 0 O 2 t l e U N v b H V t b k 5 h b W V z J n F 1 b 3 Q 7 O l t d L C Z x d W 9 0 O 3 F 1 Z X J 5 U m V s Y X R p b 2 5 z a G l w c y Z x d W 9 0 O z p b X S w m c X V v d D t j b 2 x 1 b W 5 J Z G V u d G l 0 a W V z J n F 1 b 3 Q 7 O l s m c X V v d D t T Z W N 0 a W 9 u M S 9 U Y W J f Y 2 9 u Y 2 F 0 L 1 J l c X X D q n R l I G F q b 3 V 0 w 6 l l L n t D b 2 1 w d G V 1 c i w w f S Z x d W 9 0 O y w m c X V v d D t T Z W N 0 a W 9 u M S 9 U Y W J f Y 2 9 u Y 2 F 0 L 1 R 5 c G U g b W 9 k a W Z p w 6 k x L n t E Y X R l c y w x f S Z x d W 9 0 O y w m c X V v d D t T Z W N 0 a W 9 u M S 9 U Y W J f Y 2 9 u Y 2 F 0 L 1 J l c X X D q n R l I G F q b 3 V 0 w 6 l l L n t D b 2 x v b m 5 l M S w y f S Z x d W 9 0 O y w m c X V v d D t T Z W N 0 a W 9 u M S 9 U Y W J f Y 2 9 u Y 2 F 0 L 1 J l c X X D q n R l I G F q b 3 V 0 w 6 l l L n t E Z W 1 h b m R l X 2 p v d X I s M 3 0 m c X V v d D s s J n F 1 b 3 Q 7 U 2 V j d G l v b j E v V G F i X 2 N v b m N h d C 9 S Z X F 1 w 6 p 0 Z S B h a m 9 1 d M O p Z S 5 7 Q 2 9 1 d F 9 q b 3 V y L D R 9 J n F 1 b 3 Q 7 L C Z x d W 9 0 O 1 N l Y 3 R p b 2 4 x L 1 R h Y l 9 j b 2 5 j Y X Q v U m V x d c O q d G U g Y W p v d X T D q W U u e 0 R K V V 9 j a G F 1 Z m Z h Z 2 l z d G U s N X 0 m c X V v d D s s J n F 1 b 3 Q 7 U 2 V j d G l v b j E v V G F i X 2 N v b m N h d C 9 S Z X F 1 w 6 p 0 Z S B h a m 9 1 d M O p Z S 5 7 R E p V X 2 N s a W 1 h d G l j a W V u L D Z 9 J n F 1 b 3 Q 7 L C Z x d W 9 0 O 1 N l Y 3 R p b 2 4 x L 1 R h Y l 9 j b 2 5 j Y X Q v U m V x d c O q d G U g Y W p v d X T D q W U u e 0 N v b G 9 u b m U y L D d 9 J n F 1 b 3 Q 7 X S w m c X V v d D t D b 2 x 1 b W 5 D b 3 V u d C Z x d W 9 0 O z o 4 L C Z x d W 9 0 O 0 t l e U N v b H V t b k 5 h b W V z J n F 1 b 3 Q 7 O l t d L C Z x d W 9 0 O 0 N v b H V t b k l k Z W 5 0 a X R p Z X M m c X V v d D s 6 W y Z x d W 9 0 O 1 N l Y 3 R p b 2 4 x L 1 R h Y l 9 j b 2 5 j Y X Q v U m V x d c O q d G U g Y W p v d X T D q W U u e 0 N v b X B 0 Z X V y L D B 9 J n F 1 b 3 Q 7 L C Z x d W 9 0 O 1 N l Y 3 R p b 2 4 x L 1 R h Y l 9 j b 2 5 j Y X Q v V H l w Z S B t b 2 R p Z m n D q T E u e 0 R h d G V z L D F 9 J n F 1 b 3 Q 7 L C Z x d W 9 0 O 1 N l Y 3 R p b 2 4 x L 1 R h Y l 9 j b 2 5 j Y X Q v U m V x d c O q d G U g Y W p v d X T D q W U u e 0 N v b G 9 u b m U x L D J 9 J n F 1 b 3 Q 7 L C Z x d W 9 0 O 1 N l Y 3 R p b 2 4 x L 1 R h Y l 9 j b 2 5 j Y X Q v U m V x d c O q d G U g Y W p v d X T D q W U u e 0 R l b W F u Z G V f a m 9 1 c i w z f S Z x d W 9 0 O y w m c X V v d D t T Z W N 0 a W 9 u M S 9 U Y W J f Y 2 9 u Y 2 F 0 L 1 J l c X X D q n R l I G F q b 3 V 0 w 6 l l L n t D b 3 V 0 X 2 p v d X I s N H 0 m c X V v d D s s J n F 1 b 3 Q 7 U 2 V j d G l v b j E v V G F i X 2 N v b m N h d C 9 S Z X F 1 w 6 p 0 Z S B h a m 9 1 d M O p Z S 5 7 R E p V X 2 N o Y X V m Z m F n a X N 0 Z S w 1 f S Z x d W 9 0 O y w m c X V v d D t T Z W N 0 a W 9 u M S 9 U Y W J f Y 2 9 u Y 2 F 0 L 1 J l c X X D q n R l I G F q b 3 V 0 w 6 l l L n t E S l V f Y 2 x p b W F 0 a W N p Z W 4 s N n 0 m c X V v d D s s J n F 1 b 3 Q 7 U 2 V j d G l v b j E v V G F i X 2 N v b m N h d C 9 S Z X F 1 w 6 p 0 Z S B h a m 9 1 d M O p Z S 5 7 Q 2 9 s b 2 5 u Z T I s N 3 0 m c X V v d D t d L C Z x d W 9 0 O 1 J l b G F 0 a W 9 u c 2 h p c E l u Z m 8 m c X V v d D s 6 W 1 1 9 I i A v P j w v U 3 R h Y m x l R W 5 0 c m l l c z 4 8 L 0 l 0 Z W 0 + P E l 0 Z W 0 + P E l 0 Z W 1 M b 2 N h d G l v b j 4 8 S X R l b V R 5 c G U + R m 9 y b X V s Y T w v S X R l b V R 5 c G U + P E l 0 Z W 1 Q Y X R o P l N l Y 3 R p b 2 4 x L 1 R h Y l 9 j b 2 5 j Y X Q v U 2 9 1 c m N l P C 9 J d G V t U G F 0 a D 4 8 L 0 l 0 Z W 1 M b 2 N h d G l v b j 4 8 U 3 R h Y m x l R W 5 0 c m l l c y A v P j w v S X R l b T 4 8 S X R l b T 4 8 S X R l b U x v Y 2 F 0 a W 9 u P j x J d G V t V H l w Z T 5 G b 3 J t d W x h P C 9 J d G V t V H l w Z T 4 8 S X R l b V B h d G g + U 2 V j d G l v b j E v V G F i X 2 N v b m N h d C 9 U e X B l J T I w b W 9 k a W Z p J U M z J U E 5 P C 9 J d G V t U G F 0 a D 4 8 L 0 l 0 Z W 1 M b 2 N h d G l v b j 4 8 U 3 R h Y m x l R W 5 0 c m l l c y A v P j w v S X R l b T 4 8 S X R l b T 4 8 S X R l b U x v Y 2 F 0 a W 9 u P j x J d G V t V H l w Z T 5 G b 3 J t d W x h P C 9 J d G V t V H l w Z T 4 8 S X R l b V B h d G g + U 2 V j d G l v b j E v V G F i X 0 N v b X B 0 Z X V y X z 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C I g L z 4 8 R W 5 0 c n k g V H l w Z T 0 i R m l s b E x h c 3 R V c G R h d G V k I i B W Y W x 1 Z T 0 i Z D I w M j U t M T E t M T R U M T U 6 M z U 6 M D Q u N D M 5 M j A z O F o i I C 8 + P E V u d H J 5 I F R 5 c G U 9 I k Z p b G x D b 2 x 1 b W 5 U e X B l c y I g V m F s d W U 9 I n N C d 2 N E Q X d N R E F 3 T U R B Q T 0 9 I i A v P j x F b n R y e S B U e X B l P S J G a W x s R X J y b 3 J D b 2 R l I i B W Y W x 1 Z T 0 i c 1 V u a 2 5 v d 2 4 i I C 8 + P E V u d H J 5 I F R 5 c G U 9 I k F k Z G V k V G 9 E Y X R h T W 9 k Z W w i I F Z h b H V l P S J s M C I g L z 4 8 R W 5 0 c n k g V H l w Z T 0 i R m l s b E N v b H V t b k 5 h b W V z I i B W Y W x 1 Z T 0 i c 1 s m c X V v d D t E w 6 l i d X Q g Z G U g c M O p c m l v Z G U m c X V v d D s s J n F 1 b 3 Q 7 R m l u I G R l I H D D q X J p b 2 R l J n F 1 b 3 Q 7 L C Z x d W 9 0 O 1 F 1 Y W 5 0 a X T D q S Z x d W 9 0 O y w m c X V v d D t N b 2 5 0 Y W 5 0 J n F 1 b 3 Q 7 L C Z x d W 9 0 O 0 R l b H R h I E p v d X I m c X V v d D s s J n F 1 b 3 Q 7 R G V t Y W 5 k Z V 9 q b 3 V y J n F 1 b 3 Q 7 L C Z x d W 9 0 O 0 N v d X R f a m 9 1 c i Z x d W 9 0 O y w m c X V v d D t J b m R l e C Z x d W 9 0 O y w m c X V v d D t D b 2 5 z b y 9 K b 3 V y J n F 1 b 3 Q 7 L C Z x d W 9 0 O 0 N v b W 1 l b n R h a X J l c y 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f Q 2 9 t c H R l d X J f N C 9 U e X B l I G 1 v Z G l m a c O p L n t E w 6 l i d X Q g Z G U g c M O p c m l v Z G U s M H 0 m c X V v d D s s J n F 1 b 3 Q 7 U 2 V j d G l v b j E v V G F i X 0 N v b X B 0 Z X V y X z Q v V H l w Z S B t b 2 R p Z m n D q S 5 7 R m l u I G R l I H D D q X J p b 2 R l L D F 9 J n F 1 b 3 Q 7 L C Z x d W 9 0 O 1 N l Y 3 R p b 2 4 x L 1 R h Y l 9 D b 2 1 w d G V 1 c l 8 0 L 1 R 5 c G U g b W 9 k a W Z p w 6 k u e 1 F 1 Y W 5 0 a X T D q S w y f S Z x d W 9 0 O y w m c X V v d D t T Z W N 0 a W 9 u M S 9 U Y W J f Q 2 9 t c H R l d X J f N C 9 U e X B l I G 1 v Z G l m a c O p L n t N b 2 5 0 Y W 5 0 L D N 9 J n F 1 b 3 Q 7 L C Z x d W 9 0 O 1 N l Y 3 R p b 2 4 x L 1 R h Y l 9 D b 2 1 w d G V 1 c l 8 0 L 1 R 5 c G U g b W 9 k a W Z p w 6 k u e 0 R l b H R h I E p v d X I s N H 0 m c X V v d D s s J n F 1 b 3 Q 7 U 2 V j d G l v b j E v V G F i X 0 N v b X B 0 Z X V y X z Q v V H l w Z S B t b 2 R p Z m n D q S 5 7 R G V t Y W 5 k Z V 9 q b 3 V y L D V 9 J n F 1 b 3 Q 7 L C Z x d W 9 0 O 1 N l Y 3 R p b 2 4 x L 1 R h Y l 9 D b 2 1 w d G V 1 c l 8 0 L 1 R 5 c G U g b W 9 k a W Z p w 6 k u e 0 N v d X R f a m 9 1 c i w 2 f S Z x d W 9 0 O y w m c X V v d D t T Z W N 0 a W 9 u M S 9 U Y W J f Q 2 9 t c H R l d X J f N C 9 U e X B l I G 1 v Z G l m a c O p L n t J b m R l e C w 3 f S Z x d W 9 0 O y w m c X V v d D t T Z W N 0 a W 9 u M S 9 U Y W J f Q 2 9 t c H R l d X J f N C 9 U e X B l I G 1 v Z G l m a c O p L n t D b 2 5 z b y 9 K b 3 V y L D h 9 J n F 1 b 3 Q 7 L C Z x d W 9 0 O 1 N l Y 3 R p b 2 4 x L 1 R h Y l 9 D b 2 1 w d G V 1 c l 8 0 L 1 R 5 c G U g b W 9 k a W Z p w 6 k u e 0 N v b W 1 l b n R h a X J l c y w 5 f S Z x d W 9 0 O 1 0 s J n F 1 b 3 Q 7 Q 2 9 s d W 1 u Q 2 9 1 b n Q m c X V v d D s 6 M T A s J n F 1 b 3 Q 7 S 2 V 5 Q 2 9 s d W 1 u T m F t Z X M m c X V v d D s 6 W 1 0 s J n F 1 b 3 Q 7 Q 2 9 s d W 1 u S W R l b n R p d G l l c y Z x d W 9 0 O z p b J n F 1 b 3 Q 7 U 2 V j d G l v b j E v V G F i X 0 N v b X B 0 Z X V y X z Q v V H l w Z S B t b 2 R p Z m n D q S 5 7 R M O p Y n V 0 I G R l I H D D q X J p b 2 R l L D B 9 J n F 1 b 3 Q 7 L C Z x d W 9 0 O 1 N l Y 3 R p b 2 4 x L 1 R h Y l 9 D b 2 1 w d G V 1 c l 8 0 L 1 R 5 c G U g b W 9 k a W Z p w 6 k u e 0 Z p b i B k Z S B w w 6 l y a W 9 k Z S w x f S Z x d W 9 0 O y w m c X V v d D t T Z W N 0 a W 9 u M S 9 U Y W J f Q 2 9 t c H R l d X J f N C 9 U e X B l I G 1 v Z G l m a c O p L n t R d W F u d G l 0 w 6 k s M n 0 m c X V v d D s s J n F 1 b 3 Q 7 U 2 V j d G l v b j E v V G F i X 0 N v b X B 0 Z X V y X z Q v V H l w Z S B t b 2 R p Z m n D q S 5 7 T W 9 u d G F u d C w z f S Z x d W 9 0 O y w m c X V v d D t T Z W N 0 a W 9 u M S 9 U Y W J f Q 2 9 t c H R l d X J f N C 9 U e X B l I G 1 v Z G l m a c O p L n t E Z W x 0 Y S B K b 3 V y L D R 9 J n F 1 b 3 Q 7 L C Z x d W 9 0 O 1 N l Y 3 R p b 2 4 x L 1 R h Y l 9 D b 2 1 w d G V 1 c l 8 0 L 1 R 5 c G U g b W 9 k a W Z p w 6 k u e 0 R l b W F u Z G V f a m 9 1 c i w 1 f S Z x d W 9 0 O y w m c X V v d D t T Z W N 0 a W 9 u M S 9 U Y W J f Q 2 9 t c H R l d X J f N C 9 U e X B l I G 1 v Z G l m a c O p L n t D b 3 V 0 X 2 p v d X I s N n 0 m c X V v d D s s J n F 1 b 3 Q 7 U 2 V j d G l v b j E v V G F i X 0 N v b X B 0 Z X V y X z Q v V H l w Z S B t b 2 R p Z m n D q S 5 7 S W 5 k Z X g s N 3 0 m c X V v d D s s J n F 1 b 3 Q 7 U 2 V j d G l v b j E v V G F i X 0 N v b X B 0 Z X V y X z Q v V H l w Z S B t b 2 R p Z m n D q S 5 7 Q 2 9 u c 2 8 v S m 9 1 c i w 4 f S Z x d W 9 0 O y w m c X V v d D t T Z W N 0 a W 9 u M S 9 U Y W J f Q 2 9 t c H R l d X J f N C 9 U e X B l I G 1 v Z G l m a c O p L n t D b 2 1 t Z W 5 0 Y W l y Z X M s O X 0 m c X V v d D t d L C Z x d W 9 0 O 1 J l b G F 0 a W 9 u c 2 h p c E l u Z m 8 m c X V v d D s 6 W 1 1 9 I i A v P j w v U 3 R h Y m x l R W 5 0 c m l l c z 4 8 L 0 l 0 Z W 0 + P E l 0 Z W 0 + P E l 0 Z W 1 M b 2 N h d G l v b j 4 8 S X R l b V R 5 c G U + R m 9 y b X V s Y T w v S X R l b V R 5 c G U + P E l 0 Z W 1 Q Y X R o P l N l Y 3 R p b 2 4 x L 1 R h Y l 9 D b 2 1 w d G V 1 c l 8 0 L 1 N v d X J j Z T w v S X R l b V B h d G g + P C 9 J d G V t T G 9 j Y X R p b 2 4 + P F N 0 Y W J s Z U V u d H J p Z X M g L z 4 8 L 0 l 0 Z W 0 + P E l 0 Z W 0 + P E l 0 Z W 1 M b 2 N h d G l v b j 4 8 S X R l b V R 5 c G U + R m 9 y b X V s Y T w v S X R l b V R 5 c G U + P E l 0 Z W 1 Q Y X R o P l N l Y 3 R p b 2 4 x L 1 R h Y l 9 D b 2 1 w d G V 1 c l 8 0 L 1 R 5 c G U l M j B t b 2 R p Z m k l Q z M l Q T k 8 L 0 l 0 Z W 1 Q Y X R o P j w v S X R l b U x v Y 2 F 0 a W 9 u P j x T d G F i b G V F b n R y a W V z I C 8 + P C 9 J d G V t P j x J d G V t P j x J d G V t T G 9 j Y X R p b 2 4 + P E l 0 Z W 1 U e X B l P k Z v c m 1 1 b G E 8 L 0 l 0 Z W 1 U e X B l P j x J d G V t U G F 0 a D 5 T Z W N 0 a W 9 u M S 9 U Y W J f Q 2 9 t c H R l d X J f N 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1 R h Y m x l I i A v P j x F b n R y e S B U e X B l P S J G a W x s Z W R D b 2 1 w b G V 0 Z V J l c 3 V s d F R v V 2 9 y a 3 N o Z W V 0 I i B W Y W x 1 Z T 0 i b D A i I C 8 + P E V u d H J 5 I F R 5 c G U 9 I k Z p b G x F c n J v c k N v Z G U i I F Z h b H V l P S J z V W 5 r b m 9 3 b i I g L z 4 8 R W 5 0 c n k g V H l w Z T 0 i Q n V m Z m V y T m V 4 d F J l Z n J l c 2 g i I F Z h b H V l P S J s M S I g L z 4 8 R W 5 0 c n k g V H l w Z T 0 i Q W R k Z W R U b 0 R h d G F N b 2 R l b C I g V m F s d W U 9 I m w w I i A v P j x F b n R y e S B U e X B l P S J O Y X Z p Z 2 F 0 a W 9 u U 3 R l c E 5 h b W U i I F Z h b H V l P S J z T m F 2 a W d h d G l v b i I g L z 4 8 R W 5 0 c n k g V H l w Z T 0 i R m l s b E x h c 3 R V c G R h d G V k I i B W Y W x 1 Z T 0 i Z D I w M j U t M T E t M T R U M T U 6 M z U 6 M D Q u N D c y N z g z M F o i I C 8 + P E V u d H J 5 I F R 5 c G U 9 I k Z p b G x T d G F 0 d X M i I F Z h b H V l P S J z Q 2 9 t c G x l d G U i I C 8 + P C 9 T d G F i b G V F b n R y a W V z P j w v S X R l b T 4 8 S X R l b T 4 8 S X R l b U x v Y 2 F 0 a W 9 u P j x J d G V t V H l w Z T 5 G b 3 J t d W x h P C 9 J d G V t V H l w Z T 4 8 S X R l b V B h d G g + U 2 V j d G l v b j E v V G F i X 0 N v b X B 0 Z X V y X z U v U 2 9 1 c m N l P C 9 J d G V t U G F 0 a D 4 8 L 0 l 0 Z W 1 M b 2 N h d G l v b j 4 8 U 3 R h Y m x l R W 5 0 c m l l c y A v P j w v S X R l b T 4 8 S X R l b T 4 8 S X R l b U x v Y 2 F 0 a W 9 u P j x J d G V t V H l w Z T 5 G b 3 J t d W x h P C 9 J d G V t V H l w Z T 4 8 S X R l b V B h d G g + U 2 V j d G l v b j E v V G F i X 0 N v b X B 0 Z X V y X z U v V H l w Z S U y M G 1 v Z G l m a S V D M y V B O T w v S X R l b V B h d G g + P C 9 J d G V t T G 9 j Y X R p b 2 4 + P F N 0 Y W J s Z U V u d H J p Z X M g L z 4 8 L 0 l 0 Z W 0 + P E l 0 Z W 0 + P E l 0 Z W 1 M b 2 N h d G l v b j 4 8 S X R l b V R 5 c G U + R m 9 y b X V s Y T w v S X R l b V R 5 c G U + P E l 0 Z W 1 Q Y X R o P l N l Y 3 R p b 2 4 x L 1 R h Y l 9 D b 2 1 w d G V 1 c l 8 2 P C 9 J d G V t U G F 0 a D 4 8 L 0 l 0 Z W 1 M b 2 N h d G l v b j 4 8 U 3 R h Y m x l R W 5 0 c m l l c z 4 8 R W 5 0 c n k g V H l w Z T 0 i S X N Q c m l 2 Y X R l I i B W Y W x 1 Z T 0 i b D A i I C 8 + P E V u d H J 5 I F R 5 c G U 9 I k Z p b G x F b m F i b G V k I i B W Y W x 1 Z T 0 i b D A i I C 8 + P E V u d H J 5 I F R 5 c G U 9 I l J l c 3 V s d F R 5 c G U i I F Z h b H V l P S J z V G F i b G U i I C 8 + P E V u d H J 5 I F R 5 c G U 9 I k Z p b G x l Z E N v b X B s Z X R l U m V z d W x 0 V G 9 X b 3 J r c 2 h l Z X Q i I F Z h b H V l P S J s M C I g L z 4 8 R W 5 0 c n k g V H l w Z T 0 i R m l s b E 9 i a m V j d F R 5 c G U i I F Z h b H V l P S J z Q 2 9 u b m V j d G l v b k 9 u b H k i I C 8 + P E V u d H J 5 I F R 5 c G U 9 I k Z p b G x U b 0 R h d G F N b 2 R l b E V u Y W J s Z W Q i I F Z h b H V l P S J s M C I g L z 4 8 R W 5 0 c n k g V H l w Z T 0 i R m l s b E V y c m 9 y Q 2 9 k Z S I g V m F s d W U 9 I n N V b m t u b 3 d u I i A v P j x F b n R y e S B U e X B l P S J C d W Z m Z X J O Z X h 0 U m V m c m V z a C I g V m F s d W U 9 I m w x I i A v P j x F b n R y e S B U e X B l P S J B Z G R l Z F R v R G F 0 Y U 1 v Z G V s I i B W Y W x 1 Z T 0 i b D A i I C 8 + P E V u d H J 5 I F R 5 c G U 9 I k 5 h d m l n Y X R p b 2 5 T d G V w T m F t Z S I g V m F s d W U 9 I n N O Y X Z p Z 2 F 0 a W 9 u I i A v P j x F b n R y e S B U e X B l P S J G a W x s T G F z d F V w Z G F 0 Z W Q i I F Z h b H V l P S J k M j A y N S 0 x M S 0 x N F Q x N T o z N T o w N C 4 1 M j Q 3 N z E z W i I g L z 4 8 R W 5 0 c n k g V H l w Z T 0 i R m l s b F N 0 Y X R 1 c y I g V m F s d W U 9 I n N D b 2 1 w b G V 0 Z S I g L z 4 8 L 1 N 0 Y W J s Z U V u d H J p Z X M + P C 9 J d G V t P j x J d G V t P j x J d G V t T G 9 j Y X R p b 2 4 + P E l 0 Z W 1 U e X B l P k Z v c m 1 1 b G E 8 L 0 l 0 Z W 1 U e X B l P j x J d G V t U G F 0 a D 5 T Z W N 0 a W 9 u M S 9 U Y W J f Q 2 9 t c H R l d X J f N i 9 T b 3 V y Y 2 U 8 L 0 l 0 Z W 1 Q Y X R o P j w v S X R l b U x v Y 2 F 0 a W 9 u P j x T d G F i b G V F b n R y a W V z I C 8 + P C 9 J d G V t P j x J d G V t P j x J d G V t T G 9 j Y X R p b 2 4 + P E l 0 Z W 1 U e X B l P k Z v c m 1 1 b G E 8 L 0 l 0 Z W 1 U e X B l P j x J d G V t U G F 0 a D 5 T Z W N 0 a W 9 u M S 9 U Y W J f Q 2 9 t c H R l d X J f N i 9 U e X B l J T I w b W 9 k a W Z p J U M z J U E 5 P C 9 J d G V t U G F 0 a D 4 8 L 0 l 0 Z W 1 M b 2 N h d G l v b j 4 8 U 3 R h Y m x l R W 5 0 c m l l c y A v P j w v S X R l b T 4 8 S X R l b T 4 8 S X R l b U x v Y 2 F 0 a W 9 u P j x J d G V t V H l w Z T 5 G b 3 J t d W x h P C 9 J d G V t V H l w Z T 4 8 S X R l b V B h d G g + U 2 V j d G l v b j E v V G F i X 0 N v b X B 0 Z X V y X z c 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R m l s b G V k Q 2 9 t c G x l d G V S Z X N 1 b H R U b 1 d v c m t z a G V l d C I g V m F s d W U 9 I m w w I i A v P j x F b n R y e S B U e X B l P S J G a W x s R X J y b 3 J D b 2 R l I i B W Y W x 1 Z T 0 i c 1 V u a 2 5 v d 2 4 i I C 8 + P E V u d H J 5 I F R 5 c G U 9 I k J 1 Z m Z l c k 5 l e H R S Z W Z y Z X N o I i B W Y W x 1 Z T 0 i b D E i I C 8 + P E V u d H J 5 I F R 5 c G U 9 I k F k Z G V k V G 9 E Y X R h T W 9 k Z W w i I F Z h b H V l P S J s M C I g L z 4 8 R W 5 0 c n k g V H l w Z T 0 i T m F 2 a W d h d G l v b l N 0 Z X B O Y W 1 l I i B W Y W x 1 Z T 0 i c 0 5 h d m l n Y X R p b 2 4 i I C 8 + P E V u d H J 5 I F R 5 c G U 9 I k Z p b G x M Y X N 0 V X B k Y X R l Z C I g V m F s d W U 9 I m Q y M D I 1 L T E x L T E 0 V D E 1 O j M 1 O j A 0 L j U 2 N z g 1 M j F a I i A v P j x F b n R y e S B U e X B l P S J G a W x s U 3 R h d H V z I i B W Y W x 1 Z T 0 i c 0 N v b X B s Z X R l I i A v P j w v U 3 R h Y m x l R W 5 0 c m l l c z 4 8 L 0 l 0 Z W 0 + P E l 0 Z W 0 + P E l 0 Z W 1 M b 2 N h d G l v b j 4 8 S X R l b V R 5 c G U + R m 9 y b X V s Y T w v S X R l b V R 5 c G U + P E l 0 Z W 1 Q Y X R o P l N l Y 3 R p b 2 4 x L 1 R h Y l 9 D b 2 1 w d G V 1 c l 8 3 L 1 N v d X J j Z T w v S X R l b V B h d G g + P C 9 J d G V t T G 9 j Y X R p b 2 4 + P F N 0 Y W J s Z U V u d H J p Z X M g L z 4 8 L 0 l 0 Z W 0 + P E l 0 Z W 0 + P E l 0 Z W 1 M b 2 N h d G l v b j 4 8 S X R l b V R 5 c G U + R m 9 y b X V s Y T w v S X R l b V R 5 c G U + P E l 0 Z W 1 Q Y X R o P l N l Y 3 R p b 2 4 x L 1 R h Y l 9 D b 2 1 w d G V 1 c l 8 3 L 1 R 5 c G U l M j B t b 2 R p Z m k l Q z M l Q T k 8 L 0 l 0 Z W 1 Q Y X R o P j w v S X R l b U x v Y 2 F 0 a W 9 u P j x T d G F i b G V F b n R y a W V z I C 8 + P C 9 J d G V t P j x J d G V t P j x J d G V t T G 9 j Y X R p b 2 4 + P E l 0 Z W 1 U e X B l P k Z v c m 1 1 b G E 8 L 0 l 0 Z W 1 U e X B l P j x J d G V t U G F 0 a D 5 T Z W N 0 a W 9 u M S 9 U Y W J f Q 2 9 t c H R l d X J f O 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1 R h Y m x l I i A v P j x F b n R y e S B U e X B l P S J G a W x s Z W R D b 2 1 w b G V 0 Z V J l c 3 V s d F R v V 2 9 y a 3 N o Z W V 0 I i B W Y W x 1 Z T 0 i b D A i I C 8 + P E V u d H J 5 I F R 5 c G U 9 I k Z p b G x F c n J v c k N v Z G U i I F Z h b H V l P S J z V W 5 r b m 9 3 b i I g L z 4 8 R W 5 0 c n k g V H l w Z T 0 i Q n V m Z m V y T m V 4 d F J l Z n J l c 2 g i I F Z h b H V l P S J s M S I g L z 4 8 R W 5 0 c n k g V H l w Z T 0 i Q W R k Z W R U b 0 R h d G F N b 2 R l b C I g V m F s d W U 9 I m w w I i A v P j x F b n R y e S B U e X B l P S J O Y X Z p Z 2 F 0 a W 9 u U 3 R l c E 5 h b W U i I F Z h b H V l P S J z T m F 2 a W d h d G l v b i I g L z 4 8 R W 5 0 c n k g V H l w Z T 0 i R m l s b E x h c 3 R V c G R h d G V k I i B W Y W x 1 Z T 0 i Z D I w M j U t M T E t M T R U M T U 6 M z U 6 M D Q u N j A 4 M T U x M l o i I C 8 + P E V u d H J 5 I F R 5 c G U 9 I k Z p b G x T d G F 0 d X M i I F Z h b H V l P S J z Q 2 9 t c G x l d G U i I C 8 + P C 9 T d G F i b G V F b n R y a W V z P j w v S X R l b T 4 8 S X R l b T 4 8 S X R l b U x v Y 2 F 0 a W 9 u P j x J d G V t V H l w Z T 5 G b 3 J t d W x h P C 9 J d G V t V H l w Z T 4 8 S X R l b V B h d G g + U 2 V j d G l v b j E v V G F i X 0 N v b X B 0 Z X V y X z g v U 2 9 1 c m N l P C 9 J d G V t U G F 0 a D 4 8 L 0 l 0 Z W 1 M b 2 N h d G l v b j 4 8 U 3 R h Y m x l R W 5 0 c m l l c y A v P j w v S X R l b T 4 8 S X R l b T 4 8 S X R l b U x v Y 2 F 0 a W 9 u P j x J d G V t V H l w Z T 5 G b 3 J t d W x h P C 9 J d G V t V H l w Z T 4 8 S X R l b V B h d G g + U 2 V j d G l v b j E v V G F i X 0 N v b X B 0 Z X V y X z g v V H l w Z S U y M G 1 v Z G l m a S V D M y V B O T w v S X R l b V B h d G g + P C 9 J d G V t T G 9 j Y X R p b 2 4 + P F N 0 Y W J s Z U V u d H J p Z X M g L z 4 8 L 0 l 0 Z W 0 + P E l 0 Z W 0 + P E l 0 Z W 1 M b 2 N h d G l v b j 4 8 S X R l b V R 5 c G U + R m 9 y b X V s Y T w v S X R l b V R 5 c G U + P E l 0 Z W 1 Q Y X R o P l N l Y 3 R p b 2 4 x L 1 R h Y l 9 j b 2 5 j Y X Q v T G l n b m V z J T I w Z m l s d H I l Q z M l Q T l l c z w v S X R l b V B h d G g + P C 9 J d G V t T G 9 j Y X R p b 2 4 + P F N 0 Y W J s Z U V u d H J p Z X M g L z 4 8 L 0 l 0 Z W 0 + P E l 0 Z W 0 + P E l 0 Z W 1 M b 2 N h d G l v b j 4 8 S X R l b V R 5 c G U + R m 9 y b X V s Y T w v S X R l b V R 5 c G U + P E l 0 Z W 1 Q Y X R o P l N l Y 3 R p b 2 4 x L 1 R h Y l 9 D b 2 1 w d G V 1 c l 8 y L 1 N v d X J j Z T w v S X R l b V B h d G g + P C 9 J d G V t T G 9 j Y X R p b 2 4 + P F N 0 Y W J s Z U V u d H J p Z X M g L z 4 8 L 0 l 0 Z W 0 + P E l 0 Z W 0 + P E l 0 Z W 1 M b 2 N h d G l v b j 4 8 S X R l b V R 5 c G U + R m 9 y b X V s Y T w v S X R l b V R 5 c G U + P E l 0 Z W 1 Q Y X R o P l N l Y 3 R p b 2 4 x L 1 R h Y l 9 D b 2 1 w d G V 1 c l 8 y L 1 R 5 c G U l M j B t b 2 R p Z m k l Q z M l Q T k 8 L 0 l 0 Z W 1 Q Y X R o P j w v S X R l b U x v Y 2 F 0 a W 9 u P j x T d G F i b G V F b n R y a W V z I C 8 + P C 9 J d G V t P j x J d G V t P j x J d G V t T G 9 j Y X R p b 2 4 + P E l 0 Z W 1 U e X B l P k Z v c m 1 1 b G E 8 L 0 l 0 Z W 1 U e X B l P j x J d G V t U G F 0 a D 5 T Z W N 0 a W 9 u M S 9 U Y W J f Q 2 9 t c H R l d X J f M i 9 D b 2 x v b m 5 l J T I w Q 2 9 t c H R l d X I l M j B h a m 9 1 d C V D M y V B O W U 8 L 0 l 0 Z W 1 Q Y X R o P j w v S X R l b U x v Y 2 F 0 a W 9 u P j x T d G F i b G V F b n R y a W V z I C 8 + P C 9 J d G V t P j x J d G V t P j x J d G V t T G 9 j Y X R p b 2 4 + P E l 0 Z W 1 U e X B l P k Z v c m 1 1 b G E 8 L 0 l 0 Z W 1 U e X B l P j x J d G V t U G F 0 a D 5 T Z W N 0 a W 9 u M S 9 U Y W J f Q 2 9 t c H R l d X J f M i 9 Q c m V t a S V D M y V B O H J l c y U y M G x p Z 2 5 l c y U y M H N 1 c H B y a W 0 l Q z M l Q T l l c z w v S X R l b V B h d G g + P C 9 J d G V t T G 9 j Y X R p b 2 4 + P F N 0 Y W J s Z U V u d H J p Z X M g L z 4 8 L 0 l 0 Z W 0 + P E l 0 Z W 0 + P E l 0 Z W 1 M b 2 N h d G l v b j 4 8 S X R l b V R 5 c G U + R m 9 y b X V s Y T w v S X R l b V R 5 c G U + P E l 0 Z W 1 Q Y X R o P l N l Y 3 R p b 2 4 x L 1 R h Y l 9 D b 2 1 w d G V 1 c l 8 y L 0 x p Z 2 5 l c y U y M G Z p b H R y J U M z J U E 5 Z X M 8 L 0 l 0 Z W 1 Q Y X R o P j w v S X R l b U x v Y 2 F 0 a W 9 u P j x T d G F i b G V F b n R y a W V z I C 8 + P C 9 J d G V t P j x J d G V t P j x J d G V t T G 9 j Y X R p b 2 4 + P E l 0 Z W 1 U e X B l P k Z v c m 1 1 b G E 8 L 0 l 0 Z W 1 U e X B l P j x J d G V t U G F 0 a D 5 T Z W N 0 a W 9 u M S 9 U Y W J f Q 2 9 t c H R l d X J f M i 9 B a m 9 1 d C U y M E x p c 3 R l J T I w R G F 0 Z X M 8 L 0 l 0 Z W 1 Q Y X R o P j w v S X R l b U x v Y 2 F 0 a W 9 u P j x T d G F i b G V F b n R y a W V z I C 8 + P C 9 J d G V t P j x J d G V t P j x J d G V t T G 9 j Y X R p b 2 4 + P E l 0 Z W 1 U e X B l P k Z v c m 1 1 b G E 8 L 0 l 0 Z W 1 U e X B l P j x J d G V t U G F 0 a D 5 T Z W N 0 a W 9 u M S 9 U Y W J f Q 2 9 t c H R l d X J f M i 9 E J U M z J U E 5 d m V s b 3 B w Z X I l M j B s Z X M l M j B E Y X R l c z w v S X R l b V B h d G g + P C 9 J d G V t T G 9 j Y X R p b 2 4 + P F N 0 Y W J s Z U V u d H J p Z X M g L z 4 8 L 0 l 0 Z W 0 + P E l 0 Z W 0 + P E l 0 Z W 1 M b 2 N h d G l v b j 4 8 S X R l b V R 5 c G U + R m 9 y b X V s Y T w v S X R l b V R 5 c G U + P E l 0 Z W 1 Q Y X R o P l N l Y 3 R p b 2 4 x L 1 R h Y l 9 j b 2 5 j Y X Q v U H J l b W k l Q z M l Q T h y Z X M l M j B s a W d u Z X M l M j B z d X B w c m l t J U M z J U E 5 Z X M 8 L 0 l 0 Z W 1 Q Y X R o P j w v S X R l b U x v Y 2 F 0 a W 9 u P j x T d G F i b G V F b n R y a W V z I C 8 + P C 9 J d G V t P j x J d G V t P j x J d G V t T G 9 j Y X R p b 2 4 + P E l 0 Z W 1 U e X B l P k Z v c m 1 1 b G E 8 L 0 l 0 Z W 1 U e X B l P j x J d G V t U G F 0 a D 5 T Z W N 0 a W 9 u M S 9 U Y W J f Y 2 9 u Y 2 F 0 L 0 N v b G 9 u b m U l M j B D b 2 1 w d G V 1 c i U y M G F q b 3 V 0 J U M z J U E 5 Z T w v S X R l b V B h d G g + P C 9 J d G V t T G 9 j Y X R p b 2 4 + P F N 0 Y W J s Z U V u d H J p Z X M g L z 4 8 L 0 l 0 Z W 0 + P E l 0 Z W 0 + P E l 0 Z W 1 M b 2 N h d G l v b j 4 8 S X R l b V R 5 c G U + R m 9 y b X V s Y T w v S X R l b V R 5 c G U + P E l 0 Z W 1 Q Y X R o P l N l Y 3 R p b 2 4 x L 1 R h Y l 9 j b 2 5 j Y X Q v Q W p v d X Q l M j B M a X N 0 Z S U y M E R h d G V z P C 9 J d G V t U G F 0 a D 4 8 L 0 l 0 Z W 1 M b 2 N h d G l v b j 4 8 U 3 R h Y m x l R W 5 0 c m l l c y A v P j w v S X R l b T 4 8 S X R l b T 4 8 S X R l b U x v Y 2 F 0 a W 9 u P j x J d G V t V H l w Z T 5 G b 3 J t d W x h P C 9 J d G V t V H l w Z T 4 8 S X R l b V B h d G g + U 2 V j d G l v b j E v V G F i X 2 N v b m N h d C 9 E J U M z J U E 5 d m V s b 3 B w Z X I l M j B s Z X M l M j B E Y X R l c z w v S X R l b V B h d G g + P C 9 J d G V t T G 9 j Y X R p b 2 4 + P F N 0 Y W J s Z U V u d H J p Z X M g L z 4 8 L 0 l 0 Z W 0 + P E l 0 Z W 0 + P E l 0 Z W 1 M b 2 N h d G l v b j 4 8 S X R l b V R 5 c G U + R m 9 y b X V s Y T w v S X R l b V R 5 c G U + P E l 0 Z W 1 Q Y X R o P l N l Y 3 R p b 2 4 x L 1 R h Y l 9 j b 2 5 j Y X Q v Q 2 9 s b 2 5 u Z X M l M j B z d X B w c m l t J U M z J U E 5 Z X M 8 L 0 l 0 Z W 1 Q Y X R o P j w v S X R l b U x v Y 2 F 0 a W 9 u P j x T d G F i b G V F b n R y a W V z I C 8 + P C 9 J d G V t P j x J d G V t P j x J d G V t T G 9 j Y X R p b 2 4 + P E l 0 Z W 1 U e X B l P k Z v c m 1 1 b G E 8 L 0 l 0 Z W 1 U e X B l P j x J d G V t U G F 0 a D 5 T Z W N 0 a W 9 u M S 9 U Y W J f Y 2 9 u Y 2 F 0 L 0 N v b G 9 u b m V z J T I w c G V y b X V 0 J U M z J U E 5 Z X M 8 L 0 l 0 Z W 1 Q Y X R o P j w v S X R l b U x v Y 2 F 0 a W 9 u P j x T d G F i b G V F b n R y a W V z I C 8 + P C 9 J d G V t P j x J d G V t P j x J d G V t T G 9 j Y X R p b 2 4 + P E l 0 Z W 1 U e X B l P k Z v c m 1 1 b G E 8 L 0 l 0 Z W 1 U e X B l P j x J d G V t U G F 0 a D 5 T Z W N 0 a W 9 u M S 9 U Y W J f Q 2 9 t c H R l d X J f M i 9 D b 2 x v b m 5 l c y U y M H N 1 c H B y a W 0 l Q z M l Q T l l c z w v S X R l b V B h d G g + P C 9 J d G V t T G 9 j Y X R p b 2 4 + P F N 0 Y W J s Z U V u d H J p Z X M g L z 4 8 L 0 l 0 Z W 0 + P E l 0 Z W 0 + P E l 0 Z W 1 M b 2 N h d G l v b j 4 8 S X R l b V R 5 c G U + R m 9 y b X V s Y T w v S X R l b V R 5 c G U + P E l 0 Z W 1 Q Y X R o P l N l Y 3 R p b 2 4 x L 1 R h Y l 9 D b 2 1 w d G V 1 c l 8 y L 0 N v b G 9 u b m V z J T I w c G V y b X V 0 J U M z J U E 5 Z X M 8 L 0 l 0 Z W 1 Q Y X R o P j w v S X R l b U x v Y 2 F 0 a W 9 u P j x T d G F i b G V F b n R y a W V z I C 8 + P C 9 J d G V t P j x J d G V t P j x J d G V t T G 9 j Y X R p b 2 4 + P E l 0 Z W 1 U e X B l P k Z v c m 1 1 b G E 8 L 0 l 0 Z W 1 U e X B l P j x J d G V t U G F 0 a D 5 T Z W N 0 a W 9 u M S 9 U Y W J f Q 2 9 t c H R l d X J f M y 9 Q c m V t a S V D M y V B O H J l c y U y M G x p Z 2 5 l c y U y M H N 1 c H B y a W 0 l Q z M l Q T l l c z w v S X R l b V B h d G g + P C 9 J d G V t T G 9 j Y X R p b 2 4 + P F N 0 Y W J s Z U V u d H J p Z X M g L z 4 8 L 0 l 0 Z W 0 + P E l 0 Z W 0 + P E l 0 Z W 1 M b 2 N h d G l v b j 4 8 S X R l b V R 5 c G U + R m 9 y b X V s Y T w v S X R l b V R 5 c G U + P E l 0 Z W 1 Q Y X R o P l N l Y 3 R p b 2 4 x L 1 R h Y l 9 D b 2 1 w d G V 1 c l 8 z L 0 N v b G 9 u b m U l M j B D b 2 1 w d G V 1 c i U y M G F q b 3 V 0 J U M z J U E 5 Z T w v S X R l b V B h d G g + P C 9 J d G V t T G 9 j Y X R p b 2 4 + P F N 0 Y W J s Z U V u d H J p Z X M g L z 4 8 L 0 l 0 Z W 0 + P E l 0 Z W 0 + P E l 0 Z W 1 M b 2 N h d G l v b j 4 8 S X R l b V R 5 c G U + R m 9 y b X V s Y T w v S X R l b V R 5 c G U + P E l 0 Z W 1 Q Y X R o P l N l Y 3 R p b 2 4 x L 1 R h Y l 9 D b 2 1 w d G V 1 c l 8 z L 0 x p Z 2 5 l c y U y M G Z p b H R y J U M z J U E 5 Z X M 8 L 0 l 0 Z W 1 Q Y X R o P j w v S X R l b U x v Y 2 F 0 a W 9 u P j x T d G F i b G V F b n R y a W V z I C 8 + P C 9 J d G V t P j x J d G V t P j x J d G V t T G 9 j Y X R p b 2 4 + P E l 0 Z W 1 U e X B l P k Z v c m 1 1 b G E 8 L 0 l 0 Z W 1 U e X B l P j x J d G V t U G F 0 a D 5 T Z W N 0 a W 9 u M S 9 U Y W J f Q 2 9 t c H R l d X J f M y 9 B a m 9 1 d C U y M E x p c 3 R l J T I w R G F 0 Z X M 8 L 0 l 0 Z W 1 Q Y X R o P j w v S X R l b U x v Y 2 F 0 a W 9 u P j x T d G F i b G V F b n R y a W V z I C 8 + P C 9 J d G V t P j x J d G V t P j x J d G V t T G 9 j Y X R p b 2 4 + P E l 0 Z W 1 U e X B l P k Z v c m 1 1 b G E 8 L 0 l 0 Z W 1 U e X B l P j x J d G V t U G F 0 a D 5 T Z W N 0 a W 9 u M S 9 U Y W J f Q 2 9 t c H R l d X J f M y 9 E J U M z J U E 5 d m V s b 3 B w Z X I l M j B s Z X M l M j B E Y X R l c z w v S X R l b V B h d G g + P C 9 J d G V t T G 9 j Y X R p b 2 4 + P F N 0 Y W J s Z U V u d H J p Z X M g L z 4 8 L 0 l 0 Z W 0 + P E l 0 Z W 0 + P E l 0 Z W 1 M b 2 N h d G l v b j 4 8 S X R l b V R 5 c G U + R m 9 y b X V s Y T w v S X R l b V R 5 c G U + P E l 0 Z W 1 Q Y X R o P l N l Y 3 R p b 2 4 x L 1 R h Y l 9 D b 2 1 w d G V 1 c l 8 z L 0 N v b G 9 u b m V z J T I w c 3 V w c H J p b S V D M y V B O W V z P C 9 J d G V t U G F 0 a D 4 8 L 0 l 0 Z W 1 M b 2 N h d G l v b j 4 8 U 3 R h Y m x l R W 5 0 c m l l c y A v P j w v S X R l b T 4 8 S X R l b T 4 8 S X R l b U x v Y 2 F 0 a W 9 u P j x J d G V t V H l w Z T 5 G b 3 J t d W x h P C 9 J d G V t V H l w Z T 4 8 S X R l b V B h d G g + U 2 V j d G l v b j E v V G F i X 0 N v b X B 0 Z X V y X z M v Q 2 9 s b 2 5 u Z X M l M j B w Z X J t d X Q l Q z M l Q T l l c z w v S X R l b V B h d G g + P C 9 J d G V t T G 9 j Y X R p b 2 4 + P F N 0 Y W J s Z U V u d H J p Z X M g L z 4 8 L 0 l 0 Z W 0 + P E l 0 Z W 0 + P E l 0 Z W 1 M b 2 N h d G l v b j 4 8 S X R l b V R 5 c G U + R m 9 y b X V s Y T w v S X R l b V R 5 c G U + P E l 0 Z W 1 Q Y X R o P l N l Y 3 R p b 2 4 x L 1 R h Y l 9 D b 2 1 w d G V 1 c l 8 0 L 1 B y Z W 1 p J U M z J U E 4 c m V z J T I w b G l n b m V z J T I w c 3 V w c H J p b S V D M y V B O W V z P C 9 J d G V t U G F 0 a D 4 8 L 0 l 0 Z W 1 M b 2 N h d G l v b j 4 8 U 3 R h Y m x l R W 5 0 c m l l c y A v P j w v S X R l b T 4 8 S X R l b T 4 8 S X R l b U x v Y 2 F 0 a W 9 u P j x J d G V t V H l w Z T 5 G b 3 J t d W x h P C 9 J d G V t V H l w Z T 4 8 S X R l b V B h d G g + U 2 V j d G l v b j E v V G F i X 0 N v b X B 0 Z X V y X z Q v Q 2 9 s b 2 5 u Z S U y M E N v b X B 0 Z X V y J T I w Y W p v d X Q l Q z M l Q T l l P C 9 J d G V t U G F 0 a D 4 8 L 0 l 0 Z W 1 M b 2 N h d G l v b j 4 8 U 3 R h Y m x l R W 5 0 c m l l c y A v P j w v S X R l b T 4 8 S X R l b T 4 8 S X R l b U x v Y 2 F 0 a W 9 u P j x J d G V t V H l w Z T 5 G b 3 J t d W x h P C 9 J d G V t V H l w Z T 4 8 S X R l b V B h d G g + U 2 V j d G l v b j E v V G F i X 0 N v b X B 0 Z X V y X z Q v T G l n b m V z J T I w Z m l s d H I l Q z M l Q T l l c z w v S X R l b V B h d G g + P C 9 J d G V t T G 9 j Y X R p b 2 4 + P F N 0 Y W J s Z U V u d H J p Z X M g L z 4 8 L 0 l 0 Z W 0 + P E l 0 Z W 0 + P E l 0 Z W 1 M b 2 N h d G l v b j 4 8 S X R l b V R 5 c G U + R m 9 y b X V s Y T w v S X R l b V R 5 c G U + P E l 0 Z W 1 Q Y X R o P l N l Y 3 R p b 2 4 x L 1 R h Y l 9 D b 2 1 w d G V 1 c l 8 0 L 0 F q b 3 V 0 J T I w T G l z d G U l M j B E Y X R l c z w v S X R l b V B h d G g + P C 9 J d G V t T G 9 j Y X R p b 2 4 + P F N 0 Y W J s Z U V u d H J p Z X M g L z 4 8 L 0 l 0 Z W 0 + P E l 0 Z W 0 + P E l 0 Z W 1 M b 2 N h d G l v b j 4 8 S X R l b V R 5 c G U + R m 9 y b X V s Y T w v S X R l b V R 5 c G U + P E l 0 Z W 1 Q Y X R o P l N l Y 3 R p b 2 4 x L 1 R h Y l 9 D b 2 1 w d G V 1 c l 8 0 L 0 Q l Q z M l Q T l 2 Z W x v c H B l c i U y M G x l c y U y M E R h d G V z P C 9 J d G V t U G F 0 a D 4 8 L 0 l 0 Z W 1 M b 2 N h d G l v b j 4 8 U 3 R h Y m x l R W 5 0 c m l l c y A v P j w v S X R l b T 4 8 S X R l b T 4 8 S X R l b U x v Y 2 F 0 a W 9 u P j x J d G V t V H l w Z T 5 G b 3 J t d W x h P C 9 J d G V t V H l w Z T 4 8 S X R l b V B h d G g + U 2 V j d G l v b j E v V G F i X 0 N v b X B 0 Z X V y X z Q v Q 2 9 s b 2 5 u Z X M l M j B z d X B w c m l t J U M z J U E 5 Z X M 8 L 0 l 0 Z W 1 Q Y X R o P j w v S X R l b U x v Y 2 F 0 a W 9 u P j x T d G F i b G V F b n R y a W V z I C 8 + P C 9 J d G V t P j x J d G V t P j x J d G V t T G 9 j Y X R p b 2 4 + P E l 0 Z W 1 U e X B l P k Z v c m 1 1 b G E 8 L 0 l 0 Z W 1 U e X B l P j x J d G V t U G F 0 a D 5 T Z W N 0 a W 9 u M S 9 U Y W J f Q 2 9 t c H R l d X J f N C 9 D b 2 x v b m 5 l c y U y M H B l c m 1 1 d C V D M y V B O W V z P C 9 J d G V t U G F 0 a D 4 8 L 0 l 0 Z W 1 M b 2 N h d G l v b j 4 8 U 3 R h Y m x l R W 5 0 c m l l c y A v P j w v S X R l b T 4 8 S X R l b T 4 8 S X R l b U x v Y 2 F 0 a W 9 u P j x J d G V t V H l w Z T 5 G b 3 J t d W x h P C 9 J d G V t V H l w Z T 4 8 S X R l b V B h d G g + U 2 V j d G l v b j E v V G F i X 0 N v b X B 0 Z X V y X z U v U H J l b W k l Q z M l Q T h y Z X M l M j B s a W d u Z X M l M j B z d X B w c m l t J U M z J U E 5 Z X M 8 L 0 l 0 Z W 1 Q Y X R o P j w v S X R l b U x v Y 2 F 0 a W 9 u P j x T d G F i b G V F b n R y a W V z I C 8 + P C 9 J d G V t P j x J d G V t P j x J d G V t T G 9 j Y X R p b 2 4 + P E l 0 Z W 1 U e X B l P k Z v c m 1 1 b G E 8 L 0 l 0 Z W 1 U e X B l P j x J d G V t U G F 0 a D 5 T Z W N 0 a W 9 u M S 9 U Y W J f Q 2 9 t c H R l d X J f N S 9 D b 2 x v b m 5 l J T I w Q 2 9 t c H R l d X I l M j B h a m 9 1 d C V D M y V B O W U 8 L 0 l 0 Z W 1 Q Y X R o P j w v S X R l b U x v Y 2 F 0 a W 9 u P j x T d G F i b G V F b n R y a W V z I C 8 + P C 9 J d G V t P j x J d G V t P j x J d G V t T G 9 j Y X R p b 2 4 + P E l 0 Z W 1 U e X B l P k Z v c m 1 1 b G E 8 L 0 l 0 Z W 1 U e X B l P j x J d G V t U G F 0 a D 5 T Z W N 0 a W 9 u M S 9 U Y W J f Q 2 9 t c H R l d X J f N S 9 M a W d u Z X M l M j B m a W x 0 c i V D M y V B O W V z P C 9 J d G V t U G F 0 a D 4 8 L 0 l 0 Z W 1 M b 2 N h d G l v b j 4 8 U 3 R h Y m x l R W 5 0 c m l l c y A v P j w v S X R l b T 4 8 S X R l b T 4 8 S X R l b U x v Y 2 F 0 a W 9 u P j x J d G V t V H l w Z T 5 G b 3 J t d W x h P C 9 J d G V t V H l w Z T 4 8 S X R l b V B h d G g + U 2 V j d G l v b j E v V G F i X 0 N v b X B 0 Z X V y X z U v Q W p v d X Q l M j B M a X N 0 Z S U y M E R h d G V z P C 9 J d G V t U G F 0 a D 4 8 L 0 l 0 Z W 1 M b 2 N h d G l v b j 4 8 U 3 R h Y m x l R W 5 0 c m l l c y A v P j w v S X R l b T 4 8 S X R l b T 4 8 S X R l b U x v Y 2 F 0 a W 9 u P j x J d G V t V H l w Z T 5 G b 3 J t d W x h P C 9 J d G V t V H l w Z T 4 8 S X R l b V B h d G g + U 2 V j d G l v b j E v V G F i X 0 N v b X B 0 Z X V y X z U v R C V D M y V B O X Z l b G 9 w c G V y J T I w b G V z J T I w R G F 0 Z X M 8 L 0 l 0 Z W 1 Q Y X R o P j w v S X R l b U x v Y 2 F 0 a W 9 u P j x T d G F i b G V F b n R y a W V z I C 8 + P C 9 J d G V t P j x J d G V t P j x J d G V t T G 9 j Y X R p b 2 4 + P E l 0 Z W 1 U e X B l P k Z v c m 1 1 b G E 8 L 0 l 0 Z W 1 U e X B l P j x J d G V t U G F 0 a D 5 T Z W N 0 a W 9 u M S 9 U Y W J f Q 2 9 t c H R l d X J f N S 9 D b 2 x v b m 5 l c y U y M H N 1 c H B y a W 0 l Q z M l Q T l l c z w v S X R l b V B h d G g + P C 9 J d G V t T G 9 j Y X R p b 2 4 + P F N 0 Y W J s Z U V u d H J p Z X M g L z 4 8 L 0 l 0 Z W 0 + P E l 0 Z W 0 + P E l 0 Z W 1 M b 2 N h d G l v b j 4 8 S X R l b V R 5 c G U + R m 9 y b X V s Y T w v S X R l b V R 5 c G U + P E l 0 Z W 1 Q Y X R o P l N l Y 3 R p b 2 4 x L 1 R h Y l 9 D b 2 1 w d G V 1 c l 8 1 L 0 N v b G 9 u b m V z J T I w c G V y b X V 0 J U M z J U E 5 Z X M 8 L 0 l 0 Z W 1 Q Y X R o P j w v S X R l b U x v Y 2 F 0 a W 9 u P j x T d G F i b G V F b n R y a W V z I C 8 + P C 9 J d G V t P j x J d G V t P j x J d G V t T G 9 j Y X R p b 2 4 + P E l 0 Z W 1 U e X B l P k Z v c m 1 1 b G E 8 L 0 l 0 Z W 1 U e X B l P j x J d G V t U G F 0 a D 5 T Z W N 0 a W 9 u M S 9 U Y W J f Q 2 9 t c H R l d X J f N i 9 Q c m V t a S V D M y V B O H J l c y U y M G x p Z 2 5 l c y U y M H N 1 c H B y a W 0 l Q z M l Q T l l c z w v S X R l b V B h d G g + P C 9 J d G V t T G 9 j Y X R p b 2 4 + P F N 0 Y W J s Z U V u d H J p Z X M g L z 4 8 L 0 l 0 Z W 0 + P E l 0 Z W 0 + P E l 0 Z W 1 M b 2 N h d G l v b j 4 8 S X R l b V R 5 c G U + R m 9 y b X V s Y T w v S X R l b V R 5 c G U + P E l 0 Z W 1 Q Y X R o P l N l Y 3 R p b 2 4 x L 1 R h Y l 9 D b 2 1 w d G V 1 c l 8 2 L 0 N v b G 9 u b m U l M j B D b 2 1 w d G V 1 c i U y M G F q b 3 V 0 J U M z J U E 5 Z T w v S X R l b V B h d G g + P C 9 J d G V t T G 9 j Y X R p b 2 4 + P F N 0 Y W J s Z U V u d H J p Z X M g L z 4 8 L 0 l 0 Z W 0 + P E l 0 Z W 0 + P E l 0 Z W 1 M b 2 N h d G l v b j 4 8 S X R l b V R 5 c G U + R m 9 y b X V s Y T w v S X R l b V R 5 c G U + P E l 0 Z W 1 Q Y X R o P l N l Y 3 R p b 2 4 x L 1 R h Y l 9 D b 2 1 w d G V 1 c l 8 2 L 0 x p Z 2 5 l c y U y M G Z p b H R y J U M z J U E 5 Z X M 8 L 0 l 0 Z W 1 Q Y X R o P j w v S X R l b U x v Y 2 F 0 a W 9 u P j x T d G F i b G V F b n R y a W V z I C 8 + P C 9 J d G V t P j x J d G V t P j x J d G V t T G 9 j Y X R p b 2 4 + P E l 0 Z W 1 U e X B l P k Z v c m 1 1 b G E 8 L 0 l 0 Z W 1 U e X B l P j x J d G V t U G F 0 a D 5 T Z W N 0 a W 9 u M S 9 U Y W J f Q 2 9 t c H R l d X J f N i 9 B a m 9 1 d C U y M E x p c 3 R l J T I w R G F 0 Z X M 8 L 0 l 0 Z W 1 Q Y X R o P j w v S X R l b U x v Y 2 F 0 a W 9 u P j x T d G F i b G V F b n R y a W V z I C 8 + P C 9 J d G V t P j x J d G V t P j x J d G V t T G 9 j Y X R p b 2 4 + P E l 0 Z W 1 U e X B l P k Z v c m 1 1 b G E 8 L 0 l 0 Z W 1 U e X B l P j x J d G V t U G F 0 a D 5 T Z W N 0 a W 9 u M S 9 U Y W J f Q 2 9 t c H R l d X J f N i 9 E J U M z J U E 5 d m V s b 3 B w Z X I l M j B s Z X M l M j B E Y X R l c z w v S X R l b V B h d G g + P C 9 J d G V t T G 9 j Y X R p b 2 4 + P F N 0 Y W J s Z U V u d H J p Z X M g L z 4 8 L 0 l 0 Z W 0 + P E l 0 Z W 0 + P E l 0 Z W 1 M b 2 N h d G l v b j 4 8 S X R l b V R 5 c G U + R m 9 y b X V s Y T w v S X R l b V R 5 c G U + P E l 0 Z W 1 Q Y X R o P l N l Y 3 R p b 2 4 x L 1 R h Y l 9 D b 2 1 w d G V 1 c l 8 2 L 0 N v b G 9 u b m V z J T I w c 3 V w c H J p b S V D M y V B O W V z P C 9 J d G V t U G F 0 a D 4 8 L 0 l 0 Z W 1 M b 2 N h d G l v b j 4 8 U 3 R h Y m x l R W 5 0 c m l l c y A v P j w v S X R l b T 4 8 S X R l b T 4 8 S X R l b U x v Y 2 F 0 a W 9 u P j x J d G V t V H l w Z T 5 G b 3 J t d W x h P C 9 J d G V t V H l w Z T 4 8 S X R l b V B h d G g + U 2 V j d G l v b j E v V G F i X 0 N v b X B 0 Z X V y X z Y v Q 2 9 s b 2 5 u Z X M l M j B w Z X J t d X Q l Q z M l Q T l l c z w v S X R l b V B h d G g + P C 9 J d G V t T G 9 j Y X R p b 2 4 + P F N 0 Y W J s Z U V u d H J p Z X M g L z 4 8 L 0 l 0 Z W 0 + P E l 0 Z W 0 + P E l 0 Z W 1 M b 2 N h d G l v b j 4 8 S X R l b V R 5 c G U + R m 9 y b X V s Y T w v S X R l b V R 5 c G U + P E l 0 Z W 1 Q Y X R o P l N l Y 3 R p b 2 4 x L 1 R h Y l 9 D b 2 1 w d G V 1 c l 8 3 L 1 B y Z W 1 p J U M z J U E 4 c m V z J T I w b G l n b m V z J T I w c 3 V w c H J p b S V D M y V B O W V z P C 9 J d G V t U G F 0 a D 4 8 L 0 l 0 Z W 1 M b 2 N h d G l v b j 4 8 U 3 R h Y m x l R W 5 0 c m l l c y A v P j w v S X R l b T 4 8 S X R l b T 4 8 S X R l b U x v Y 2 F 0 a W 9 u P j x J d G V t V H l w Z T 5 G b 3 J t d W x h P C 9 J d G V t V H l w Z T 4 8 S X R l b V B h d G g + U 2 V j d G l v b j E v V G F i X 0 N v b X B 0 Z X V y X z c v Q 2 9 s b 2 5 u Z S U y M E N v b X B 0 Z X V y J T I w Y W p v d X Q l Q z M l Q T l l P C 9 J d G V t U G F 0 a D 4 8 L 0 l 0 Z W 1 M b 2 N h d G l v b j 4 8 U 3 R h Y m x l R W 5 0 c m l l c y A v P j w v S X R l b T 4 8 S X R l b T 4 8 S X R l b U x v Y 2 F 0 a W 9 u P j x J d G V t V H l w Z T 5 G b 3 J t d W x h P C 9 J d G V t V H l w Z T 4 8 S X R l b V B h d G g + U 2 V j d G l v b j E v V G F i X 0 N v b X B 0 Z X V y X z c v T G l n b m V z J T I w Z m l s d H I l Q z M l Q T l l c z w v S X R l b V B h d G g + P C 9 J d G V t T G 9 j Y X R p b 2 4 + P F N 0 Y W J s Z U V u d H J p Z X M g L z 4 8 L 0 l 0 Z W 0 + P E l 0 Z W 0 + P E l 0 Z W 1 M b 2 N h d G l v b j 4 8 S X R l b V R 5 c G U + R m 9 y b X V s Y T w v S X R l b V R 5 c G U + P E l 0 Z W 1 Q Y X R o P l N l Y 3 R p b 2 4 x L 1 R h Y l 9 D b 2 1 w d G V 1 c l 8 3 L 0 F q b 3 V 0 J T I w T G l z d G U l M j B E Y X R l c z w v S X R l b V B h d G g + P C 9 J d G V t T G 9 j Y X R p b 2 4 + P F N 0 Y W J s Z U V u d H J p Z X M g L z 4 8 L 0 l 0 Z W 0 + P E l 0 Z W 0 + P E l 0 Z W 1 M b 2 N h d G l v b j 4 8 S X R l b V R 5 c G U + R m 9 y b X V s Y T w v S X R l b V R 5 c G U + P E l 0 Z W 1 Q Y X R o P l N l Y 3 R p b 2 4 x L 1 R h Y l 9 D b 2 1 w d G V 1 c l 8 3 L 0 Q l Q z M l Q T l 2 Z W x v c H B l c i U y M G x l c y U y M E R h d G V z P C 9 J d G V t U G F 0 a D 4 8 L 0 l 0 Z W 1 M b 2 N h d G l v b j 4 8 U 3 R h Y m x l R W 5 0 c m l l c y A v P j w v S X R l b T 4 8 S X R l b T 4 8 S X R l b U x v Y 2 F 0 a W 9 u P j x J d G V t V H l w Z T 5 G b 3 J t d W x h P C 9 J d G V t V H l w Z T 4 8 S X R l b V B h d G g + U 2 V j d G l v b j E v V G F i X 0 N v b X B 0 Z X V y X z c v Q 2 9 s b 2 5 u Z X M l M j B z d X B w c m l t J U M z J U E 5 Z X M 8 L 0 l 0 Z W 1 Q Y X R o P j w v S X R l b U x v Y 2 F 0 a W 9 u P j x T d G F i b G V F b n R y a W V z I C 8 + P C 9 J d G V t P j x J d G V t P j x J d G V t T G 9 j Y X R p b 2 4 + P E l 0 Z W 1 U e X B l P k Z v c m 1 1 b G E 8 L 0 l 0 Z W 1 U e X B l P j x J d G V t U G F 0 a D 5 T Z W N 0 a W 9 u M S 9 U Y W J f Q 2 9 t c H R l d X J f N y 9 D b 2 x v b m 5 l c y U y M H B l c m 1 1 d C V D M y V B O W V z P C 9 J d G V t U G F 0 a D 4 8 L 0 l 0 Z W 1 M b 2 N h d G l v b j 4 8 U 3 R h Y m x l R W 5 0 c m l l c y A v P j w v S X R l b T 4 8 S X R l b T 4 8 S X R l b U x v Y 2 F 0 a W 9 u P j x J d G V t V H l w Z T 5 G b 3 J t d W x h P C 9 J d G V t V H l w Z T 4 8 S X R l b V B h d G g + U 2 V j d G l v b j E v V G F i X 0 N v b X B 0 Z X V y X z g v U H J l b W k l Q z M l Q T h y Z X M l M j B s a W d u Z X M l M j B z d X B w c m l t J U M z J U E 5 Z X M 8 L 0 l 0 Z W 1 Q Y X R o P j w v S X R l b U x v Y 2 F 0 a W 9 u P j x T d G F i b G V F b n R y a W V z I C 8 + P C 9 J d G V t P j x J d G V t P j x J d G V t T G 9 j Y X R p b 2 4 + P E l 0 Z W 1 U e X B l P k Z v c m 1 1 b G E 8 L 0 l 0 Z W 1 U e X B l P j x J d G V t U G F 0 a D 5 T Z W N 0 a W 9 u M S 9 U Y W J f Q 2 9 t c H R l d X J f O C 9 D b 2 x v b m 5 l J T I w Q 2 9 t c H R l d X I l M j B h a m 9 1 d C V D M y V B O W U 8 L 0 l 0 Z W 1 Q Y X R o P j w v S X R l b U x v Y 2 F 0 a W 9 u P j x T d G F i b G V F b n R y a W V z I C 8 + P C 9 J d G V t P j x J d G V t P j x J d G V t T G 9 j Y X R p b 2 4 + P E l 0 Z W 1 U e X B l P k Z v c m 1 1 b G E 8 L 0 l 0 Z W 1 U e X B l P j x J d G V t U G F 0 a D 5 T Z W N 0 a W 9 u M S 9 U Y W J f Q 2 9 t c H R l d X J f O C 9 M a W d u Z X M l M j B m a W x 0 c i V D M y V B O W V z P C 9 J d G V t U G F 0 a D 4 8 L 0 l 0 Z W 1 M b 2 N h d G l v b j 4 8 U 3 R h Y m x l R W 5 0 c m l l c y A v P j w v S X R l b T 4 8 S X R l b T 4 8 S X R l b U x v Y 2 F 0 a W 9 u P j x J d G V t V H l w Z T 5 G b 3 J t d W x h P C 9 J d G V t V H l w Z T 4 8 S X R l b V B h d G g + U 2 V j d G l v b j E v V G F i X 0 N v b X B 0 Z X V y X z g v Q W p v d X Q l M j B M a X N 0 Z S U y M E R h d G V z P C 9 J d G V t U G F 0 a D 4 8 L 0 l 0 Z W 1 M b 2 N h d G l v b j 4 8 U 3 R h Y m x l R W 5 0 c m l l c y A v P j w v S X R l b T 4 8 S X R l b T 4 8 S X R l b U x v Y 2 F 0 a W 9 u P j x J d G V t V H l w Z T 5 G b 3 J t d W x h P C 9 J d G V t V H l w Z T 4 8 S X R l b V B h d G g + U 2 V j d G l v b j E v V G F i X 0 N v b X B 0 Z X V y X z g v R C V D M y V B O X Z l b G 9 w c G V y J T I w b G V z J T I w R G F 0 Z X M 8 L 0 l 0 Z W 1 Q Y X R o P j w v S X R l b U x v Y 2 F 0 a W 9 u P j x T d G F i b G V F b n R y a W V z I C 8 + P C 9 J d G V t P j x J d G V t P j x J d G V t T G 9 j Y X R p b 2 4 + P E l 0 Z W 1 U e X B l P k Z v c m 1 1 b G E 8 L 0 l 0 Z W 1 U e X B l P j x J d G V t U G F 0 a D 5 T Z W N 0 a W 9 u M S 9 U Y W J f Q 2 9 t c H R l d X J f O C 9 D b 2 x v b m 5 l c y U y M H N 1 c H B y a W 0 l Q z M l Q T l l c z w v S X R l b V B h d G g + P C 9 J d G V t T G 9 j Y X R p b 2 4 + P F N 0 Y W J s Z U V u d H J p Z X M g L z 4 8 L 0 l 0 Z W 0 + P E l 0 Z W 0 + P E l 0 Z W 1 M b 2 N h d G l v b j 4 8 S X R l b V R 5 c G U + R m 9 y b X V s Y T w v S X R l b V R 5 c G U + P E l 0 Z W 1 Q Y X R o P l N l Y 3 R p b 2 4 x L 1 R h Y l 9 D b 2 1 w d G V 1 c l 8 4 L 0 N v b G 9 u b m V z J T I w c G V y b X V 0 J U M z J U E 5 Z X M 8 L 0 l 0 Z W 1 Q Y X R o P j w v S X R l b U x v Y 2 F 0 a W 9 u P j x T d G F i b G V F b n R y a W V z I C 8 + P C 9 J d G V t P j x J d G V t P j x J d G V t T G 9 j Y X R p b 2 4 + P E l 0 Z W 1 U e X B l P k Z v c m 1 1 b G E 8 L 0 l 0 Z W 1 U e X B l P j x J d G V t U G F 0 a D 5 T Z W N 0 a W 9 u M S 9 U Y W J f Q 2 9 t c H R l d X J f M i 9 M a W d u Z X M l M j B m a W x 0 c i V D M y V B O W V z M T w v S X R l b V B h d G g + P C 9 J d G V t T G 9 j Y X R p b 2 4 + P F N 0 Y W J s Z U V u d H J p Z X M g L z 4 8 L 0 l 0 Z W 0 + P E l 0 Z W 0 + P E l 0 Z W 1 M b 2 N h d G l v b j 4 8 S X R l b V R 5 c G U + R m 9 y b X V s Y T w v S X R l b V R 5 c G U + P E l 0 Z W 1 Q Y X R o P l N l Y 3 R p b 2 4 x L 1 R h Y l 9 D b 2 1 w d G V 1 c l 8 z L 0 x p Z 2 5 l c y U y M G Z p b H R y J U M z J U E 5 Z X M x P C 9 J d G V t U G F 0 a D 4 8 L 0 l 0 Z W 1 M b 2 N h d G l v b j 4 8 U 3 R h Y m x l R W 5 0 c m l l c y A v P j w v S X R l b T 4 8 S X R l b T 4 8 S X R l b U x v Y 2 F 0 a W 9 u P j x J d G V t V H l w Z T 5 G b 3 J t d W x h P C 9 J d G V t V H l w Z T 4 8 S X R l b V B h d G g + U 2 V j d G l v b j E v V G F i X 0 N v b X B 0 Z X V y X z Q v T G l n b m V z J T I w Z m l s d H I l Q z M l Q T l l c z E 8 L 0 l 0 Z W 1 Q Y X R o P j w v S X R l b U x v Y 2 F 0 a W 9 u P j x T d G F i b G V F b n R y a W V z I C 8 + P C 9 J d G V t P j x J d G V t P j x J d G V t T G 9 j Y X R p b 2 4 + P E l 0 Z W 1 U e X B l P k Z v c m 1 1 b G E 8 L 0 l 0 Z W 1 U e X B l P j x J d G V t U G F 0 a D 5 T Z W N 0 a W 9 u M S 9 U Y W J f Q 2 9 t c H R l d X J f N S 9 M a W d u Z X M l M j B m a W x 0 c i V D M y V B O W V z M T w v S X R l b V B h d G g + P C 9 J d G V t T G 9 j Y X R p b 2 4 + P F N 0 Y W J s Z U V u d H J p Z X M g L z 4 8 L 0 l 0 Z W 0 + P E l 0 Z W 0 + P E l 0 Z W 1 M b 2 N h d G l v b j 4 8 S X R l b V R 5 c G U + R m 9 y b X V s Y T w v S X R l b V R 5 c G U + P E l 0 Z W 1 Q Y X R o P l N l Y 3 R p b 2 4 x L 1 R h Y l 9 D b 2 1 w d G V 1 c l 8 2 L 0 x p Z 2 5 l c y U y M G Z p b H R y J U M z J U E 5 Z X M x P C 9 J d G V t U G F 0 a D 4 8 L 0 l 0 Z W 1 M b 2 N h d G l v b j 4 8 U 3 R h Y m x l R W 5 0 c m l l c y A v P j w v S X R l b T 4 8 S X R l b T 4 8 S X R l b U x v Y 2 F 0 a W 9 u P j x J d G V t V H l w Z T 5 G b 3 J t d W x h P C 9 J d G V t V H l w Z T 4 8 S X R l b V B h d G g + U 2 V j d G l v b j E v V G F i X 0 N v b X B 0 Z X V y X z c v T G l n b m V z J T I w Z m l s d H I l Q z M l Q T l l c z E 8 L 0 l 0 Z W 1 Q Y X R o P j w v S X R l b U x v Y 2 F 0 a W 9 u P j x T d G F i b G V F b n R y a W V z I C 8 + P C 9 J d G V t P j x J d G V t P j x J d G V t T G 9 j Y X R p b 2 4 + P E l 0 Z W 1 U e X B l P k Z v c m 1 1 b G E 8 L 0 l 0 Z W 1 U e X B l P j x J d G V t U G F 0 a D 5 T Z W N 0 a W 9 u M S 9 U Y W J f Q 2 9 t c H R l d X J f O C 9 M a W d u Z X M l M j B m a W x 0 c i V D M y V B O W V z M T w v S X R l b V B h d G g + P C 9 J d G V t T G 9 j Y X R p b 2 4 + P F N 0 Y W J s Z U V u d H J p Z X M g L z 4 8 L 0 l 0 Z W 0 + P E l 0 Z W 0 + P E l 0 Z W 1 M b 2 N h d G l v b j 4 8 S X R l b V R 5 c G U + R m 9 y b X V s Y T w v S X R l b V R 5 c G U + P E l 0 Z W 1 Q Y X R o P l N l Y 3 R p b 2 4 x L 1 R h Y m x l Y X U 5 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A i I C 8 + P E V u d H J 5 I F R 5 c G U 9 I k Z p b G x T d G F 0 d X M i I F Z h b H V l P S J z Q 2 9 t c G x l d G U i I C 8 + P E V u d H J 5 I F R 5 c G U 9 I k Z p b G x M Y X N 0 V X B k Y X R l Z C I g V m F s d W U 9 I m Q y M D I 1 L T E x L T E 0 V D E 1 O j M 1 O j A 0 L j I 0 N z Y w N j l a I i A v P j x F b n R y e S B U e X B l P S J G a W x s R X J y b 3 J D b 2 R l I i B W Y W x 1 Z T 0 i c 1 V u a 2 5 v d 2 4 i I C 8 + P E V u d H J 5 I F R 5 c G U 9 I k F k Z G V k V G 9 E Y X R h T W 9 k Z W w i I F Z h b H V l P S J s M C I g L z 4 8 L 1 N 0 Y W J s Z U V u d H J p Z X M + P C 9 J d G V t P j x J d G V t P j x J d G V t T G 9 j Y X R p b 2 4 + P E l 0 Z W 1 U e X B l P k Z v c m 1 1 b G E 8 L 0 l 0 Z W 1 U e X B l P j x J d G V t U G F 0 a D 5 T Z W N 0 a W 9 u M S 9 U Y W J s Z W F 1 O S 9 T b 3 V y Y 2 U 8 L 0 l 0 Z W 1 Q Y X R o P j w v S X R l b U x v Y 2 F 0 a W 9 u P j x T d G F i b G V F b n R y a W V z I C 8 + P C 9 J d G V t P j x J d G V t P j x J d G V t T G 9 j Y X R p b 2 4 + P E l 0 Z W 1 U e X B l P k Z v c m 1 1 b G E 8 L 0 l 0 Z W 1 U e X B l P j x J d G V t U G F 0 a D 5 T Z W N 0 a W 9 u M S 9 U Y W J s Z W F 1 O S 9 U e X B l J T I w b W 9 k a W Z p J U M z J U E 5 P C 9 J d G V t U G F 0 a D 4 8 L 0 l 0 Z W 1 M b 2 N h d G l v b j 4 8 U 3 R h Y m x l R W 5 0 c m l l c y A v P j w v S X R l b T 4 8 S X R l b T 4 8 S X R l b U x v Y 2 F 0 a W 9 u P j x J d G V t V H l w Z T 5 G b 3 J t d W x h P C 9 J d G V t V H l w Z T 4 8 S X R l b V B h d G g + U 2 V j d G l v b j E v V G F i b G V h d T k v U G V y c 2 9 u b m F s a X M l Q z M l Q T l l J T I w Y W p v d X Q l Q z M l Q T l l P C 9 J d G V t U G F 0 a D 4 8 L 0 l 0 Z W 1 M b 2 N h d G l v b j 4 8 U 3 R h Y m x l R W 5 0 c m l l c y A v P j w v S X R l b T 4 8 S X R l b T 4 8 S X R l b U x v Y 2 F 0 a W 9 u P j x J d G V t V H l w Z T 5 G b 3 J t d W x h P C 9 J d G V t V H l w Z T 4 8 S X R l b V B h d G g + U 2 V j d G l v b j E v V G F i b G V h d T k v V H l w Z S U y M G 1 v Z G l m a S V D M y V B O T E 8 L 0 l 0 Z W 1 Q Y X R o P j w v S X R l b U x v Y 2 F 0 a W 9 u P j x T d G F i b G V F b n R y a W V z I C 8 + P C 9 J d G V t P j x J d G V t P j x J d G V t T G 9 j Y X R p b 2 4 + P E l 0 Z W 1 U e X B l P k Z v c m 1 1 b G E 8 L 0 l 0 Z W 1 U e X B l P j x J d G V t U G F 0 a D 5 T Z W N 0 a W 9 u M S 9 U Y W J f Q 2 9 t c H R l d X J f M i 9 U e X B l J T I w b W 9 k a W Z p J U M z J U E 5 M T w v S X R l b V B h d G g + P C 9 J d G V t T G 9 j Y X R p b 2 4 + P F N 0 Y W J s Z U V u d H J p Z X M g L z 4 8 L 0 l 0 Z W 0 + P E l 0 Z W 0 + P E l 0 Z W 1 M b 2 N h d G l v b j 4 8 S X R l b V R 5 c G U + R m 9 y b X V s Y T w v S X R l b V R 5 c G U + P E l 0 Z W 1 Q Y X R o P l N l Y 3 R p b 2 4 x L 1 R h Y m x l Y X U 5 L 1 B l c n N v b m 5 h b G l z J U M z J U E 5 Z S U y M G F q b 3 V 0 J U M z J U E 5 Z T E 8 L 0 l 0 Z W 1 Q Y X R o P j w v S X R l b U x v Y 2 F 0 a W 9 u P j x T d G F i b G V F b n R y a W V z I C 8 + P C 9 J d G V t P j x J d G V t P j x J d G V t T G 9 j Y X R p b 2 4 + P E l 0 Z W 1 U e X B l P k Z v c m 1 1 b G E 8 L 0 l 0 Z W 1 U e X B l P j x J d G V t U G F 0 a D 5 T Z W N 0 a W 9 u M S 9 U Y W J s Z W F 1 O S 9 Q Z X J z b 2 5 u Y W x p c y V D M y V B O W U l M j B h a m 9 1 d C V D M y V B O W U y P C 9 J d G V t U G F 0 a D 4 8 L 0 l 0 Z W 1 M b 2 N h d G l v b j 4 8 U 3 R h Y m x l R W 5 0 c m l l c y A v P j w v S X R l b T 4 8 S X R l b T 4 8 S X R l b U x v Y 2 F 0 a W 9 u P j x J d G V t V H l w Z T 5 G b 3 J t d W x h P C 9 J d G V t V H l w Z T 4 8 S X R l b V B h d G g + U 2 V j d G l v b j E v V G F i b G V h d T k v U G V y c 2 9 u b m F s a X M l Q z M l Q T k l M j B k J U M z J U E 5 d m V s b 3 B w J U M z J U E 5 P C 9 J d G V t U G F 0 a D 4 8 L 0 l 0 Z W 1 M b 2 N h d G l v b j 4 8 U 3 R h Y m x l R W 5 0 c m l l c y A v P j w v S X R l b T 4 8 S X R l b T 4 8 S X R l b U x v Y 2 F 0 a W 9 u P j x J d G V t V H l w Z T 5 G b 3 J t d W x h P C 9 J d G V t V H l w Z T 4 8 S X R l b V B h d G g + U 2 V j d G l v b j E v V G F i b G V h d T k v Q 2 9 s b 2 5 u Z X M l M j B z d X B w c m l t J U M z J U E 5 Z X M 8 L 0 l 0 Z W 1 Q Y X R o P j w v S X R l b U x v Y 2 F 0 a W 9 u P j x T d G F i b G V F b n R y a W V z I C 8 + P C 9 J d G V t P j x J d G V t P j x J d G V t T G 9 j Y X R p b 2 4 + P E l 0 Z W 1 U e X B l P k Z v c m 1 1 b G E 8 L 0 l 0 Z W 1 U e X B l P j x J d G V t U G F 0 a D 5 T Z W N 0 a W 9 u M S 9 U Y W J f Q 2 9 t c H R l d X J f N C 9 D b 2 x v b m 5 l c y U y M H N 1 c H B y a W 0 l Q z M l Q T l l c z E 8 L 0 l 0 Z W 1 Q Y X R o P j w v S X R l b U x v Y 2 F 0 a W 9 u P j x T d G F i b G V F b n R y a W V z I C 8 + P C 9 J d G V t P j x J d G V t P j x J d G V t T G 9 j Y X R p b 2 4 + P E l 0 Z W 1 U e X B l P k Z v c m 1 1 b G E 8 L 0 l 0 Z W 1 U e X B l P j x J d G V t U G F 0 a D 5 T Z W N 0 a W 9 u M S 9 U Y W J f Q 2 9 t c H R l d X J f N S 9 D b 2 x v b m 5 l c y U y M H N 1 c H B y a W 0 l Q z M l Q T l l c z E 8 L 0 l 0 Z W 1 Q Y X R o P j w v S X R l b U x v Y 2 F 0 a W 9 u P j x T d G F i b G V F b n R y a W V z I C 8 + P C 9 J d G V t P j x J d G V t P j x J d G V t T G 9 j Y X R p b 2 4 + P E l 0 Z W 1 U e X B l P k Z v c m 1 1 b G E 8 L 0 l 0 Z W 1 U e X B l P j x J d G V t U G F 0 a D 5 T Z W N 0 a W 9 u M S 9 U Y W J f Q 2 9 t c H R l d X J f N i 9 D b 2 x v b m 5 l c y U y M H N 1 c H B y a W 0 l Q z M l Q T l l c z E 8 L 0 l 0 Z W 1 Q Y X R o P j w v S X R l b U x v Y 2 F 0 a W 9 u P j x T d G F i b G V F b n R y a W V z I C 8 + P C 9 J d G V t P j x J d G V t P j x J d G V t T G 9 j Y X R p b 2 4 + P E l 0 Z W 1 U e X B l P k Z v c m 1 1 b G E 8 L 0 l 0 Z W 1 U e X B l P j x J d G V t U G F 0 a D 5 T Z W N 0 a W 9 u M S 9 U Y W J f Q 2 9 t c H R l d X J f N y 9 D b 2 x v b m 5 l c y U y M H N 1 c H B y a W 0 l Q z M l Q T l l c z E 8 L 0 l 0 Z W 1 Q Y X R o P j w v S X R l b U x v Y 2 F 0 a W 9 u P j x T d G F i b G V F b n R y a W V z I C 8 + P C 9 J d G V t P j x J d G V t P j x J d G V t T G 9 j Y X R p b 2 4 + P E l 0 Z W 1 U e X B l P k Z v c m 1 1 b G E 8 L 0 l 0 Z W 1 U e X B l P j x J d G V t U G F 0 a D 5 T Z W N 0 a W 9 u M S 9 U Y W J f Q 2 9 t c H R l d X J f O C 9 D b 2 x v b m 5 l c y U y M H N 1 c H B y a W 0 l Q z M l Q T l l c z E 8 L 0 l 0 Z W 1 Q Y X R o P j w v S X R l b U x v Y 2 F 0 a W 9 u P j x T d G F i b G V F b n R y a W V z I C 8 + P C 9 J d G V t P j x J d G V t P j x J d G V t T G 9 j Y X R p b 2 4 + P E l 0 Z W 1 U e X B l P k Z v c m 1 1 b G E 8 L 0 l 0 Z W 1 U e X B l P j x J d G V t U G F 0 a D 5 T Z W N 0 a W 9 u M S 9 U Y W J f Q 2 9 t c H R l d X J f M y 9 D b 2 x v b m 5 l c y U y M H N 1 c H B y a W 0 l Q z M l Q T l l c z E 8 L 0 l 0 Z W 1 Q Y X R o P j w v S X R l b U x v Y 2 F 0 a W 9 u P j x T d G F i b G V F b n R y a W V z I C 8 + P C 9 J d G V t P j x J d G V t P j x J d G V t T G 9 j Y X R p b 2 4 + P E l 0 Z W 1 U e X B l P k Z v c m 1 1 b G E 8 L 0 l 0 Z W 1 U e X B l P j x J d G V t U G F 0 a D 5 T Z W N 0 a W 9 u M S 9 U Y W J s Z W F 1 O S 9 D b 2 x v b m 5 l c y U y M H J l b m 9 t b S V D M y V B O W V z P C 9 J d G V t U G F 0 a D 4 8 L 0 l 0 Z W 1 M b 2 N h d G l v b j 4 8 U 3 R h Y m x l R W 5 0 c m l l c y A v P j w v S X R l b T 4 8 S X R l b T 4 8 S X R l b U x v Y 2 F 0 a W 9 u P j x J d G V t V H l w Z T 5 G b 3 J t d W x h P C 9 J d G V t V H l w Z T 4 8 S X R l b V B h d G g + U 2 V j d G l v b j E v V G F i X 0 N v b X B 0 Z X V y X z I v U m V x d S V D M y V B Q X R l c y U y M G Z 1 c 2 l v b m 4 l Q z M l Q T l l c z w v S X R l b V B h d G g + P C 9 J d G V t T G 9 j Y X R p b 2 4 + P F N 0 Y W J s Z U V u d H J p Z X M g L z 4 8 L 0 l 0 Z W 0 + P E l 0 Z W 0 + P E l 0 Z W 1 M b 2 N h d G l v b j 4 8 S X R l b V R 5 c G U + R m 9 y b X V s Y T w v S X R l b V R 5 c G U + P E l 0 Z W 1 Q Y X R o P l N l Y 3 R p b 2 4 x L 1 R h Y l 9 D b 2 1 w d G V 1 c l 8 y L 1 R h Y m x l Y X U 5 J T I w Z C V D M y V B O X Z l b G 9 w c C V D M y V B O T w v S X R l b V B h d G g + P C 9 J d G V t T G 9 j Y X R p b 2 4 + P F N 0 Y W J s Z U V u d H J p Z X M g L z 4 8 L 0 l 0 Z W 0 + P E l 0 Z W 0 + P E l 0 Z W 1 M b 2 N h d G l v b j 4 8 S X R l b V R 5 c G U + R m 9 y b X V s Y T w v S X R l b V R 5 c G U + P E l 0 Z W 1 Q Y X R o P l N l Y 3 R p b 2 4 x L 1 R h Y l 9 D b 2 1 w d G V 1 c l 8 y L 0 x p Z 2 5 l c y U y M G Z p b H R y J U M z J U E 5 Z X M y P C 9 J d G V t U G F 0 a D 4 8 L 0 l 0 Z W 1 M b 2 N h d G l v b j 4 8 U 3 R h Y m x l R W 5 0 c m l l c y A v P j w v S X R l b T 4 8 S X R l b T 4 8 S X R l b U x v Y 2 F 0 a W 9 u P j x J d G V t V H l w Z T 5 G b 3 J t d W x h P C 9 J d G V t V H l w Z T 4 8 S X R l b V B h d G g + U 2 V j d G l v b j E v V G F i b G V h d T k v T G l n b m V z J T I w Z m l s d H I l Q z M l Q T l l c z w v S X R l b V B h d G g + P C 9 J d G V t T G 9 j Y X R p b 2 4 + P F N 0 Y W J s Z U V u d H J p Z X M g L z 4 8 L 0 l 0 Z W 0 + P E l 0 Z W 0 + P E l 0 Z W 1 M b 2 N h d G l v b j 4 8 S X R l b V R 5 c G U + R m 9 y b X V s Y T w v S X R l b V R 5 c G U + P E l 0 Z W 1 Q Y X R o P l N l Y 3 R p b 2 4 x L 1 R h Y m x l Y X U 5 L 0 x p Z 2 5 l c y U y M G Z p b H R y J U M z J U E 5 Z X M x P C 9 J d G V t U G F 0 a D 4 8 L 0 l 0 Z W 1 M b 2 N h d G l v b j 4 8 U 3 R h Y m x l R W 5 0 c m l l c y A v P j w v S X R l b T 4 8 S X R l b T 4 8 S X R l b U x v Y 2 F 0 a W 9 u P j x J d G V t V H l w Z T 5 G b 3 J t d W x h P C 9 J d G V t V H l w Z T 4 8 S X R l b V B h d G g + U 2 V j d G l v b j E v V G F i X 0 N v b X B 0 Z X V y X z M v U m V x d S V D M y V B Q X R l c y U y M G Z 1 c 2 l v b m 4 l Q z M l Q T l l c z w v S X R l b V B h d G g + P C 9 J d G V t T G 9 j Y X R p b 2 4 + P F N 0 Y W J s Z U V u d H J p Z X M g L z 4 8 L 0 l 0 Z W 0 + P E l 0 Z W 0 + P E l 0 Z W 1 M b 2 N h d G l v b j 4 8 S X R l b V R 5 c G U + R m 9 y b X V s Y T w v S X R l b V R 5 c G U + P E l 0 Z W 1 Q Y X R o P l N l Y 3 R p b 2 4 x L 1 R h Y l 9 D b 2 1 w d G V 1 c l 8 z L 1 R h Y m x l Y X U 5 J T I w Z C V D M y V B O X Z l b G 9 w c C V D M y V B O T w v S X R l b V B h d G g + P C 9 J d G V t T G 9 j Y X R p b 2 4 + P F N 0 Y W J s Z U V u d H J p Z X M g L z 4 8 L 0 l 0 Z W 0 + P E l 0 Z W 0 + P E l 0 Z W 1 M b 2 N h d G l v b j 4 8 S X R l b V R 5 c G U + R m 9 y b X V s Y T w v S X R l b V R 5 c G U + P E l 0 Z W 1 Q Y X R o P l N l Y 3 R p b 2 4 x L 1 R h Y l 9 D b 2 1 w d G V 1 c l 8 0 L 1 J l c X U l Q z M l Q U F 0 Z X M l M j B m d X N p b 2 5 u J U M z J U E 5 Z X M 8 L 0 l 0 Z W 1 Q Y X R o P j w v S X R l b U x v Y 2 F 0 a W 9 u P j x T d G F i b G V F b n R y a W V z I C 8 + P C 9 J d G V t P j x J d G V t P j x J d G V t T G 9 j Y X R p b 2 4 + P E l 0 Z W 1 U e X B l P k Z v c m 1 1 b G E 8 L 0 l 0 Z W 1 U e X B l P j x J d G V t U G F 0 a D 5 T Z W N 0 a W 9 u M S 9 U Y W J f Q 2 9 t c H R l d X J f N C 9 U Y W J s Z W F 1 O S U y M G Q l Q z M l Q T l 2 Z W x v c H A l Q z M l Q T k 8 L 0 l 0 Z W 1 Q Y X R o P j w v S X R l b U x v Y 2 F 0 a W 9 u P j x T d G F i b G V F b n R y a W V z I C 8 + P C 9 J d G V t P j x J d G V t P j x J d G V t T G 9 j Y X R p b 2 4 + P E l 0 Z W 1 U e X B l P k Z v c m 1 1 b G E 8 L 0 l 0 Z W 1 U e X B l P j x J d G V t U G F 0 a D 5 T Z W N 0 a W 9 u M S 9 U Y W J f Q 2 9 t c H R l d X J f N S 9 S Z X F 1 J U M z J U F B d G V z J T I w Z n V z a W 9 u b i V D M y V B O W V z P C 9 J d G V t U G F 0 a D 4 8 L 0 l 0 Z W 1 M b 2 N h d G l v b j 4 8 U 3 R h Y m x l R W 5 0 c m l l c y A v P j w v S X R l b T 4 8 S X R l b T 4 8 S X R l b U x v Y 2 F 0 a W 9 u P j x J d G V t V H l w Z T 5 G b 3 J t d W x h P C 9 J d G V t V H l w Z T 4 8 S X R l b V B h d G g + U 2 V j d G l v b j E v V G F i X 0 N v b X B 0 Z X V y X z U v V G F i b G V h d T k l M j B k J U M z J U E 5 d m V s b 3 B w J U M z J U E 5 P C 9 J d G V t U G F 0 a D 4 8 L 0 l 0 Z W 1 M b 2 N h d G l v b j 4 8 U 3 R h Y m x l R W 5 0 c m l l c y A v P j w v S X R l b T 4 8 S X R l b T 4 8 S X R l b U x v Y 2 F 0 a W 9 u P j x J d G V t V H l w Z T 5 G b 3 J t d W x h P C 9 J d G V t V H l w Z T 4 8 S X R l b V B h d G g + U 2 V j d G l v b j E v V G F i X 0 N v b X B 0 Z X V y X z Y v U m V x d S V D M y V B Q X R l c y U y M G Z 1 c 2 l v b m 4 l Q z M l Q T l l c z w v S X R l b V B h d G g + P C 9 J d G V t T G 9 j Y X R p b 2 4 + P F N 0 Y W J s Z U V u d H J p Z X M g L z 4 8 L 0 l 0 Z W 0 + P E l 0 Z W 0 + P E l 0 Z W 1 M b 2 N h d G l v b j 4 8 S X R l b V R 5 c G U + R m 9 y b X V s Y T w v S X R l b V R 5 c G U + P E l 0 Z W 1 Q Y X R o P l N l Y 3 R p b 2 4 x L 1 R h Y l 9 D b 2 1 w d G V 1 c l 8 2 L 1 R h Y m x l Y X U 5 J T I w Z C V D M y V B O X Z l b G 9 w c C V D M y V B O T w v S X R l b V B h d G g + P C 9 J d G V t T G 9 j Y X R p b 2 4 + P F N 0 Y W J s Z U V u d H J p Z X M g L z 4 8 L 0 l 0 Z W 0 + P E l 0 Z W 0 + P E l 0 Z W 1 M b 2 N h d G l v b j 4 8 S X R l b V R 5 c G U + R m 9 y b X V s Y T w v S X R l b V R 5 c G U + P E l 0 Z W 1 Q Y X R o P l N l Y 3 R p b 2 4 x L 1 R h Y l 9 D b 2 1 w d G V 1 c l 8 3 L 1 J l c X U l Q z M l Q U F 0 Z X M l M j B m d X N p b 2 5 u J U M z J U E 5 Z X M 8 L 0 l 0 Z W 1 Q Y X R o P j w v S X R l b U x v Y 2 F 0 a W 9 u P j x T d G F i b G V F b n R y a W V z I C 8 + P C 9 J d G V t P j x J d G V t P j x J d G V t T G 9 j Y X R p b 2 4 + P E l 0 Z W 1 U e X B l P k Z v c m 1 1 b G E 8 L 0 l 0 Z W 1 U e X B l P j x J d G V t U G F 0 a D 5 T Z W N 0 a W 9 u M S 9 U Y W J f Q 2 9 t c H R l d X J f N y 9 U Y W J s Z W F 1 O S U y M G Q l Q z M l Q T l 2 Z W x v c H A l Q z M l Q T k 8 L 0 l 0 Z W 1 Q Y X R o P j w v S X R l b U x v Y 2 F 0 a W 9 u P j x T d G F i b G V F b n R y a W V z I C 8 + P C 9 J d G V t P j x J d G V t P j x J d G V t T G 9 j Y X R p b 2 4 + P E l 0 Z W 1 U e X B l P k Z v c m 1 1 b G E 8 L 0 l 0 Z W 1 U e X B l P j x J d G V t U G F 0 a D 5 T Z W N 0 a W 9 u M S 9 U Y W J f Q 2 9 t c H R l d X J f O C 9 S Z X F 1 J U M z J U F B d G V z J T I w Z n V z a W 9 u b i V D M y V B O W V z P C 9 J d G V t U G F 0 a D 4 8 L 0 l 0 Z W 1 M b 2 N h d G l v b j 4 8 U 3 R h Y m x l R W 5 0 c m l l c y A v P j w v S X R l b T 4 8 S X R l b T 4 8 S X R l b U x v Y 2 F 0 a W 9 u P j x J d G V t V H l w Z T 5 G b 3 J t d W x h P C 9 J d G V t V H l w Z T 4 8 S X R l b V B h d G g + U 2 V j d G l v b j E v V G F i X 0 N v b X B 0 Z X V y X z g v V G F i b G V h d T k l M j B k J U M z J U E 5 d m V s b 3 B w J U M z J U E 5 P C 9 J d G V t U G F 0 a D 4 8 L 0 l 0 Z W 1 M b 2 N h d G l v b j 4 8 U 3 R h Y m x l R W 5 0 c m l l c y A v P j w v S X R l b T 4 8 S X R l b T 4 8 S X R l b U x v Y 2 F 0 a W 9 u P j x J d G V t V H l w Z T 5 G b 3 J t d W x h P C 9 J d G V t V H l w Z T 4 8 S X R l b V B h d G g + U 2 V j d G l v b j E v V G F i X 2 N v b m N h d C 9 U e X B l J T I w b W 9 k a W Z p J U M z J U E 5 M j w v S X R l b V B h d G g + P C 9 J d G V t T G 9 j Y X R p b 2 4 + P F N 0 Y W J s Z U V u d H J p Z X M g L z 4 8 L 0 l 0 Z W 0 + P E l 0 Z W 0 + P E l 0 Z W 1 M b 2 N h d G l v b j 4 8 S X R l b V R 5 c G U + R m 9 y b X V s Y T w v S X R l b V R 5 c G U + P E l 0 Z W 1 Q Y X R o P l N l Y 3 R p b 2 4 x L 1 R h Y l 9 j b 2 5 j Y X Q v U m V x d S V D M y V B Q X R l c y U y M G Z 1 c 2 l v b m 4 l Q z M l Q T l l c z w v S X R l b V B h d G g + P C 9 J d G V t T G 9 j Y X R p b 2 4 + P F N 0 Y W J s Z U V u d H J p Z X M g L z 4 8 L 0 l 0 Z W 0 + P E l 0 Z W 0 + P E l 0 Z W 1 M b 2 N h d G l v b j 4 8 S X R l b V R 5 c G U + R m 9 y b X V s Y T w v S X R l b V R 5 c G U + P E l 0 Z W 1 Q Y X R o P l N l Y 3 R p b 2 4 x L 1 R h Y l 9 j b 2 5 j Y X Q v V G F i b G V h d T k l M j B k J U M z J U E 5 d m V s b 3 B w J U M z J U E 5 P C 9 J d G V t U G F 0 a D 4 8 L 0 l 0 Z W 1 M b 2 N h d G l v b j 4 8 U 3 R h Y m x l R W 5 0 c m l l c y A v P j w v S X R l b T 4 8 S X R l b T 4 8 S X R l b U x v Y 2 F 0 a W 9 u P j x J d G V t V H l w Z T 5 G b 3 J t d W x h P C 9 J d G V t V H l w Z T 4 8 S X R l b V B h d G g + U 2 V j d G l v b j E v V G F i X 2 N v b m N h d C 9 S Z X F 1 J U M z J U F B d G U l M j B h a m 9 1 d C V D M y V B O W U 8 L 0 l 0 Z W 1 Q Y X R o P j w v S X R l b U x v Y 2 F 0 a W 9 u P j x T d G F i b G V F b n R y a W V z I C 8 + P C 9 J d G V t P j x J d G V t P j x J d G V t T G 9 j Y X R p b 2 4 + P E l 0 Z W 1 U e X B l P k Z v c m 1 1 b G E 8 L 0 l 0 Z W 1 U e X B l P j x J d G V t U G F 0 a D 5 T Z W N 0 a W 9 u M S 9 U Y W J f Y 2 9 u Y 2 F 0 L 0 x p Z 2 5 l c y U y M G Z p b H R y J U M z J U E 5 Z X M x P C 9 J d G V t U G F 0 a D 4 8 L 0 l 0 Z W 1 M b 2 N h d G l v b j 4 8 U 3 R h Y m x l R W 5 0 c m l l c y A v P j w v S X R l b T 4 8 S X R l b T 4 8 S X R l b U x v Y 2 F 0 a W 9 u P j x J d G V t V H l w Z T 5 G b 3 J t d W x h P C 9 J d G V t V H l w Z T 4 8 S X R l b V B h d G g + U 2 V j d G l v b j E v V G F i X 2 N v b m N h d C 9 U e X B l J T I w b W 9 k a W Z p J U M z J U E 5 M T w v S X R l b V B h d G g + P C 9 J d G V t T G 9 j Y X R p b 2 4 + P F N 0 Y W J s Z U V u d H J p Z X M g L z 4 8 L 0 l 0 Z W 0 + P C 9 J d G V t c z 4 8 L 0 x v Y 2 F s U G F j a 2 F n Z U 1 l d G F k Y X R h R m l s Z T 4 W A A A A U E s F B g A A A A A A A A A A A A A A A A A A A A A A A C Y B A A A B A A A A 0 I y d 3 w E V 0 R G M e g D A T 8 K X 6 w E A A A B I Y B i h + q z H T r 0 B e n B U I Q + D A A A A A A I A A A A A A B B m A A A A A Q A A I A A A A L Z e G s K 4 B M m r x Z O H 0 X S Y h F g l k N 7 a j g O O R H T V s 0 z X j K 9 0 A A A A A A 6 A A A A A A g A A I A A A A B h / k O h 4 v e Q 8 4 Z l q K O v 4 s b f L m o 9 m D N q i u 8 O H A C G P 5 G U L U A A A A F v g s N M s S B V R N 4 b Z G 8 D U T S n u p h B Z o x d h 8 R G S s e E f I z + 2 f a R X Q n W J e N + j C 1 O m 1 a x 8 l G U j R 6 i H 7 o 6 + L 5 g T 5 G + j M l y 6 Z m o V a S u p 0 v Y s C Z M Z p K l g Q A A A A O f 4 l m V 3 4 O y 0 N A R k Z a D d a N 6 i r W n + X a y l 5 V M j R C l S K v 7 C 6 i 0 y C B I O D d w V h V 8 M 0 T I 2 s N s v r j N q P 8 V j r M r W X 9 7 C n z o = < / D a t a M a s h u p > 
</file>

<file path=customXml/item23.xml>��< ? x m l   v e r s i o n = " 1 . 0 "   e n c o d i n g = " U T F - 1 6 " ? > < G e m i n i   x m l n s = " h t t p : / / g e m i n i / p i v o t c u s t o m i z a t i o n / T a b l e O r d e r " > < C u s t o m C o n t e n t > < ! [ C D A T A [ T a b _ c o n c a t _ f 1 4 8 b 1 5 1 - 7 8 6 5 - 4 9 f 6 - 8 1 9 0 - 9 3 b 9 2 3 6 3 f b a 8 , T a b l e a u 1 6 , T a b l e a u 1 4 , T a b l e a u _ a n n e e s , T a b l e a u _ s o u r c e , T a b l e a u _ c o m b u s t i b l e , T a b l e a u _ u s a g e , T a b l e a u _ m o i s ] ] > < / C u s t o m C o n t e n t > < / G e m i n i > 
</file>

<file path=customXml/item24.xml>��< ? x m l   v e r s i o n = " 1 . 0 "   e n c o d i n g = " U T F - 1 6 " ? > < G e m i n i   x m l n s = " h t t p : / / g e m i n i / p i v o t c u s t o m i z a t i o n / a 1 6 1 e 7 8 0 - 7 2 3 f - 4 7 7 a - 8 e 7 0 - a 9 a b 8 e e 8 f d 7 3 " > < C u s t o m C o n t e n t > < ! [ C D A T A [ < ? x m l   v e r s i o n = " 1 . 0 "   e n c o d i n g = " u t f - 1 6 " ? > < S e t t i n g s > < C a l c u l a t e d F i e l d s > < i t e m > < M e a s u r e N a m e > C o n s o _ D J U < / M e a s u r e N a m e > < D i s p l a y N a m e > C o n s o _ D J U < / D i s p l a y N a m e > < V i s i b l e > F a l s e < / V i s i b l e > < / i t e m > < i t e m > < M e a s u r e N a m e > C o u t   U n i t a i r e   M o y e n < / M e a s u r e N a m e > < D i s p l a y N a m e > C o u t   U n i t a i r e   M o y e n < / D i s p l a y N a m e > < V i s i b l e > F a l s e < / V i s i b l e > < / i t e m > < / C a l c u l a t e d F i e l d s > < S A H o s t H a s h > 0 < / S A H o s t H a s h > < G e m i n i F i e l d L i s t V i s i b l e > T r u e < / G e m i n i F i e l d L i s t V i s i b l e > < / S e t t i n g s > ] ] > < / C u s t o m C o n t e n t > < / G e m i n i > 
</file>

<file path=customXml/item25.xml><?xml version="1.0" encoding="utf-8"?>
<p:properties xmlns:p="http://schemas.microsoft.com/office/2006/metadata/properties" xmlns:xsi="http://www.w3.org/2001/XMLSchema-instance" xmlns:pc="http://schemas.microsoft.com/office/infopath/2007/PartnerControls">
  <documentManagement>
    <_activity xmlns="50efc2f2-ed42-4ad2-8b88-4bd24066a633" xsi:nil="true"/>
  </documentManagement>
</p:properties>
</file>

<file path=customXml/item26.xml>��< ? x m l   v e r s i o n = " 1 . 0 "   e n c o d i n g = " U T F - 1 6 " ? > < G e m i n i   x m l n s = " h t t p : / / g e m i n i / p i v o t c u s t o m i z a t i o n / P o w e r P i v o t V e r s i o n " > < C u s t o m C o n t e n t > < ! [ C D A T A [ 2 0 1 5 . 1 3 0 . 1 6 0 6 . 4 4 ] ] > < / C u s t o m C o n t e n t > < / G e m i n i > 
</file>

<file path=customXml/item27.xml>��< ? x m l   v e r s i o n = " 1 . 0 "   e n c o d i n g = " U T F - 1 6 " ? > < G e m i n i   x m l n s = " h t t p : / / g e m i n i / p i v o t c u s t o m i z a t i o n / c b 8 3 a b f d - 4 9 a 9 - 4 3 0 3 - a e a 8 - c 0 e 0 d f a 4 c c 1 2 " > < C u s t o m C o n t e n t > < ! [ C D A T A [ < ? x m l   v e r s i o n = " 1 . 0 "   e n c o d i n g = " u t f - 1 6 " ? > < S e t t i n g s > < C a l c u l a t e d F i e l d s > < i t e m > < M e a s u r e N a m e > C o n s o _ D J U < / M e a s u r e N a m e > < D i s p l a y N a m e > C o n s o _ D J U < / D i s p l a y N a m e > < V i s i b l e > F a l s e < / V i s i b l e > < / i t e m > < i t e m > < M e a s u r e N a m e > C o u t   U n i t a i r e   M o y e n < / M e a s u r e N a m e > < D i s p l a y N a m e > C o u t   U n i t a i r e   M o y e n < / D i s p l a y N a m e > < V i s i b l e > F a l s e < / V i s i b l e > < / i t e m > < / C a l c u l a t e d F i e l d s > < S A H o s t H a s h > 0 < / S A H o s t H a s h > < G e m i n i F i e l d L i s t V i s i b l e > T r u e < / G e m i n i F i e l d L i s t V i s i b l e > < / S e t t i n g s > ] ] > < / C u s t o m C o n t e n t > < / G e m i n i > 
</file>

<file path=customXml/item28.xml>��< ? x m l   v e r s i o n = " 1 . 0 "   e n c o d i n g = " U T F - 1 6 " ? > < G e m i n i   x m l n s = " h t t p : / / g e m i n i / p i v o t c u s t o m i z a t i o n / T a b l e X M L _ T a b l e a u _ u s a g e " > < C u s t o m C o n t e n t > < ! [ C D A T A [ < T a b l e W i d g e t G r i d S e r i a l i z a t i o n   x m l n s : x s i = " h t t p : / / w w w . w 3 . o r g / 2 0 0 1 / X M L S c h e m a - i n s t a n c e "   x m l n s : x s d = " h t t p : / / w w w . w 3 . o r g / 2 0 0 1 / X M L S c h e m a " > < C o l u m n S u g g e s t e d T y p e   / > < C o l u m n F o r m a t   / > < C o l u m n A c c u r a c y   / > < C o l u m n C u r r e n c y S y m b o l   / > < C o l u m n P o s i t i v e P a t t e r n   / > < C o l u m n N e g a t i v e P a t t e r n   / > < C o l u m n W i d t h s > < i t e m > < k e y > < s t r i n g > D e t a i l   u s a g e < / s t r i n g > < / k e y > < v a l u e > < i n t > 1 1 2 < / i n t > < / v a l u e > < / i t e m > < / C o l u m n W i d t h s > < C o l u m n D i s p l a y I n d e x > < i t e m > < k e y > < s t r i n g > D e t a i l   u s a g e < / s t r i n g > < / k e y > < v a l u e > < i n t > 0 < / i n t > < / v a l u e > < / i t e m > < / C o l u m n D i s p l a y I n d e x > < C o l u m n F r o z e n   / > < C o l u m n C h e c k e d   / > < C o l u m n F i l t e r   / > < S e l e c t i o n F i l t e r   / > < F i l t e r P a r a m e t e r s   / > < I s S o r t D e s c e n d i n g > f a l s e < / I s S o r t D e s c e n d i n g > < / T a b l e W i d g e t G r i d S e r i a l i z a t i o n > ] ] > < / C u s t o m C o n t e n t > < / G e m i n i > 
</file>

<file path=customXml/item29.xml>��< ? x m l   v e r s i o n = " 1 . 0 "   e n c o d i n g = " U T F - 1 6 " ? > < G e m i n i   x m l n s = " h t t p : / / g e m i n i / p i v o t c u s t o m i z a t i o n / 4 6 b e 0 8 f b - b e b 1 - 4 9 9 9 - 9 b d 3 - e 7 d 1 6 1 c 8 f f 2 3 " > < C u s t o m C o n t e n t > < ! [ C D A T A [ < ? x m l   v e r s i o n = " 1 . 0 "   e n c o d i n g = " u t f - 1 6 " ? > < S e t t i n g s > < C a l c u l a t e d F i e l d s > < i t e m > < M e a s u r e N a m e > C o n s o _ D J U < / M e a s u r e N a m e > < D i s p l a y N a m e > C o n s o _ D J U < / D i s p l a y N a m e > < V i s i b l e > F a l s e < / V i s i b l e > < / i t e m > < i t e m > < M e a s u r e N a m e > C o u t   U n i t a i r e   M o y e n < / M e a s u r e N a m e > < D i s p l a y N a m e > C o u t   U n i t a i r e   M o y e n < / D i s p l a y N a m e > < V i s i b l e > F a l s e < / V i s i b l e > < / i t e m > < / C a l c u l a t e d F i e l d s > < S A H o s t H a s h > 0 < / S A H o s t H a s h > < G e m i n i F i e l d L i s t V i s i b l e > T r u e < / G e m i n i F i e l d L i s t V i s i b l e > < / S e t t i n g s > ] ] > < / C u s t o m C o n t e n t > < / G e m i n i > 
</file>

<file path=customXml/item3.xml>��< ? x m l   v e r s i o n = " 1 . 0 "   e n c o d i n g = " U T F - 1 6 " ? > < G e m i n i   x m l n s = " h t t p : / / g e m i n i / p i v o t c u s t o m i z a t i o n / T a b l e X M L _ T a b l e a u 1 4 " > < C u s t o m C o n t e n t > < ! [ C D A T A [ < T a b l e W i d g e t G r i d S e r i a l i z a t i o n   x m l n s : x s i = " h t t p : / / w w w . w 3 . o r g / 2 0 0 1 / X M L S c h e m a - i n s t a n c e "   x m l n s : x s d = " h t t p : / / w w w . w 3 . o r g / 2 0 0 1 / X M L S c h e m a " > < C o l u m n S u g g e s t e d T y p e   / > < C o l u m n F o r m a t   / > < C o l u m n A c c u r a c y   / > < C o l u m n C u r r e n c y S y m b o l   / > < C o l u m n P o s i t i v e P a t t e r n   / > < C o l u m n N e g a t i v e P a t t e r n   / > < C o l u m n W i d t h s > < i t e m > < k e y > < s t r i n g > T y p e < / s t r i n g > < / k e y > < v a l u e > < i n t > 6 5 < / i n t > < / v a l u e > < / i t e m > < / C o l u m n W i d t h s > < C o l u m n D i s p l a y I n d e x > < i t e m > < k e y > < s t r i n g > T y p e < / s t r i n g > < / k e y > < v a l u e > < i n t > 0 < / i n t > < / v a l u e > < / i t e m > < / C o l u m n D i s p l a y I n d e x > < C o l u m n F r o z e n   / > < C o l u m n C h e c k e d   / > < C o l u m n F i l t e r   / > < S e l e c t i o n F i l t e r   / > < F i l t e r P a r a m e t e r s   / > < I s S o r t D e s c e n d i n g > f a l s e < / I s S o r t D e s c e n d i n g > < / T a b l e W i d g e t G r i d S e r i a l i z a t i o n > ] ] > < / C u s t o m C o n t e n t > < / G e m i n i > 
</file>

<file path=customXml/item30.xml>��< ? x m l   v e r s i o n = " 1 . 0 "   e n c o d i n g = " U T F - 1 6 " ? > < G e m i n i   x m l n s = " h t t p : / / g e m i n i / p i v o t c u s t o m i z a t i o n / T a b l e X M L _ T a b l e a u _ c o m b u s t i b l e " > < C u s t o m C o n t e n t > < ! [ C D A T A [ < T a b l e W i d g e t G r i d S e r i a l i z a t i o n   x m l n s : x s i = " h t t p : / / w w w . w 3 . o r g / 2 0 0 1 / X M L S c h e m a - i n s t a n c e "   x m l n s : x s d = " h t t p : / / w w w . w 3 . o r g / 2 0 0 1 / X M L S c h e m a " > < C o l u m n S u g g e s t e d T y p e   / > < C o l u m n F o r m a t   / > < C o l u m n A c c u r a c y   / > < C o l u m n C u r r e n c y S y m b o l   / > < C o l u m n P o s i t i v e P a t t e r n   / > < C o l u m n N e g a t i v e P a t t e r n   / > < C o l u m n W i d t h s > < i t e m > < k e y > < s t r i n g > C o m b u s t i b l e < / s t r i n g > < / k e y > < v a l u e > < i n t > 1 1 4 < / i n t > < / v a l u e > < / i t e m > < / C o l u m n W i d t h s > < C o l u m n D i s p l a y I n d e x > < i t e m > < k e y > < s t r i n g > C o m b u s t i b l e < / s t r i n g > < / k e y > < v a l u e > < i n t > 0 < / i n t > < / v a l u e > < / i t e m > < / C o l u m n D i s p l a y I n d e x > < C o l u m n F r o z e n   / > < C o l u m n C h e c k e d   / > < C o l u m n F i l t e r   / > < S e l e c t i o n F i l t e r   / > < F i l t e r P a r a m e t e r s   / > < I s S o r t D e s c e n d i n g > f a l s e < / I s S o r t D e s c e n d i n g > < / T a b l e W i d g e t G r i d S e r i a l i z a t i o n > ] ] > < / C u s t o m C o n t e n t > < / G e m i n i > 
</file>

<file path=customXml/item3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 T a b _ c o n c a t 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 T a b _ c o n c a t 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 C o l u m n s \ C o m p t e u r < / K e y > < / a : K e y > < a : V a l u e   i : t y p e = " T a b l e W i d g e t B a s e V i e w S t a t e " / > < / a : K e y V a l u e O f D i a g r a m O b j e c t K e y a n y T y p e z b w N T n L X > < a : K e y V a l u e O f D i a g r a m O b j e c t K e y a n y T y p e z b w N T n L X > < a : K e y > < K e y > C o l u m n s \ D a t e s < / K e y > < / a : K e y > < a : V a l u e   i : t y p e = " T a b l e W i d g e t B a s e V i e w S t a t e " / > < / a : K e y V a l u e O f D i a g r a m O b j e c t K e y a n y T y p e z b w N T n L X > < a : K e y V a l u e O f D i a g r a m O b j e c t K e y a n y T y p e z b w N T n L X > < a : K e y > < K e y > C o l u m n s \ D e m a n d e _ j o u r < / K e y > < / a : K e y > < a : V a l u e   i : t y p e = " T a b l e W i d g e t B a s e V i e w S t a t e " / > < / a : K e y V a l u e O f D i a g r a m O b j e c t K e y a n y T y p e z b w N T n L X > < a : K e y V a l u e O f D i a g r a m O b j e c t K e y a n y T y p e z b w N T n L X > < a : K e y > < K e y > C o l u m n s \ C o u t _ j o u r < / K e y > < / a : K e y > < a : V a l u e   i : t y p e = " T a b l e W i d g e t B a s e V i e w S t a t e " / > < / a : K e y V a l u e O f D i a g r a m O b j e c t K e y a n y T y p e z b w N T n L X > < a : K e y V a l u e O f D i a g r a m O b j e c t K e y a n y T y p e z b w N T n L X > < a : K e y > < K e y > C o l u m n s \ D J U _ c h a u f f a g i s t e < / K e y > < / a : K e y > < a : V a l u e   i : t y p e = " T a b l e W i d g e t B a s e V i e w S t a t e " / > < / a : K e y V a l u e O f D i a g r a m O b j e c t K e y a n y T y p e z b w N T n L X > < a : K e y V a l u e O f D i a g r a m O b j e c t K e y a n y T y p e z b w N T n L X > < a : K e y > < K e y > C o l u m n s \ D J U _ c l i m a t i c i e n < / K e y > < / a : K e y > < a : V a l u e   i : t y p e = " T a b l e W i d g e t B a s e V i e w S t a t e " / > < / a : K e y V a l u e O f D i a g r a m O b j e c t K e y a n y T y p e z b w N T n L X > < a : K e y V a l u e O f D i a g r a m O b j e c t K e y a n y T y p e z b w N T n L X > < a : K e y > < K e y > C o l u m n s \ C o l o n n e 2 < / 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 C o l u m n s \ S o u r c e < / K e y > < / a : K e y > < a : V a l u e   i : t y p e = " T a b l e W i d g e t B a s e V i e w S t a t e " / > < / a : K e y V a l u e O f D i a g r a m O b j e c t K e y a n y T y p e z b w N T n L X > < a : K e y V a l u e O f D i a g r a m O b j e c t K e y a n y T y p e z b w N T n L X > < a : K e y > < K e y > C o l u m n s \ C o m b u s t i b l e < / K e y > < / a : K e y > < a : V a l u e   i : t y p e = " T a b l e W i d g e t B a s e V i e w S t a t e " / > < / a : K e y V a l u e O f D i a g r a m O b j e c t K e y a n y T y p e z b w N T n L X > < a : K e y V a l u e O f D i a g r a m O b j e c t K e y a n y T y p e z b w N T n L X > < a : K e y > < K e y > C o l u m n s \ C o n s o _ k W h _ P C I < / K e y > < / a : K e y > < a : V a l u e   i : t y p e = " T a b l e W i d g e t B a s e V i e w S t a t e " / > < / a : K e y V a l u e O f D i a g r a m O b j e c t K e y a n y T y p e z b w N T n L X > < a : K e y V a l u e O f D i a g r a m O b j e c t K e y a n y T y p e z b w N T n L X > < a : K e y > < K e y > C o l u m n s \ C o n s o _ k W h _ D E E T < / K e y > < / a : K e y > < a : V a l u e   i : t y p e = " T a b l e W i d g e t B a s e V i e w S t a t e " / > < / a : K e y V a l u e O f D i a g r a m O b j e c t K e y a n y T y p e z b w N T n L X > < a : K e y V a l u e O f D i a g r a m O b j e c t K e y a n y T y p e z b w N T n L X > < a : K e y > < K e y > C o l u m n s \ N o m < / K e y > < / a : K e y > < a : V a l u e   i : t y p e = " T a b l e W i d g e t B a s e V i e w S t a t e " / > < / a : K e y V a l u e O f D i a g r a m O b j e c t K e y a n y T y p e z b w N T n L X > < a : K e y V a l u e O f D i a g r a m O b j e c t K e y a n y T y p e z b w N T n L X > < a : K e y > < K e y > C o l u m n s \ D e t a i l   u s a g e < / K e y > < / a : K e y > < a : V a l u e   i : t y p e = " T a b l e W i d g e t B a s e V i e w S t a t e " / > < / a : K e y V a l u e O f D i a g r a m O b j e c t K e y a n y T y p e z b w N T n L X > < a : K e y V a l u e O f D i a g r a m O b j e c t K e y a n y T y p e z b w N T n L X > < a : K e y > < K e y > C o l u m n s \ C o n s o _ k W h E P < / K e y > < / a : K e y > < a : V a l u e   i : t y p e = " T a b l e W i d g e t B a s e V i e w S t a t e " / > < / a : K e y V a l u e O f D i a g r a m O b j e c t K e y a n y T y p e z b w N T n L X > < a : K e y V a l u e O f D i a g r a m O b j e c t K e y a n y T y p e z b w N T n L X > < a : K e y > < K e y > C o l u m n s \ A n n e e < / K e y > < / a : K e y > < a : V a l u e   i : t y p e = " T a b l e W i d g e t B a s e V i e w S t a t e " / > < / a : K e y V a l u e O f D i a g r a m O b j e c t K e y a n y T y p e z b w N T n L X > < a : K e y V a l u e O f D i a g r a m O b j e c t K e y a n y T y p e z b w N T n L X > < a : K e y > < K e y > C o l u m n s \ M o i s < / K e y > < / a : K e y > < a : V a l u e   i : t y p e = " T a b l e W i d g e t B a s e V i e w S t a t e " / > < / a : K e y V a l u e O f D i a g r a m O b j e c t K e y a n y T y p e z b w N T n L X > < a : K e y V a l u e O f D i a g r a m O b j e c t K e y a n y T y p e z b w N T n L X > < a : K e y > < K e y > C o l u m n s \ C o u t _ u n i t a i r e < / K e y > < / a : K e y > < a : V a l u e   i : t y p e = " T a b l e W i d g e t B a s e V i e w S t a t e " / > < / a : K e y V a l u e O f D i a g r a m O b j e c t K e y a n y T y p e z b w N T n L X > < a : K e y V a l u e O f D i a g r a m O b j e c t K e y a n y T y p e z b w N T n L X > < a : K e y > < K e y > C o l u m n s \ D a t e s   ( a n n � e ) < / K e y > < / a : K e y > < a : V a l u e   i : t y p e = " T a b l e W i d g e t B a s e V i e w S t a t e " / > < / a : K e y V a l u e O f D i a g r a m O b j e c t K e y a n y T y p e z b w N T n L X > < a : K e y V a l u e O f D i a g r a m O b j e c t K e y a n y T y p e z b w N T n L X > < a : K e y > < K e y > C o l u m n s \ D a t e s   ( t r i m e s t r e ) < / K e y > < / a : K e y > < a : V a l u e   i : t y p e = " T a b l e W i d g e t B a s e V i e w S t a t e " / > < / a : K e y V a l u e O f D i a g r a m O b j e c t K e y a n y T y p e z b w N T n L X > < a : K e y V a l u e O f D i a g r a m O b j e c t K e y a n y T y p e z b w N T n L X > < a : K e y > < K e y > C o l u m n s \ D a t e s   ( i n d e x   d e s   m o i s ) < / K e y > < / a : K e y > < a : V a l u e   i : t y p e = " T a b l e W i d g e t B a s e V i e w S t a t e " / > < / a : K e y V a l u e O f D i a g r a m O b j e c t K e y a n y T y p e z b w N T n L X > < a : K e y V a l u e O f D i a g r a m O b j e c t K e y a n y T y p e z b w N T n L X > < a : K e y > < K e y > C o l u m n s \ D a t e s   ( m o i s ) < / K e y > < / a : K e y > < a : V a l u e   i : t y p e = " T a b l e W i d g e t B a s e V i e w S t a t e " / > < / a : K e y V a l u e O f D i a g r a m O b j e c t K e y a n y T y p e z b w N T n L X > < a : K e y V a l u e O f D i a g r a m O b j e c t K e y a n y T y p e z b w N T n L X > < a : K e y > < K e y > C o l u m n s \ D J U _ q u o t _ c h a u f f a g i s t e < / K e y > < / a : K e y > < a : V a l u e   i : t y p e = " T a b l e W i d g e t B a s e V i e w S t a t e " / > < / a : K e y V a l u e O f D i a g r a m O b j e c t K e y a n y T y p e z b w N T n L X > < a : K e y V a l u e O f D i a g r a m O b j e c t K e y a n y T y p e z b w N T n L X > < a : K e y > < K e y > C o l u m n s \ D J U _ q u o t _ c l i m a t i c i e n 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 T a b l e a u _ s o u r c e 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 T a b l e a u _ s o u r c e 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 C o l u m n s \ S o u r c e 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 T a b l e a u _ t y p e 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 T a b l e a u _ t y p e 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 T a b l e a u _ c o m b u s t i b l e 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 T a b l e a u _ c o m b u s t i b l e 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 C o l u m n s \ C o m b u s t i b l e 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 T a b l e a u _ a n n e e s 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 T a b l e a u _ a n n e e s 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 C o l u m n s \ A n n e e 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 T a b l e a u _ m o i s 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 T a b l e a u _ m o i s 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 C o l u m n s \ M o i s < / 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 T a b l e a u _ u s a g e 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 T a b l e a u _ u s a g e 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 C o l u m n s \ D e t a i l   u s a g e 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 T a b l e a u 1 6 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 T a b l e a u 1 6 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 C o l u m n s \ C o m p t e u r / L i v r a i s o n < / 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 C o l u m n s \ S o u r c e < / K e y > < / a : K e y > < a : V a l u e   i : t y p e = " T a b l e W i d g e t B a s e V i e w S t a t e " / > < / a : K e y V a l u e O f D i a g r a m O b j e c t K e y a n y T y p e z b w N T n L X > < a : K e y V a l u e O f D i a g r a m O b j e c t K e y a n y T y p e z b w N T n L X > < a : K e y > < K e y > C o l u m n s \ D e t a i l   u s a g e < / K e y > < / a : K e y > < a : V a l u e   i : t y p e = " T a b l e W i d g e t B a s e V i e w S t a t e " / > < / a : K e y V a l u e O f D i a g r a m O b j e c t K e y a n y T y p e z b w N T n L X > < a : K e y V a l u e O f D i a g r a m O b j e c t K e y a n y T y p e z b w N T n L X > < a : K e y > < K e y > C o l u m n s \ C o m b u s t i b l e < / K e y > < / a : K e y > < a : V a l u e   i : t y p e = " T a b l e W i d g e t B a s e V i e w S t a t e " / > < / a : K e y V a l u e O f D i a g r a m O b j e c t K e y a n y T y p e z b w N T n L X > < a : K e y V a l u e O f D i a g r a m O b j e c t K e y a n y T y p e z b w N T n L X > < a : K e y > < K e y > C o l u m n s \ P C I < / K e y > < / a : K e y > < a : V a l u e   i : t y p e = " T a b l e W i d g e t B a s e V i e w S t a t e " / > < / a : K e y V a l u e O f D i a g r a m O b j e c t K e y a n y T y p e z b w N T n L X > < a : K e y V a l u e O f D i a g r a m O b j e c t K e y a n y T y p e z b w N T n L X > < a : K e y > < K e y > C o l u m n s \ P C I _ D E E T < / K e y > < / a : K e y > < a : V a l u e   i : t y p e = " T a b l e W i d g e t B a s e V i e w S t a t e " / > < / a : K e y V a l u e O f D i a g r a m O b j e c t K e y a n y T y p e z b w N T n L X > < a : K e y V a l u e O f D i a g r a m O b j e c t K e y a n y T y p e z b w N T n L X > < a : K e y > < K e y > C o l u m n s \ N o m < / K e y > < / a : K e y > < a : V a l u e   i : t y p e = " T a b l e W i d g e t B a s e V i e w S t a t e " / > < / a : K e y V a l u e O f D i a g r a m O b j e c t K e y a n y T y p e z b w N T n L X > < a : K e y V a l u e O f D i a g r a m O b j e c t K e y a n y T y p e z b w N T n L X > < a : K e y > < K e y > C o l u m n s \ P C I _ E P < / 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32.xml>��< ? x m l   v e r s i o n = " 1 . 0 "   e n c o d i n g = " U T F - 1 6 " ? > < G e m i n i   x m l n s = " h t t p : / / g e m i n i / p i v o t c u s t o m i z a t i o n / M a n u a l C a l c M o d e " > < C u s t o m C o n t e n t > < ! [ C D A T A [ F a l s e ] ] > < / C u s t o m C o n t e n t > < / G e m i n i > 
</file>

<file path=customXml/item33.xml><?xml version="1.0" encoding="utf-8"?>
<?mso-contentType ?>
<FormTemplates xmlns="http://schemas.microsoft.com/sharepoint/v3/contenttype/forms">
  <Display>DocumentLibraryForm</Display>
  <Edit>DocumentLibraryForm</Edit>
  <New>DocumentLibraryForm</New>
</FormTemplates>
</file>

<file path=customXml/item34.xml>��< ? x m l   v e r s i o n = " 1 . 0 "   e n c o d i n g = " U T F - 1 6 " ? > < G e m i n i   x m l n s = " h t t p : / / g e m i n i / p i v o t c u s t o m i z a t i o n / 6 e 5 5 f 1 6 8 - f 7 d 1 - 4 0 5 b - 8 6 9 4 - 0 3 1 d d 7 3 8 f 3 c 3 " > < C u s t o m C o n t e n t > < ! [ C D A T A [ < ? x m l   v e r s i o n = " 1 . 0 "   e n c o d i n g = " u t f - 1 6 " ? > < S e t t i n g s > < C a l c u l a t e d F i e l d s > < i t e m > < M e a s u r e N a m e > C o n s o _ D J U < / M e a s u r e N a m e > < D i s p l a y N a m e > C o n s o _ D J U < / D i s p l a y N a m e > < V i s i b l e > F a l s e < / V i s i b l e > < / i t e m > < / C a l c u l a t e d F i e l d s > < S A H o s t H a s h > 0 < / S A H o s t H a s h > < G e m i n i F i e l d L i s t V i s i b l e > T r u e < / G e m i n i F i e l d L i s t V i s i b l e > < / S e t t i n g s > ] ] > < / C u s t o m C o n t e n t > < / G e m i n i > 
</file>

<file path=customXml/item35.xml>��< ? x m l   v e r s i o n = " 1 . 0 "   e n c o d i n g = " U T F - 1 6 " ? > < G e m i n i   x m l n s = " h t t p : / / g e m i n i / p i v o t c u s t o m i z a t i o n / S h o w H i d d e n " > < C u s t o m C o n t e n t > < ! [ C D A T A [ T r u e ] ] > < / C u s t o m C o n t e n t > < / G e m i n i > 
</file>

<file path=customXml/item3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 2 0 2 6 - 0 6 - 0 9 T 1 6 : 5 0 : 2 0 . 1 9 6 7 1 0 4 + 0 2 : 0 0 < / L a s t P r o c e s s e d T i m e > < / D a t a M o d e l i n g S a n d b o x . S e r i a l i z e d S a n d b o x E r r o r C a c h e > ] ] > < / C u s t o m C o n t e n t > < / G e m i n i > 
</file>

<file path=customXml/item37.xml>��< ? x m l   v e r s i o n = " 1 . 0 "   e n c o d i n g = " U T F - 1 6 " ? > < G e m i n i   x m l n s = " h t t p : / / g e m i n i / p i v o t c u s t o m i z a t i o n / T a b l e X M L _ T a b l e a u _ s o u r c e " > < C u s t o m C o n t e n t > < ! [ C D A T A [ < T a b l e W i d g e t G r i d S e r i a l i z a t i o n   x m l n s : x s i = " h t t p : / / w w w . w 3 . o r g / 2 0 0 1 / X M L S c h e m a - i n s t a n c e "   x m l n s : x s d = " h t t p : / / w w w . w 3 . o r g / 2 0 0 1 / X M L S c h e m a " > < C o l u m n S u g g e s t e d T y p e   / > < C o l u m n F o r m a t   / > < C o l u m n A c c u r a c y   / > < C o l u m n C u r r e n c y S y m b o l   / > < C o l u m n P o s i t i v e P a t t e r n   / > < C o l u m n N e g a t i v e P a t t e r n   / > < C o l u m n W i d t h s > < i t e m > < k e y > < s t r i n g > S o u r c e < / s t r i n g > < / k e y > < v a l u e > < i n t > 7 8 < / i n t > < / v a l u e > < / i t e m > < / C o l u m n W i d t h s > < C o l u m n D i s p l a y I n d e x > < i t e m > < k e y > < s t r i n g > S o u r c e < / s t r i n g > < / k e y > < v a l u e > < i n t > 0 < / i n t > < / v a l u e > < / i t e m > < / C o l u m n D i s p l a y I n d e x > < C o l u m n F r o z e n   / > < C o l u m n C h e c k e d   / > < C o l u m n F i l t e r   / > < S e l e c t i o n F i l t e r   / > < F i l t e r P a r a m e t e r s   / > < I s S o r t D e s c e n d i n g > f a l s e < / I s S o r t D e s c e n d i n g > < / T a b l e W i d g e t G r i d S e r i a l i z a t i o n > ] ] > < / C u s t o m C o n t e n t > < / G e m i n i > 
</file>

<file path=customXml/item38.xml>��< ? x m l   v e r s i o n = " 1 . 0 "   e n c o d i n g = " U T F - 1 6 " ? > < G e m i n i   x m l n s = " h t t p : / / g e m i n i / p i v o t c u s t o m i z a t i o n / b 9 7 a b 9 4 8 - 8 a 6 f - 4 7 4 0 - 9 2 6 d - 1 d e 6 2 2 1 b 6 8 4 9 " > < C u s t o m C o n t e n t > < ! [ C D A T A [ < ? x m l   v e r s i o n = " 1 . 0 "   e n c o d i n g = " u t f - 1 6 " ? > < S e t t i n g s > < C a l c u l a t e d F i e l d s > < i t e m > < M e a s u r e N a m e > C o n s o _ D J U < / M e a s u r e N a m e > < D i s p l a y N a m e > C o n s o _ D J U < / D i s p l a y N a m e > < V i s i b l e > F a l s e < / V i s i b l e > < / i t e m > < / C a l c u l a t e d F i e l d s > < S A H o s t H a s h > 0 < / S A H o s t H a s h > < G e m i n i F i e l d L i s t V i s i b l e > T r u e < / G e m i n i F i e l d L i s t V i s i b l e > < / S e t t i n g s > ] ] > < / C u s t o m C o n t e n t > < / G e m i n i > 
</file>

<file path=customXml/item39.xml><?xml version="1.0" encoding="utf-8"?>
<ct:contentTypeSchema xmlns:ct="http://schemas.microsoft.com/office/2006/metadata/contentType" xmlns:ma="http://schemas.microsoft.com/office/2006/metadata/properties/metaAttributes" ct:_="" ma:_="" ma:contentTypeName="Document" ma:contentTypeID="0x010100BB6669FF9A6C2E45B6E34480CBECE584" ma:contentTypeVersion="15" ma:contentTypeDescription="Create a new document." ma:contentTypeScope="" ma:versionID="7f813046db7683bcbce9b2bbfc324b02">
  <xsd:schema xmlns:xsd="http://www.w3.org/2001/XMLSchema" xmlns:xs="http://www.w3.org/2001/XMLSchema" xmlns:p="http://schemas.microsoft.com/office/2006/metadata/properties" xmlns:ns3="50efc2f2-ed42-4ad2-8b88-4bd24066a633" xmlns:ns4="e11cf51e-129a-4273-89ec-3acd2dfe0f03" targetNamespace="http://schemas.microsoft.com/office/2006/metadata/properties" ma:root="true" ma:fieldsID="92b5a621f987ae4fc4ccf95bb130a005" ns3:_="" ns4:_="">
    <xsd:import namespace="50efc2f2-ed42-4ad2-8b88-4bd24066a633"/>
    <xsd:import namespace="e11cf51e-129a-4273-89ec-3acd2dfe0f03"/>
    <xsd:element name="properties">
      <xsd:complexType>
        <xsd:sequence>
          <xsd:element name="documentManagement">
            <xsd:complexType>
              <xsd:all>
                <xsd:element ref="ns3:_activity" minOccurs="0"/>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ObjectDetectorVersions"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efc2f2-ed42-4ad2-8b88-4bd24066a633"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1cf51e-129a-4273-89ec-3acd2dfe0f0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G e m i n i   x m l n s = " h t t p : / / g e m i n i / p i v o t c u s t o m i z a t i o n / C l i e n t W i n d o w X M L " > < C u s t o m C o n t e n t > < ! [ C D A T A [ T a b l e a u 1 6 ] ] > < / C u s t o m C o n t e n t > < / G e m i n i > 
</file>

<file path=customXml/item40.xml>��< ? x m l   v e r s i o n = " 1 . 0 "   e n c o d i n g = " U T F - 1 6 " ? > < G e m i n i   x m l n s = " h t t p : / / g e m i n i / p i v o t c u s t o m i z a t i o n / I s S a n d b o x E m b e d d e d " > < C u s t o m C o n t e n t > < ! [ C D A T A [ y e s ] ] > < / C u s t o m C o n t e n t > < / G e m i n i > 
</file>

<file path=customXml/item41.xml>��< ? x m l   v e r s i o n = " 1 . 0 "   e n c o d i n g = " U T F - 1 6 " ? > < G e m i n i   x m l n s = " h t t p : / / g e m i n i / p i v o t c u s t o m i z a t i o n / e d 4 7 7 c 8 1 - 6 7 b c - 4 3 1 7 - b e 4 f - 4 4 6 a 8 d f 0 8 b d d " > < C u s t o m C o n t e n t > < ! [ C D A T A [ < ? x m l   v e r s i o n = " 1 . 0 "   e n c o d i n g = " u t f - 1 6 " ? > < S e t t i n g s > < C a l c u l a t e d F i e l d s > < i t e m > < M e a s u r e N a m e > C o n s o _ D J U < / M e a s u r e N a m e > < D i s p l a y N a m e > C o n s o _ D J U < / D i s p l a y N a m e > < V i s i b l e > F a l s e < / V i s i b l e > < / i t e m > < i t e m > < M e a s u r e N a m e > C o u t   U n i t a i r e   M o y e n < / M e a s u r e N a m e > < D i s p l a y N a m e > C o u t   U n i t a i r e   M o y e n < / D i s p l a y N a m e > < V i s i b l e > F a l s e < / V i s i b l e > < / i t e m > < / C a l c u l a t e d F i e l d s > < S A H o s t H a s h > 0 < / S A H o s t H a s h > < G e m i n i F i e l d L i s t V i s i b l e > T r u e < / G e m i n i F i e l d L i s t V i s i b l e > < / S e t t i n g s > ] ] > < / C u s t o m C o n t e n t > < / G e m i n i > 
</file>

<file path=customXml/item5.xml>��< ? x m l   v e r s i o n = " 1 . 0 "   e n c o d i n g = " U T F - 1 6 " ? > < G e m i n i   x m l n s = " h t t p : / / g e m i n i / p i v o t c u s t o m i z a t i o n / S a n d b o x N o n E m p t y " > < C u s t o m C o n t e n t > < ! [ C D A T A [ 1 ] ] > < / C u s t o m C o n t e n t > < / G e m i n i > 
</file>

<file path=customXml/item6.xml>��< ? x m l   v e r s i o n = " 1 . 0 "   e n c o d i n g = " U T F - 1 6 " ? > < G e m i n i   x m l n s = " h t t p : / / g e m i n i / p i v o t c u s t o m i z a t i o n / F o r m u l a B a r S t a t e " > < C u s t o m C o n t e n t > < ! [ C D A T A [ < S a n d b o x E d i t o r . F o r m u l a B a r S t a t e   x m l n s = " h t t p : / / s c h e m a s . d a t a c o n t r a c t . o r g / 2 0 0 4 / 0 7 / M i c r o s o f t . A n a l y s i s S e r v i c e s . C o m m o n "   x m l n s : i = " h t t p : / / w w w . w 3 . o r g / 2 0 0 1 / X M L S c h e m a - i n s t a n c e " > < H e i g h t > 4 0 < / H e i g h t > < / S a n d b o x E d i t o r . F o r m u l a B a r S t a t e > ] ] > < / C u s t o m C o n t e n t > < / G e m i n i > 
</file>

<file path=customXml/item7.xml>��< ? x m l   v e r s i o n = " 1 . 0 "   e n c o d i n g = " U T F - 1 6 " ? > < G e m i n i   x m l n s = " h t t p : / / g e m i n i / p i v o t c u s t o m i z a t i o n / S h o w I m p l i c i t M e a s u r e s " > < C u s t o m C o n t e n t > < ! [ C D A T A [ F a l s e ] ] > < / C u s t o m C o n t e n t > < / G e m i n i > 
</file>

<file path=customXml/item8.xml>��< ? x m l   v e r s i o n = " 1 . 0 "   e n c o d i n g = " U T F - 1 6 " ? > < G e m i n i   x m l n s = " h t t p : / / g e m i n i / p i v o t c u s t o m i z a t i o n / L i n k e d T a b l e U p d a t e M o d e " > < C u s t o m C o n t e n t > < ! [ C D A T A [ T r u e ] ] > < / C u s t o m C o n t e n t > < / G e m i n i > 
</file>

<file path=customXml/item9.xml>��< ? x m l   v e r s i o n = " 1 . 0 "   e n c o d i n g = " U T F - 1 6 " ? > < G e m i n i   x m l n s = " h t t p : / / g e m i n i / p i v o t c u s t o m i z a t i o n / 1 9 3 7 7 c 0 4 - 1 a 0 2 - 4 e 0 7 - a d 0 0 - 4 d 3 f d 6 9 6 6 c 8 3 " > < C u s t o m C o n t e n t > < ! [ C D A T A [ < ? x m l   v e r s i o n = " 1 . 0 "   e n c o d i n g = " u t f - 1 6 " ? > < S e t t i n g s > < C a l c u l a t e d F i e l d s > < i t e m > < M e a s u r e N a m e > C o n s o _ D J U < / M e a s u r e N a m e > < D i s p l a y N a m e > C o n s o _ D J U < / D i s p l a y N a m e > < V i s i b l e > F a l s e < / V i s i b l e > < / i t e m > < i t e m > < M e a s u r e N a m e > C o u t   U n i t a i r e   M o y e n < / M e a s u r e N a m e > < D i s p l a y N a m e > C o u t   U n i t a i r e   M o y e n < / 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80DB6028-8D30-4F24-B077-01DB341B5BF9}">
  <ds:schemaRefs/>
</ds:datastoreItem>
</file>

<file path=customXml/itemProps10.xml><?xml version="1.0" encoding="utf-8"?>
<ds:datastoreItem xmlns:ds="http://schemas.openxmlformats.org/officeDocument/2006/customXml" ds:itemID="{BF7AA40A-E7FB-4FBA-9501-233430901A4C}">
  <ds:schemaRefs/>
</ds:datastoreItem>
</file>

<file path=customXml/itemProps11.xml><?xml version="1.0" encoding="utf-8"?>
<ds:datastoreItem xmlns:ds="http://schemas.openxmlformats.org/officeDocument/2006/customXml" ds:itemID="{C7B36A37-E17E-491F-9A39-C882D6321FB9}">
  <ds:schemaRefs/>
</ds:datastoreItem>
</file>

<file path=customXml/itemProps12.xml><?xml version="1.0" encoding="utf-8"?>
<ds:datastoreItem xmlns:ds="http://schemas.openxmlformats.org/officeDocument/2006/customXml" ds:itemID="{A1D61B22-6FFA-4C59-AD8A-C0A57B2874AE}">
  <ds:schemaRefs/>
</ds:datastoreItem>
</file>

<file path=customXml/itemProps13.xml><?xml version="1.0" encoding="utf-8"?>
<ds:datastoreItem xmlns:ds="http://schemas.openxmlformats.org/officeDocument/2006/customXml" ds:itemID="{080753CA-70AD-419B-A15F-ACE44678F922}">
  <ds:schemaRefs/>
</ds:datastoreItem>
</file>

<file path=customXml/itemProps14.xml><?xml version="1.0" encoding="utf-8"?>
<ds:datastoreItem xmlns:ds="http://schemas.openxmlformats.org/officeDocument/2006/customXml" ds:itemID="{9A21137E-DC10-4F94-82BD-6DEC85000EFA}">
  <ds:schemaRefs/>
</ds:datastoreItem>
</file>

<file path=customXml/itemProps15.xml><?xml version="1.0" encoding="utf-8"?>
<ds:datastoreItem xmlns:ds="http://schemas.openxmlformats.org/officeDocument/2006/customXml" ds:itemID="{1B2689FA-2EAD-4C15-9415-3D0744ADB69F}">
  <ds:schemaRefs/>
</ds:datastoreItem>
</file>

<file path=customXml/itemProps16.xml><?xml version="1.0" encoding="utf-8"?>
<ds:datastoreItem xmlns:ds="http://schemas.openxmlformats.org/officeDocument/2006/customXml" ds:itemID="{DF08F664-A114-4F43-945F-7ADED29F91E6}">
  <ds:schemaRefs/>
</ds:datastoreItem>
</file>

<file path=customXml/itemProps17.xml><?xml version="1.0" encoding="utf-8"?>
<ds:datastoreItem xmlns:ds="http://schemas.openxmlformats.org/officeDocument/2006/customXml" ds:itemID="{503AB9EE-61D0-40F8-8DF7-2F69F749EDDB}">
  <ds:schemaRefs/>
</ds:datastoreItem>
</file>

<file path=customXml/itemProps18.xml><?xml version="1.0" encoding="utf-8"?>
<ds:datastoreItem xmlns:ds="http://schemas.openxmlformats.org/officeDocument/2006/customXml" ds:itemID="{7CD7B087-2352-4A76-A398-C7479E17B6EB}">
  <ds:schemaRefs/>
</ds:datastoreItem>
</file>

<file path=customXml/itemProps19.xml><?xml version="1.0" encoding="utf-8"?>
<ds:datastoreItem xmlns:ds="http://schemas.openxmlformats.org/officeDocument/2006/customXml" ds:itemID="{1C7CFBAE-52FF-4CDE-ACB0-65C4D7019AC1}">
  <ds:schemaRefs/>
</ds:datastoreItem>
</file>

<file path=customXml/itemProps2.xml><?xml version="1.0" encoding="utf-8"?>
<ds:datastoreItem xmlns:ds="http://schemas.openxmlformats.org/officeDocument/2006/customXml" ds:itemID="{DED8909B-4260-4CA8-9C1E-E8C3608F6259}">
  <ds:schemaRefs/>
</ds:datastoreItem>
</file>

<file path=customXml/itemProps20.xml><?xml version="1.0" encoding="utf-8"?>
<ds:datastoreItem xmlns:ds="http://schemas.openxmlformats.org/officeDocument/2006/customXml" ds:itemID="{1FA6E5E6-21D7-4F30-AEA2-B3847861FB93}">
  <ds:schemaRefs/>
</ds:datastoreItem>
</file>

<file path=customXml/itemProps21.xml><?xml version="1.0" encoding="utf-8"?>
<ds:datastoreItem xmlns:ds="http://schemas.openxmlformats.org/officeDocument/2006/customXml" ds:itemID="{30C31928-5C10-42EF-B37E-00E35E0CA918}">
  <ds:schemaRefs/>
</ds:datastoreItem>
</file>

<file path=customXml/itemProps22.xml><?xml version="1.0" encoding="utf-8"?>
<ds:datastoreItem xmlns:ds="http://schemas.openxmlformats.org/officeDocument/2006/customXml" ds:itemID="{FF31D990-98E9-4B96-A826-D7C4CDB114F1}">
  <ds:schemaRefs>
    <ds:schemaRef ds:uri="http://schemas.microsoft.com/DataMashup"/>
  </ds:schemaRefs>
</ds:datastoreItem>
</file>

<file path=customXml/itemProps23.xml><?xml version="1.0" encoding="utf-8"?>
<ds:datastoreItem xmlns:ds="http://schemas.openxmlformats.org/officeDocument/2006/customXml" ds:itemID="{CB3CB987-2647-4522-89BC-289B994BA531}">
  <ds:schemaRefs/>
</ds:datastoreItem>
</file>

<file path=customXml/itemProps24.xml><?xml version="1.0" encoding="utf-8"?>
<ds:datastoreItem xmlns:ds="http://schemas.openxmlformats.org/officeDocument/2006/customXml" ds:itemID="{53C74D55-6D3B-486C-B842-3F99E13ACFFE}">
  <ds:schemaRefs/>
</ds:datastoreItem>
</file>

<file path=customXml/itemProps25.xml><?xml version="1.0" encoding="utf-8"?>
<ds:datastoreItem xmlns:ds="http://schemas.openxmlformats.org/officeDocument/2006/customXml" ds:itemID="{96CCAA3B-10F4-42E1-A538-E06CD77D91D2}">
  <ds:schemaRefs>
    <ds:schemaRef ds:uri="50efc2f2-ed42-4ad2-8b88-4bd24066a633"/>
    <ds:schemaRef ds:uri="http://schemas.microsoft.com/office/2006/documentManagement/types"/>
    <ds:schemaRef ds:uri="http://purl.org/dc/dcmitype/"/>
    <ds:schemaRef ds:uri="http://www.w3.org/XML/1998/namespace"/>
    <ds:schemaRef ds:uri="http://schemas.openxmlformats.org/package/2006/metadata/core-properties"/>
    <ds:schemaRef ds:uri="http://purl.org/dc/terms/"/>
    <ds:schemaRef ds:uri="http://schemas.microsoft.com/office/infopath/2007/PartnerControls"/>
    <ds:schemaRef ds:uri="e11cf51e-129a-4273-89ec-3acd2dfe0f03"/>
    <ds:schemaRef ds:uri="http://schemas.microsoft.com/office/2006/metadata/properties"/>
    <ds:schemaRef ds:uri="http://purl.org/dc/elements/1.1/"/>
  </ds:schemaRefs>
</ds:datastoreItem>
</file>

<file path=customXml/itemProps26.xml><?xml version="1.0" encoding="utf-8"?>
<ds:datastoreItem xmlns:ds="http://schemas.openxmlformats.org/officeDocument/2006/customXml" ds:itemID="{295EE09E-E2B0-4A2B-AE67-645CF1DBCD13}">
  <ds:schemaRefs/>
</ds:datastoreItem>
</file>

<file path=customXml/itemProps27.xml><?xml version="1.0" encoding="utf-8"?>
<ds:datastoreItem xmlns:ds="http://schemas.openxmlformats.org/officeDocument/2006/customXml" ds:itemID="{73865BE3-2D37-4EDC-986C-04386DDD2091}">
  <ds:schemaRefs/>
</ds:datastoreItem>
</file>

<file path=customXml/itemProps28.xml><?xml version="1.0" encoding="utf-8"?>
<ds:datastoreItem xmlns:ds="http://schemas.openxmlformats.org/officeDocument/2006/customXml" ds:itemID="{50AC742B-30E8-4E31-ACD0-BFDF34C00385}">
  <ds:schemaRefs/>
</ds:datastoreItem>
</file>

<file path=customXml/itemProps29.xml><?xml version="1.0" encoding="utf-8"?>
<ds:datastoreItem xmlns:ds="http://schemas.openxmlformats.org/officeDocument/2006/customXml" ds:itemID="{E1F92ECA-39E3-4156-BA41-E39762E4E086}">
  <ds:schemaRefs/>
</ds:datastoreItem>
</file>

<file path=customXml/itemProps3.xml><?xml version="1.0" encoding="utf-8"?>
<ds:datastoreItem xmlns:ds="http://schemas.openxmlformats.org/officeDocument/2006/customXml" ds:itemID="{06535785-6C01-434A-BF18-BB4A8ECFB0CD}">
  <ds:schemaRefs/>
</ds:datastoreItem>
</file>

<file path=customXml/itemProps30.xml><?xml version="1.0" encoding="utf-8"?>
<ds:datastoreItem xmlns:ds="http://schemas.openxmlformats.org/officeDocument/2006/customXml" ds:itemID="{2320587C-6652-48B6-A31D-FF05EF83F0E6}">
  <ds:schemaRefs/>
</ds:datastoreItem>
</file>

<file path=customXml/itemProps31.xml><?xml version="1.0" encoding="utf-8"?>
<ds:datastoreItem xmlns:ds="http://schemas.openxmlformats.org/officeDocument/2006/customXml" ds:itemID="{40AB8E7F-3443-4AFB-ACE1-B91E7573D681}">
  <ds:schemaRefs/>
</ds:datastoreItem>
</file>

<file path=customXml/itemProps32.xml><?xml version="1.0" encoding="utf-8"?>
<ds:datastoreItem xmlns:ds="http://schemas.openxmlformats.org/officeDocument/2006/customXml" ds:itemID="{835C89D1-5DCF-440F-AB4E-25F04128108B}">
  <ds:schemaRefs/>
</ds:datastoreItem>
</file>

<file path=customXml/itemProps33.xml><?xml version="1.0" encoding="utf-8"?>
<ds:datastoreItem xmlns:ds="http://schemas.openxmlformats.org/officeDocument/2006/customXml" ds:itemID="{2C445B7A-4EDA-4B7F-9990-7134D61BCB3F}">
  <ds:schemaRefs>
    <ds:schemaRef ds:uri="http://schemas.microsoft.com/sharepoint/v3/contenttype/forms"/>
  </ds:schemaRefs>
</ds:datastoreItem>
</file>

<file path=customXml/itemProps34.xml><?xml version="1.0" encoding="utf-8"?>
<ds:datastoreItem xmlns:ds="http://schemas.openxmlformats.org/officeDocument/2006/customXml" ds:itemID="{A83F72F6-08FF-4A05-9C9F-CE8C3AAE81BF}">
  <ds:schemaRefs/>
</ds:datastoreItem>
</file>

<file path=customXml/itemProps35.xml><?xml version="1.0" encoding="utf-8"?>
<ds:datastoreItem xmlns:ds="http://schemas.openxmlformats.org/officeDocument/2006/customXml" ds:itemID="{D5A5D7DD-55CD-47E4-AAD5-1420F723317C}">
  <ds:schemaRefs/>
</ds:datastoreItem>
</file>

<file path=customXml/itemProps36.xml><?xml version="1.0" encoding="utf-8"?>
<ds:datastoreItem xmlns:ds="http://schemas.openxmlformats.org/officeDocument/2006/customXml" ds:itemID="{04D5FFA8-B0FF-4BC1-AA4D-252171882D14}">
  <ds:schemaRefs/>
</ds:datastoreItem>
</file>

<file path=customXml/itemProps37.xml><?xml version="1.0" encoding="utf-8"?>
<ds:datastoreItem xmlns:ds="http://schemas.openxmlformats.org/officeDocument/2006/customXml" ds:itemID="{DF6D6100-A97E-4911-B9DB-56F09F14C3A6}">
  <ds:schemaRefs/>
</ds:datastoreItem>
</file>

<file path=customXml/itemProps38.xml><?xml version="1.0" encoding="utf-8"?>
<ds:datastoreItem xmlns:ds="http://schemas.openxmlformats.org/officeDocument/2006/customXml" ds:itemID="{DF73463E-88F3-4FE7-A617-2EE831707550}">
  <ds:schemaRefs/>
</ds:datastoreItem>
</file>

<file path=customXml/itemProps39.xml><?xml version="1.0" encoding="utf-8"?>
<ds:datastoreItem xmlns:ds="http://schemas.openxmlformats.org/officeDocument/2006/customXml" ds:itemID="{464849C8-ABC8-48FB-8CB5-5FDE3EFD7A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efc2f2-ed42-4ad2-8b88-4bd24066a633"/>
    <ds:schemaRef ds:uri="e11cf51e-129a-4273-89ec-3acd2dfe0f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8B3A0BD-3368-41A2-951D-A0797D94722A}">
  <ds:schemaRefs/>
</ds:datastoreItem>
</file>

<file path=customXml/itemProps40.xml><?xml version="1.0" encoding="utf-8"?>
<ds:datastoreItem xmlns:ds="http://schemas.openxmlformats.org/officeDocument/2006/customXml" ds:itemID="{6A93B769-279E-4D88-9727-7896EBD38602}">
  <ds:schemaRefs/>
</ds:datastoreItem>
</file>

<file path=customXml/itemProps41.xml><?xml version="1.0" encoding="utf-8"?>
<ds:datastoreItem xmlns:ds="http://schemas.openxmlformats.org/officeDocument/2006/customXml" ds:itemID="{A9BEF32F-6225-4AB2-BE2B-61FD657B8F49}">
  <ds:schemaRefs/>
</ds:datastoreItem>
</file>

<file path=customXml/itemProps5.xml><?xml version="1.0" encoding="utf-8"?>
<ds:datastoreItem xmlns:ds="http://schemas.openxmlformats.org/officeDocument/2006/customXml" ds:itemID="{605E45FC-8EE7-4833-A160-69DA01F8F242}">
  <ds:schemaRefs/>
</ds:datastoreItem>
</file>

<file path=customXml/itemProps6.xml><?xml version="1.0" encoding="utf-8"?>
<ds:datastoreItem xmlns:ds="http://schemas.openxmlformats.org/officeDocument/2006/customXml" ds:itemID="{E35732E4-22C2-4BC5-8969-A1967821DDF3}">
  <ds:schemaRefs/>
</ds:datastoreItem>
</file>

<file path=customXml/itemProps7.xml><?xml version="1.0" encoding="utf-8"?>
<ds:datastoreItem xmlns:ds="http://schemas.openxmlformats.org/officeDocument/2006/customXml" ds:itemID="{86D2AFDA-EA96-4279-B445-965A4CC86B0F}">
  <ds:schemaRefs/>
</ds:datastoreItem>
</file>

<file path=customXml/itemProps8.xml><?xml version="1.0" encoding="utf-8"?>
<ds:datastoreItem xmlns:ds="http://schemas.openxmlformats.org/officeDocument/2006/customXml" ds:itemID="{13925E5C-D7E6-4EE1-981E-D9A2128C7EEB}">
  <ds:schemaRefs/>
</ds:datastoreItem>
</file>

<file path=customXml/itemProps9.xml><?xml version="1.0" encoding="utf-8"?>
<ds:datastoreItem xmlns:ds="http://schemas.openxmlformats.org/officeDocument/2006/customXml" ds:itemID="{CEB6FB31-0C4A-495B-B8DD-279BBC647B7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40</vt:i4>
      </vt:variant>
      <vt:variant>
        <vt:lpstr>Plages nommées</vt:lpstr>
      </vt:variant>
      <vt:variant>
        <vt:i4>37</vt:i4>
      </vt:variant>
    </vt:vector>
  </HeadingPairs>
  <TitlesOfParts>
    <vt:vector size="77" baseType="lpstr">
      <vt:lpstr>Calculs_CABS</vt:lpstr>
      <vt:lpstr>CABS_CVC</vt:lpstr>
      <vt:lpstr>Liste_CABS</vt:lpstr>
      <vt:lpstr>Accueil</vt:lpstr>
      <vt:lpstr>Surface DEET</vt:lpstr>
      <vt:lpstr>DJU</vt:lpstr>
      <vt:lpstr>Site</vt:lpstr>
      <vt:lpstr>Synthèse</vt:lpstr>
      <vt:lpstr>Calcul_Bilan_Energie</vt:lpstr>
      <vt:lpstr>Choix DEET</vt:lpstr>
      <vt:lpstr>Suivi DEET</vt:lpstr>
      <vt:lpstr>CALCUL DEET</vt:lpstr>
      <vt:lpstr>Estimation_ECS</vt:lpstr>
      <vt:lpstr>Déclaration OPERAT</vt:lpstr>
      <vt:lpstr>Suivi Mensuel</vt:lpstr>
      <vt:lpstr>CalculSuiviMensuel</vt:lpstr>
      <vt:lpstr>Rigueur Climat.</vt:lpstr>
      <vt:lpstr>Suivi Compteur</vt:lpstr>
      <vt:lpstr>Coût Energie</vt:lpstr>
      <vt:lpstr>TCD_compteur</vt:lpstr>
      <vt:lpstr>Suivi Production</vt:lpstr>
      <vt:lpstr>Suivi Sous_compteur</vt:lpstr>
      <vt:lpstr>Controle_des_données</vt:lpstr>
      <vt:lpstr>Démarche CTEES</vt:lpstr>
      <vt:lpstr>Reporting CTEES</vt:lpstr>
      <vt:lpstr>TCD_ENR</vt:lpstr>
      <vt:lpstr>Liste</vt:lpstr>
      <vt:lpstr>TCD_Conso</vt:lpstr>
      <vt:lpstr>Aide CME</vt:lpstr>
      <vt:lpstr>Compteur_1</vt:lpstr>
      <vt:lpstr>Ouverture</vt:lpstr>
      <vt:lpstr>Compteur_2</vt:lpstr>
      <vt:lpstr>Compteur_3</vt:lpstr>
      <vt:lpstr>Compteur_4</vt:lpstr>
      <vt:lpstr>Compteur_5</vt:lpstr>
      <vt:lpstr>Compteur_6</vt:lpstr>
      <vt:lpstr>Compteur_7</vt:lpstr>
      <vt:lpstr>Compteur_8</vt:lpstr>
      <vt:lpstr>ConversionCuveQuantité</vt:lpstr>
      <vt:lpstr>Notes_Versions</vt:lpstr>
      <vt:lpstr>Bureau_services_Publics</vt:lpstr>
      <vt:lpstr>Centre_Hospitalier</vt:lpstr>
      <vt:lpstr>Chaleur</vt:lpstr>
      <vt:lpstr>Coeff_chauff</vt:lpstr>
      <vt:lpstr>Coeff_refroid</vt:lpstr>
      <vt:lpstr>Cogénération</vt:lpstr>
      <vt:lpstr>Collecteurs_solaires</vt:lpstr>
      <vt:lpstr>Combustibles</vt:lpstr>
      <vt:lpstr>Consommation</vt:lpstr>
      <vt:lpstr>Cpt_Consommation</vt:lpstr>
      <vt:lpstr>Cpt_Index</vt:lpstr>
      <vt:lpstr>Eau</vt:lpstr>
      <vt:lpstr>Electricité</vt:lpstr>
      <vt:lpstr>Enseignement</vt:lpstr>
      <vt:lpstr>Etablissement_Balneo</vt:lpstr>
      <vt:lpstr>Etablissements_Médico_sociaux</vt:lpstr>
      <vt:lpstr>Froid</vt:lpstr>
      <vt:lpstr>Géothermie</vt:lpstr>
      <vt:lpstr>Liste_Type_compteur</vt:lpstr>
      <vt:lpstr>Logistique</vt:lpstr>
      <vt:lpstr>Photovolaïque</vt:lpstr>
      <vt:lpstr>Process</vt:lpstr>
      <vt:lpstr>Production</vt:lpstr>
      <vt:lpstr>Salles_serveurs</vt:lpstr>
      <vt:lpstr>Sous_comptage</vt:lpstr>
      <vt:lpstr>Sous_comptage_Chaleur</vt:lpstr>
      <vt:lpstr>Sous_comptage_eau</vt:lpstr>
      <vt:lpstr>Sous_comptage_elec</vt:lpstr>
      <vt:lpstr>Str_TypeDonneesCpt1</vt:lpstr>
      <vt:lpstr>Str_TypeDonneesCpt2</vt:lpstr>
      <vt:lpstr>Str_TypeDonneesCpt3</vt:lpstr>
      <vt:lpstr>Str_TypeDonneesCpt4</vt:lpstr>
      <vt:lpstr>Str_TypeDonneesCpt5</vt:lpstr>
      <vt:lpstr>Str_TypeDonneesCpt6</vt:lpstr>
      <vt:lpstr>Str_TypeDonneesCpt7</vt:lpstr>
      <vt:lpstr>Str_TypeDonneesCpt8</vt:lpstr>
      <vt:lpstr>Site!Zone_d_impression</vt:lpstr>
    </vt:vector>
  </TitlesOfParts>
  <Manager/>
  <Company>Fondation St Jean de Dieu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Fabien Rouault</dc:creator>
  <cp:keywords/>
  <dc:description/>
  <cp:lastModifiedBy>LELOUTRE Yoann</cp:lastModifiedBy>
  <cp:revision/>
  <dcterms:created xsi:type="dcterms:W3CDTF">2023-03-24T10:58:55Z</dcterms:created>
  <dcterms:modified xsi:type="dcterms:W3CDTF">2026-07-15T10:29:14Z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0x010100BB6669FF9A6C2E45B6E34480CBECE584</vt:lpwstr>
  </property>
</Properties>
</file>